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Ex1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2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Ex3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4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5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6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Ex7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Ex8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9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Ex10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charts/chartEx11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Ex12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Ex13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charts/chartEx14.xml" ContentType="application/vnd.ms-office.chartex+xml"/>
  <Override PartName="/xl/charts/style32.xml" ContentType="application/vnd.ms-office.chartstyle+xml"/>
  <Override PartName="/xl/charts/colors32.xml" ContentType="application/vnd.ms-office.chartcolorstyle+xml"/>
  <Override PartName="/xl/charts/chartEx15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Ex16.xml" ContentType="application/vnd.ms-office.chartex+xml"/>
  <Override PartName="/xl/charts/style34.xml" ContentType="application/vnd.ms-office.chartstyle+xml"/>
  <Override PartName="/xl/charts/colors34.xml" ContentType="application/vnd.ms-office.chartcolorstyle+xml"/>
  <Override PartName="/xl/charts/chartEx17.xml" ContentType="application/vnd.ms-office.chartex+xml"/>
  <Override PartName="/xl/charts/style35.xml" ContentType="application/vnd.ms-office.chartstyle+xml"/>
  <Override PartName="/xl/charts/colors35.xml" ContentType="application/vnd.ms-office.chartcolorstyle+xml"/>
  <Override PartName="/xl/charts/chartEx18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Ex19.xml" ContentType="application/vnd.ms-office.chartex+xml"/>
  <Override PartName="/xl/charts/style37.xml" ContentType="application/vnd.ms-office.chartstyle+xml"/>
  <Override PartName="/xl/charts/colors37.xml" ContentType="application/vnd.ms-office.chartcolorstyle+xml"/>
  <Override PartName="/xl/charts/chartEx20.xml" ContentType="application/vnd.ms-office.chartex+xml"/>
  <Override PartName="/xl/charts/style38.xml" ContentType="application/vnd.ms-office.chartstyle+xml"/>
  <Override PartName="/xl/charts/colors38.xml" ContentType="application/vnd.ms-office.chartcolorstyle+xml"/>
  <Override PartName="/xl/charts/chartEx21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harts/chartEx22.xml" ContentType="application/vnd.ms-office.chartex+xml"/>
  <Override PartName="/xl/charts/style40.xml" ContentType="application/vnd.ms-office.chartstyle+xml"/>
  <Override PartName="/xl/charts/colors40.xml" ContentType="application/vnd.ms-office.chartcolorstyle+xml"/>
  <Override PartName="/xl/charts/chartEx23.xml" ContentType="application/vnd.ms-office.chartex+xml"/>
  <Override PartName="/xl/charts/style41.xml" ContentType="application/vnd.ms-office.chartstyle+xml"/>
  <Override PartName="/xl/charts/colors41.xml" ContentType="application/vnd.ms-office.chartcolorstyle+xml"/>
  <Override PartName="/xl/charts/chartEx24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Ex25.xml" ContentType="application/vnd.ms-office.chartex+xml"/>
  <Override PartName="/xl/charts/style43.xml" ContentType="application/vnd.ms-office.chartstyle+xml"/>
  <Override PartName="/xl/charts/colors43.xml" ContentType="application/vnd.ms-office.chartcolorstyle+xml"/>
  <Override PartName="/xl/charts/chartEx26.xml" ContentType="application/vnd.ms-office.chartex+xml"/>
  <Override PartName="/xl/charts/style44.xml" ContentType="application/vnd.ms-office.chartstyle+xml"/>
  <Override PartName="/xl/charts/colors44.xml" ContentType="application/vnd.ms-office.chartcolorstyle+xml"/>
  <Override PartName="/xl/charts/chartEx27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Ex28.xml" ContentType="application/vnd.ms-office.chartex+xml"/>
  <Override PartName="/xl/charts/style46.xml" ContentType="application/vnd.ms-office.chartstyle+xml"/>
  <Override PartName="/xl/charts/colors46.xml" ContentType="application/vnd.ms-office.chartcolorstyle+xml"/>
  <Override PartName="/xl/charts/chartEx29.xml" ContentType="application/vnd.ms-office.chartex+xml"/>
  <Override PartName="/xl/charts/style47.xml" ContentType="application/vnd.ms-office.chartstyle+xml"/>
  <Override PartName="/xl/charts/colors47.xml" ContentType="application/vnd.ms-office.chartcolorstyle+xml"/>
  <Override PartName="/xl/charts/chartEx30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charts/chartEx31.xml" ContentType="application/vnd.ms-office.chartex+xml"/>
  <Override PartName="/xl/charts/style49.xml" ContentType="application/vnd.ms-office.chartstyle+xml"/>
  <Override PartName="/xl/charts/colors49.xml" ContentType="application/vnd.ms-office.chartcolorstyle+xml"/>
  <Override PartName="/xl/charts/chartEx32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Ex33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Ex34.xml" ContentType="application/vnd.ms-office.chartex+xml"/>
  <Override PartName="/xl/charts/style52.xml" ContentType="application/vnd.ms-office.chartstyle+xml"/>
  <Override PartName="/xl/charts/colors52.xml" ContentType="application/vnd.ms-office.chartcolorstyle+xml"/>
  <Override PartName="/xl/charts/chartEx35.xml" ContentType="application/vnd.ms-office.chartex+xml"/>
  <Override PartName="/xl/charts/style53.xml" ContentType="application/vnd.ms-office.chartstyle+xml"/>
  <Override PartName="/xl/charts/colors53.xml" ContentType="application/vnd.ms-office.chartcolorstyle+xml"/>
  <Override PartName="/xl/charts/chartEx36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2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2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3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3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3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33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34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35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36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37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38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39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40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41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42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43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44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45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46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47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48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49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50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51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52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53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54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55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56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57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58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59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60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61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62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63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64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65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66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67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68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69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70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71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72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73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74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75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76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77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78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79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80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11.xml" ContentType="application/vnd.openxmlformats-officedocument.drawing+xml"/>
  <Override PartName="/xl/charts/chart81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82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83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84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85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86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12.xml" ContentType="application/vnd.openxmlformats-officedocument.drawing+xml"/>
  <Override PartName="/xl/charts/chart87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88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89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90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91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92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13.xml" ContentType="application/vnd.openxmlformats-officedocument.drawing+xml"/>
  <Override PartName="/xl/charts/chart93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94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95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96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97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98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14.xml" ContentType="application/vnd.openxmlformats-officedocument.drawing+xml"/>
  <Override PartName="/xl/charts/chartEx37.xml" ContentType="application/vnd.ms-office.chartex+xml"/>
  <Override PartName="/xl/charts/style127.xml" ContentType="application/vnd.ms-office.chartstyle+xml"/>
  <Override PartName="/xl/charts/colors127.xml" ContentType="application/vnd.ms-office.chartcolorstyle+xml"/>
  <Override PartName="/xl/charts/chartEx38.xml" ContentType="application/vnd.ms-office.chartex+xml"/>
  <Override PartName="/xl/charts/style128.xml" ContentType="application/vnd.ms-office.chartstyle+xml"/>
  <Override PartName="/xl/charts/colors128.xml" ContentType="application/vnd.ms-office.chartcolorstyle+xml"/>
  <Override PartName="/xl/charts/chartEx39.xml" ContentType="application/vnd.ms-office.chartex+xml"/>
  <Override PartName="/xl/charts/style129.xml" ContentType="application/vnd.ms-office.chartstyle+xml"/>
  <Override PartName="/xl/charts/colors129.xml" ContentType="application/vnd.ms-office.chartcolorstyle+xml"/>
  <Override PartName="/xl/charts/chartEx40.xml" ContentType="application/vnd.ms-office.chartex+xml"/>
  <Override PartName="/xl/charts/style130.xml" ContentType="application/vnd.ms-office.chartstyle+xml"/>
  <Override PartName="/xl/charts/colors130.xml" ContentType="application/vnd.ms-office.chartcolorstyle+xml"/>
  <Override PartName="/xl/charts/chartEx41.xml" ContentType="application/vnd.ms-office.chartex+xml"/>
  <Override PartName="/xl/charts/style131.xml" ContentType="application/vnd.ms-office.chartstyle+xml"/>
  <Override PartName="/xl/charts/colors131.xml" ContentType="application/vnd.ms-office.chartcolorstyle+xml"/>
  <Override PartName="/xl/charts/chartEx42.xml" ContentType="application/vnd.ms-office.chartex+xml"/>
  <Override PartName="/xl/charts/style132.xml" ContentType="application/vnd.ms-office.chartstyle+xml"/>
  <Override PartName="/xl/charts/colors132.xml" ContentType="application/vnd.ms-office.chartcolorstyle+xml"/>
  <Override PartName="/xl/charts/chartEx43.xml" ContentType="application/vnd.ms-office.chartex+xml"/>
  <Override PartName="/xl/charts/style133.xml" ContentType="application/vnd.ms-office.chartstyle+xml"/>
  <Override PartName="/xl/charts/colors133.xml" ContentType="application/vnd.ms-office.chartcolorstyle+xml"/>
  <Override PartName="/xl/charts/chartEx44.xml" ContentType="application/vnd.ms-office.chartex+xml"/>
  <Override PartName="/xl/charts/style134.xml" ContentType="application/vnd.ms-office.chartstyle+xml"/>
  <Override PartName="/xl/charts/colors134.xml" ContentType="application/vnd.ms-office.chartcolorstyle+xml"/>
  <Override PartName="/xl/charts/chartEx45.xml" ContentType="application/vnd.ms-office.chartex+xml"/>
  <Override PartName="/xl/charts/style135.xml" ContentType="application/vnd.ms-office.chartstyle+xml"/>
  <Override PartName="/xl/charts/colors135.xml" ContentType="application/vnd.ms-office.chartcolorstyle+xml"/>
  <Override PartName="/xl/charts/chartEx46.xml" ContentType="application/vnd.ms-office.chartex+xml"/>
  <Override PartName="/xl/charts/style136.xml" ContentType="application/vnd.ms-office.chartstyle+xml"/>
  <Override PartName="/xl/charts/colors136.xml" ContentType="application/vnd.ms-office.chartcolorstyle+xml"/>
  <Override PartName="/xl/charts/chartEx47.xml" ContentType="application/vnd.ms-office.chartex+xml"/>
  <Override PartName="/xl/charts/style137.xml" ContentType="application/vnd.ms-office.chartstyle+xml"/>
  <Override PartName="/xl/charts/colors137.xml" ContentType="application/vnd.ms-office.chartcolorstyle+xml"/>
  <Override PartName="/xl/charts/chartEx48.xml" ContentType="application/vnd.ms-office.chartex+xml"/>
  <Override PartName="/xl/charts/style138.xml" ContentType="application/vnd.ms-office.chartstyle+xml"/>
  <Override PartName="/xl/charts/colors138.xml" ContentType="application/vnd.ms-office.chartcolorstyle+xml"/>
  <Override PartName="/xl/charts/chartEx49.xml" ContentType="application/vnd.ms-office.chartex+xml"/>
  <Override PartName="/xl/charts/style139.xml" ContentType="application/vnd.ms-office.chartstyle+xml"/>
  <Override PartName="/xl/charts/colors139.xml" ContentType="application/vnd.ms-office.chartcolorstyle+xml"/>
  <Override PartName="/xl/charts/chartEx50.xml" ContentType="application/vnd.ms-office.chartex+xml"/>
  <Override PartName="/xl/charts/style140.xml" ContentType="application/vnd.ms-office.chartstyle+xml"/>
  <Override PartName="/xl/charts/colors140.xml" ContentType="application/vnd.ms-office.chartcolorstyle+xml"/>
  <Override PartName="/xl/charts/chartEx51.xml" ContentType="application/vnd.ms-office.chartex+xml"/>
  <Override PartName="/xl/charts/style141.xml" ContentType="application/vnd.ms-office.chartstyle+xml"/>
  <Override PartName="/xl/charts/colors141.xml" ContentType="application/vnd.ms-office.chartcolorstyle+xml"/>
  <Override PartName="/xl/charts/chartEx52.xml" ContentType="application/vnd.ms-office.chartex+xml"/>
  <Override PartName="/xl/charts/style142.xml" ContentType="application/vnd.ms-office.chartstyle+xml"/>
  <Override PartName="/xl/charts/colors142.xml" ContentType="application/vnd.ms-office.chartcolorstyle+xml"/>
  <Override PartName="/xl/charts/chartEx53.xml" ContentType="application/vnd.ms-office.chartex+xml"/>
  <Override PartName="/xl/charts/style143.xml" ContentType="application/vnd.ms-office.chartstyle+xml"/>
  <Override PartName="/xl/charts/colors143.xml" ContentType="application/vnd.ms-office.chartcolorstyle+xml"/>
  <Override PartName="/xl/charts/chartEx54.xml" ContentType="application/vnd.ms-office.chartex+xml"/>
  <Override PartName="/xl/charts/style144.xml" ContentType="application/vnd.ms-office.chartstyle+xml"/>
  <Override PartName="/xl/charts/colors144.xml" ContentType="application/vnd.ms-office.chartcolorstyle+xml"/>
  <Override PartName="/xl/charts/chartEx55.xml" ContentType="application/vnd.ms-office.chartex+xml"/>
  <Override PartName="/xl/charts/style145.xml" ContentType="application/vnd.ms-office.chartstyle+xml"/>
  <Override PartName="/xl/charts/colors145.xml" ContentType="application/vnd.ms-office.chartcolorstyle+xml"/>
  <Override PartName="/xl/charts/chartEx56.xml" ContentType="application/vnd.ms-office.chartex+xml"/>
  <Override PartName="/xl/charts/style146.xml" ContentType="application/vnd.ms-office.chartstyle+xml"/>
  <Override PartName="/xl/charts/colors146.xml" ContentType="application/vnd.ms-office.chartcolorstyle+xml"/>
  <Override PartName="/xl/charts/chartEx57.xml" ContentType="application/vnd.ms-office.chartex+xml"/>
  <Override PartName="/xl/charts/style147.xml" ContentType="application/vnd.ms-office.chartstyle+xml"/>
  <Override PartName="/xl/charts/colors147.xml" ContentType="application/vnd.ms-office.chartcolorstyle+xml"/>
  <Override PartName="/xl/charts/chartEx58.xml" ContentType="application/vnd.ms-office.chartex+xml"/>
  <Override PartName="/xl/charts/style148.xml" ContentType="application/vnd.ms-office.chartstyle+xml"/>
  <Override PartName="/xl/charts/colors148.xml" ContentType="application/vnd.ms-office.chartcolorstyle+xml"/>
  <Override PartName="/xl/charts/chartEx59.xml" ContentType="application/vnd.ms-office.chartex+xml"/>
  <Override PartName="/xl/charts/style149.xml" ContentType="application/vnd.ms-office.chartstyle+xml"/>
  <Override PartName="/xl/charts/colors149.xml" ContentType="application/vnd.ms-office.chartcolorstyle+xml"/>
  <Override PartName="/xl/charts/chartEx60.xml" ContentType="application/vnd.ms-office.chartex+xml"/>
  <Override PartName="/xl/charts/style150.xml" ContentType="application/vnd.ms-office.chartstyle+xml"/>
  <Override PartName="/xl/charts/colors150.xml" ContentType="application/vnd.ms-office.chartcolorstyle+xml"/>
  <Override PartName="/xl/charts/chartEx61.xml" ContentType="application/vnd.ms-office.chartex+xml"/>
  <Override PartName="/xl/charts/style151.xml" ContentType="application/vnd.ms-office.chartstyle+xml"/>
  <Override PartName="/xl/charts/colors151.xml" ContentType="application/vnd.ms-office.chartcolorstyle+xml"/>
  <Override PartName="/xl/charts/chartEx62.xml" ContentType="application/vnd.ms-office.chartex+xml"/>
  <Override PartName="/xl/charts/style152.xml" ContentType="application/vnd.ms-office.chartstyle+xml"/>
  <Override PartName="/xl/charts/colors152.xml" ContentType="application/vnd.ms-office.chartcolorstyle+xml"/>
  <Override PartName="/xl/charts/chartEx63.xml" ContentType="application/vnd.ms-office.chartex+xml"/>
  <Override PartName="/xl/charts/style153.xml" ContentType="application/vnd.ms-office.chartstyle+xml"/>
  <Override PartName="/xl/charts/colors153.xml" ContentType="application/vnd.ms-office.chartcolorstyle+xml"/>
  <Override PartName="/xl/charts/chartEx64.xml" ContentType="application/vnd.ms-office.chartex+xml"/>
  <Override PartName="/xl/charts/style154.xml" ContentType="application/vnd.ms-office.chartstyle+xml"/>
  <Override PartName="/xl/charts/colors154.xml" ContentType="application/vnd.ms-office.chartcolorstyle+xml"/>
  <Override PartName="/xl/charts/chartEx65.xml" ContentType="application/vnd.ms-office.chartex+xml"/>
  <Override PartName="/xl/charts/style155.xml" ContentType="application/vnd.ms-office.chartstyle+xml"/>
  <Override PartName="/xl/charts/colors155.xml" ContentType="application/vnd.ms-office.chartcolorstyle+xml"/>
  <Override PartName="/xl/charts/chartEx66.xml" ContentType="application/vnd.ms-office.chartex+xml"/>
  <Override PartName="/xl/charts/style156.xml" ContentType="application/vnd.ms-office.chartstyle+xml"/>
  <Override PartName="/xl/charts/colors156.xml" ContentType="application/vnd.ms-office.chartcolorstyle+xml"/>
  <Override PartName="/xl/charts/chartEx67.xml" ContentType="application/vnd.ms-office.chartex+xml"/>
  <Override PartName="/xl/charts/style157.xml" ContentType="application/vnd.ms-office.chartstyle+xml"/>
  <Override PartName="/xl/charts/colors157.xml" ContentType="application/vnd.ms-office.chartcolorstyle+xml"/>
  <Override PartName="/xl/charts/chartEx68.xml" ContentType="application/vnd.ms-office.chartex+xml"/>
  <Override PartName="/xl/charts/style158.xml" ContentType="application/vnd.ms-office.chartstyle+xml"/>
  <Override PartName="/xl/charts/colors158.xml" ContentType="application/vnd.ms-office.chartcolorstyle+xml"/>
  <Override PartName="/xl/charts/chartEx69.xml" ContentType="application/vnd.ms-office.chartex+xml"/>
  <Override PartName="/xl/charts/style159.xml" ContentType="application/vnd.ms-office.chartstyle+xml"/>
  <Override PartName="/xl/charts/colors159.xml" ContentType="application/vnd.ms-office.chartcolorstyle+xml"/>
  <Override PartName="/xl/charts/chartEx70.xml" ContentType="application/vnd.ms-office.chartex+xml"/>
  <Override PartName="/xl/charts/style160.xml" ContentType="application/vnd.ms-office.chartstyle+xml"/>
  <Override PartName="/xl/charts/colors160.xml" ContentType="application/vnd.ms-office.chartcolorstyle+xml"/>
  <Override PartName="/xl/charts/chartEx71.xml" ContentType="application/vnd.ms-office.chartex+xml"/>
  <Override PartName="/xl/charts/style161.xml" ContentType="application/vnd.ms-office.chartstyle+xml"/>
  <Override PartName="/xl/charts/colors161.xml" ContentType="application/vnd.ms-office.chartcolorstyle+xml"/>
  <Override PartName="/xl/charts/chartEx72.xml" ContentType="application/vnd.ms-office.chartex+xml"/>
  <Override PartName="/xl/charts/style162.xml" ContentType="application/vnd.ms-office.chartstyle+xml"/>
  <Override PartName="/xl/charts/colors162.xml" ContentType="application/vnd.ms-office.chartcolorstyle+xml"/>
  <Override PartName="/xl/drawings/drawing15.xml" ContentType="application/vnd.openxmlformats-officedocument.drawing+xml"/>
  <Override PartName="/xl/charts/chart99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00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01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02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03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04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charts/chart105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06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07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08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09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10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11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12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13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14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15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16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harts/chart117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18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19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20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21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22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23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24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25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26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27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28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charts/chart129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30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31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32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33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34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35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136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137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138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139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140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charts/chart141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142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143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144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145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146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147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148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149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150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151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152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drawings/drawing16.xml" ContentType="application/vnd.openxmlformats-officedocument.drawing+xml"/>
  <Override PartName="/xl/charts/chart153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courier\COURIER_C2\"/>
    </mc:Choice>
  </mc:AlternateContent>
  <xr:revisionPtr revIDLastSave="0" documentId="13_ncr:1_{E753B8EC-CC12-48B5-9F0A-0CE929F2BE7A}" xr6:coauthVersionLast="47" xr6:coauthVersionMax="47" xr10:uidLastSave="{00000000-0000-0000-0000-000000000000}"/>
  <bookViews>
    <workbookView xWindow="29520" yWindow="2475" windowWidth="21600" windowHeight="11385" tabRatio="828" firstSheet="2" activeTab="9" xr2:uid="{00000000-000D-0000-FFFF-FFFF00000000}"/>
  </bookViews>
  <sheets>
    <sheet name="Chart1" sheetId="25" state="hidden" r:id="rId1"/>
    <sheet name="Chart2" sheetId="26" state="hidden" r:id="rId2"/>
    <sheet name="Portada" sheetId="2" r:id="rId3"/>
    <sheet name="Graf. Fe-Zn-Ox" sheetId="37" r:id="rId4"/>
    <sheet name="Graf1_Cu_Mo" sheetId="33" r:id="rId5"/>
    <sheet name="Graf2_Cu_Mo" sheetId="32" r:id="rId6"/>
    <sheet name="Graf3_Cu_Mo" sheetId="31" r:id="rId7"/>
    <sheet name="BloxPlot_Cu" sheetId="46" r:id="rId8"/>
    <sheet name="DistrN_Cu" sheetId="47" r:id="rId9"/>
    <sheet name="Graf1_Cu_Mo_M" sheetId="39" r:id="rId10"/>
    <sheet name="Graf2_Cu_Mo_M" sheetId="41" r:id="rId11"/>
    <sheet name="Graf3_Cu_Mo_M" sheetId="40" r:id="rId12"/>
    <sheet name="BloxPlot_Mo" sheetId="49" r:id="rId13"/>
    <sheet name="DistrN_Mo" sheetId="50" r:id="rId14"/>
    <sheet name="TABLA" sheetId="30" r:id="rId15"/>
    <sheet name="Calculos" sheetId="34" r:id="rId16"/>
    <sheet name="Calculos_M" sheetId="38" r:id="rId17"/>
    <sheet name="TABLA_M" sheetId="22" state="hidden" r:id="rId18"/>
    <sheet name="Gráf. Cu-Mo" sheetId="36" r:id="rId19"/>
    <sheet name="Courier" sheetId="11" r:id="rId20"/>
    <sheet name="Courier_M " sheetId="42" r:id="rId21"/>
    <sheet name="Laboratorio_M " sheetId="43" r:id="rId22"/>
    <sheet name="Laboratorio " sheetId="44" r:id="rId23"/>
    <sheet name="Sta_Cu " sheetId="45" r:id="rId24"/>
    <sheet name="Sta_Mo " sheetId="48" r:id="rId25"/>
    <sheet name="Courier_M." sheetId="23" r:id="rId26"/>
    <sheet name="Laboratorio" sheetId="3" state="hidden" r:id="rId27"/>
    <sheet name="Laboratorio_M" sheetId="18" state="hidden" r:id="rId28"/>
    <sheet name="%Tiempo Oper." sheetId="24" state="hidden" r:id="rId29"/>
    <sheet name="DibEspere" sheetId="17" state="hidden" r:id="rId30"/>
  </sheets>
  <functionGroups builtInGroupCount="19"/>
  <externalReferences>
    <externalReference r:id="rId31"/>
    <externalReference r:id="rId32"/>
    <externalReference r:id="rId33"/>
  </externalReferences>
  <definedNames>
    <definedName name="_xlchart.v1.0" hidden="1">'Sta_Cu '!$BO$4</definedName>
    <definedName name="_xlchart.v1.1" hidden="1">'Sta_Cu '!$BO$5:$BO$35</definedName>
    <definedName name="_xlchart.v1.10" hidden="1">'Sta_Cu '!$BR$4</definedName>
    <definedName name="_xlchart.v1.100" hidden="1">'Sta_Cu '!$AA$4</definedName>
    <definedName name="_xlchart.v1.101" hidden="1">'Sta_Cu '!$AA$5:$AA$35</definedName>
    <definedName name="_xlchart.v1.102" hidden="1">'Sta_Cu '!$AB$4</definedName>
    <definedName name="_xlchart.v1.103" hidden="1">'Sta_Cu '!$AB$5:$AB$35</definedName>
    <definedName name="_xlchart.v1.104" hidden="1">'Sta_Cu '!$BK$4</definedName>
    <definedName name="_xlchart.v1.105" hidden="1">'Sta_Cu '!$BK$5:$BK$35</definedName>
    <definedName name="_xlchart.v1.106" hidden="1">'Sta_Cu '!$AC$4</definedName>
    <definedName name="_xlchart.v1.107" hidden="1">'Sta_Cu '!$AC$5:$AC$35</definedName>
    <definedName name="_xlchart.v1.108" hidden="1">'Sta_Mo '!$S$4</definedName>
    <definedName name="_xlchart.v1.109" hidden="1">'Sta_Mo '!$S$5:$S$35</definedName>
    <definedName name="_xlchart.v1.11" hidden="1">'Sta_Cu '!$BR$5:$BR$35</definedName>
    <definedName name="_xlchart.v1.110" hidden="1">'Sta_Mo '!$T$4</definedName>
    <definedName name="_xlchart.v1.111" hidden="1">'Sta_Mo '!$T$5:$T$35</definedName>
    <definedName name="_xlchart.v1.112" hidden="1">'Sta_Mo '!$BC$4</definedName>
    <definedName name="_xlchart.v1.113" hidden="1">'Sta_Mo '!$BC$5:$BC$35</definedName>
    <definedName name="_xlchart.v1.114" hidden="1">'Sta_Mo '!$E$4</definedName>
    <definedName name="_xlchart.v1.115" hidden="1">'Sta_Mo '!$E$5:$E$35</definedName>
    <definedName name="_xlchart.v1.116" hidden="1">'Sta_Mo '!$AO$4</definedName>
    <definedName name="_xlchart.v1.117" hidden="1">'Sta_Mo '!$AO$5:$AO$35</definedName>
    <definedName name="_xlchart.v1.118" hidden="1">'Sta_Mo '!$AP$4</definedName>
    <definedName name="_xlchart.v1.119" hidden="1">'Sta_Mo '!$AP$5:$AP$35</definedName>
    <definedName name="_xlchart.v1.12" hidden="1">'Sta_Cu '!$AE$4</definedName>
    <definedName name="_xlchart.v1.120" hidden="1">'Sta_Mo '!$C$4</definedName>
    <definedName name="_xlchart.v1.121" hidden="1">'Sta_Mo '!$C$5:$C$35</definedName>
    <definedName name="_xlchart.v1.122" hidden="1">'Sta_Mo '!$D$4</definedName>
    <definedName name="_xlchart.v1.123" hidden="1">'Sta_Mo '!$D$5:$D$35</definedName>
    <definedName name="_xlchart.v1.124" hidden="1">'Sta_Mo '!$G$4</definedName>
    <definedName name="_xlchart.v1.125" hidden="1">'Sta_Mo '!$G$5:$G$35</definedName>
    <definedName name="_xlchart.v1.126" hidden="1">'Sta_Mo '!$H$4</definedName>
    <definedName name="_xlchart.v1.127" hidden="1">'Sta_Mo '!$H$5:$H$35</definedName>
    <definedName name="_xlchart.v1.128" hidden="1">'Sta_Mo '!$AQ$4</definedName>
    <definedName name="_xlchart.v1.129" hidden="1">'Sta_Mo '!$AQ$5:$AQ$35</definedName>
    <definedName name="_xlchart.v1.13" hidden="1">'Sta_Cu '!$AE$5:$AE$35</definedName>
    <definedName name="_xlchart.v1.130" hidden="1">'Sta_Mo '!$I$4</definedName>
    <definedName name="_xlchart.v1.131" hidden="1">'Sta_Mo '!$I$5:$I$35</definedName>
    <definedName name="_xlchart.v1.132" hidden="1">'Sta_Mo '!$AS$4</definedName>
    <definedName name="_xlchart.v1.133" hidden="1">'Sta_Mo '!$AS$5:$AS$35</definedName>
    <definedName name="_xlchart.v1.134" hidden="1">'Sta_Mo '!$AT$4</definedName>
    <definedName name="_xlchart.v1.135" hidden="1">'Sta_Mo '!$AT$5:$AT$35</definedName>
    <definedName name="_xlchart.v1.136" hidden="1">'Sta_Mo '!$AU$4</definedName>
    <definedName name="_xlchart.v1.137" hidden="1">'Sta_Mo '!$AU$5:$AU$35</definedName>
    <definedName name="_xlchart.v1.138" hidden="1">'Sta_Mo '!$AW$4</definedName>
    <definedName name="_xlchart.v1.139" hidden="1">'Sta_Mo '!$AW$5:$AW$35</definedName>
    <definedName name="_xlchart.v1.14" hidden="1">'Sta_Cu '!$AF$4</definedName>
    <definedName name="_xlchart.v1.140" hidden="1">'Sta_Mo '!$AX$4</definedName>
    <definedName name="_xlchart.v1.141" hidden="1">'Sta_Mo '!$AX$5:$AX$35</definedName>
    <definedName name="_xlchart.v1.142" hidden="1">'Sta_Mo '!$M$4</definedName>
    <definedName name="_xlchart.v1.143" hidden="1">'Sta_Mo '!$M$5:$M$35</definedName>
    <definedName name="_xlchart.v1.144" hidden="1">'Sta_Mo '!$K$4</definedName>
    <definedName name="_xlchart.v1.145" hidden="1">'Sta_Mo '!$K$5:$K$35</definedName>
    <definedName name="_xlchart.v1.146" hidden="1">'Sta_Mo '!$L$4</definedName>
    <definedName name="_xlchart.v1.147" hidden="1">'Sta_Mo '!$L$5:$L$35</definedName>
    <definedName name="_xlchart.v1.148" hidden="1">'Sta_Mo '!$AY$4</definedName>
    <definedName name="_xlchart.v1.149" hidden="1">'Sta_Mo '!$AY$5:$AY$35</definedName>
    <definedName name="_xlchart.v1.15" hidden="1">'Sta_Cu '!$AF$5:$AF$35</definedName>
    <definedName name="_xlchart.v1.150" hidden="1">'Sta_Mo '!$O$4</definedName>
    <definedName name="_xlchart.v1.151" hidden="1">'Sta_Mo '!$O$5:$O$35</definedName>
    <definedName name="_xlchart.v1.152" hidden="1">'Sta_Mo '!$P$4</definedName>
    <definedName name="_xlchart.v1.153" hidden="1">'Sta_Mo '!$P$5:$P$35</definedName>
    <definedName name="_xlchart.v1.154" hidden="1">'Sta_Mo '!$Q$4</definedName>
    <definedName name="_xlchart.v1.155" hidden="1">'Sta_Mo '!$Q$5:$Q$35</definedName>
    <definedName name="_xlchart.v1.156" hidden="1">'Sta_Mo '!$BA$4</definedName>
    <definedName name="_xlchart.v1.157" hidden="1">'Sta_Mo '!$BA$5:$BA$35</definedName>
    <definedName name="_xlchart.v1.158" hidden="1">'Sta_Mo '!$BB$4</definedName>
    <definedName name="_xlchart.v1.159" hidden="1">'Sta_Mo '!$BB$5:$BB$35</definedName>
    <definedName name="_xlchart.v1.16" hidden="1">'Sta_Cu '!$BS$4</definedName>
    <definedName name="_xlchart.v1.160" hidden="1">'Sta_Mo '!$BI$4</definedName>
    <definedName name="_xlchart.v1.161" hidden="1">'Sta_Mo '!$BI$5:$BI$35</definedName>
    <definedName name="_xlchart.v1.162" hidden="1">'Sta_Mo '!$BJ$4</definedName>
    <definedName name="_xlchart.v1.163" hidden="1">'Sta_Mo '!$BJ$5:$BJ$35</definedName>
    <definedName name="_xlchart.v1.164" hidden="1">'Sta_Mo '!$BK$4</definedName>
    <definedName name="_xlchart.v1.165" hidden="1">'Sta_Mo '!$BK$5:$BK$35</definedName>
    <definedName name="_xlchart.v1.166" hidden="1">'Sta_Mo '!$AA$4</definedName>
    <definedName name="_xlchart.v1.167" hidden="1">'Sta_Mo '!$AA$5:$AA$35</definedName>
    <definedName name="_xlchart.v1.168" hidden="1">'Sta_Mo '!$AB$4</definedName>
    <definedName name="_xlchart.v1.169" hidden="1">'Sta_Mo '!$AB$5:$AB$35</definedName>
    <definedName name="_xlchart.v1.17" hidden="1">'Sta_Cu '!$BS$5:$BS$35</definedName>
    <definedName name="_xlchart.v1.170" hidden="1">'Sta_Mo '!$U$4</definedName>
    <definedName name="_xlchart.v1.171" hidden="1">'Sta_Mo '!$U$5:$U$35</definedName>
    <definedName name="_xlchart.v1.172" hidden="1">'Sta_Mo '!$BE$4</definedName>
    <definedName name="_xlchart.v1.173" hidden="1">'Sta_Mo '!$BE$5:$BE$35</definedName>
    <definedName name="_xlchart.v1.174" hidden="1">'Sta_Mo '!$BF$4</definedName>
    <definedName name="_xlchart.v1.175" hidden="1">'Sta_Mo '!$BF$5:$BF$35</definedName>
    <definedName name="_xlchart.v1.176" hidden="1">'Sta_Mo '!$BG$4</definedName>
    <definedName name="_xlchart.v1.177" hidden="1">'Sta_Mo '!$BG$5:$BG$35</definedName>
    <definedName name="_xlchart.v1.178" hidden="1">'Sta_Mo '!$W$4</definedName>
    <definedName name="_xlchart.v1.179" hidden="1">'Sta_Mo '!$W$5:$W$35</definedName>
    <definedName name="_xlchart.v1.18" hidden="1">'Sta_Cu '!$AI$4</definedName>
    <definedName name="_xlchart.v1.180" hidden="1">'Sta_Mo '!$X$4</definedName>
    <definedName name="_xlchart.v1.181" hidden="1">'Sta_Mo '!$X$5:$X$35</definedName>
    <definedName name="_xlchart.v1.182" hidden="1">'Sta_Mo '!$Y$4</definedName>
    <definedName name="_xlchart.v1.183" hidden="1">'Sta_Mo '!$Y$5:$Y$35</definedName>
    <definedName name="_xlchart.v1.184" hidden="1">'Sta_Mo '!$AC$4</definedName>
    <definedName name="_xlchart.v1.185" hidden="1">'Sta_Mo '!$AC$5:$AC$35</definedName>
    <definedName name="_xlchart.v1.186" hidden="1">'Sta_Mo '!$BQ$4</definedName>
    <definedName name="_xlchart.v1.187" hidden="1">'Sta_Mo '!$BQ$5:$BQ$35</definedName>
    <definedName name="_xlchart.v1.188" hidden="1">'Sta_Mo '!$BR$4</definedName>
    <definedName name="_xlchart.v1.189" hidden="1">'Sta_Mo '!$BR$5:$BR$35</definedName>
    <definedName name="_xlchart.v1.19" hidden="1">'Sta_Cu '!$AI$5:$AI$35</definedName>
    <definedName name="_xlchart.v1.190" hidden="1">'Sta_Mo '!$AI$4</definedName>
    <definedName name="_xlchart.v1.191" hidden="1">'Sta_Mo '!$AI$5:$AI$35</definedName>
    <definedName name="_xlchart.v1.192" hidden="1">'Sta_Mo '!$AJ$4</definedName>
    <definedName name="_xlchart.v1.193" hidden="1">'Sta_Mo '!$AJ$5:$AJ$35</definedName>
    <definedName name="_xlchart.v1.194" hidden="1">'Sta_Mo '!$AK$4</definedName>
    <definedName name="_xlchart.v1.195" hidden="1">'Sta_Mo '!$AK$5:$AK$35</definedName>
    <definedName name="_xlchart.v1.196" hidden="1">'Sta_Mo '!$BO$4</definedName>
    <definedName name="_xlchart.v1.197" hidden="1">'Sta_Mo '!$BO$5:$BO$35</definedName>
    <definedName name="_xlchart.v1.198" hidden="1">'Sta_Mo '!$AG$4</definedName>
    <definedName name="_xlchart.v1.199" hidden="1">'Sta_Mo '!$AG$5:$AG$35</definedName>
    <definedName name="_xlchart.v1.2" hidden="1">'Sta_Cu '!$BM$4</definedName>
    <definedName name="_xlchart.v1.20" hidden="1">'Sta_Cu '!$AJ$4</definedName>
    <definedName name="_xlchart.v1.200" hidden="1">'Sta_Mo '!$BU$4</definedName>
    <definedName name="_xlchart.v1.201" hidden="1">'Sta_Mo '!$BU$5:$BU$35</definedName>
    <definedName name="_xlchart.v1.202" hidden="1">'Sta_Mo '!$BV$4</definedName>
    <definedName name="_xlchart.v1.203" hidden="1">'Sta_Mo '!$BV$5:$BV$35</definedName>
    <definedName name="_xlchart.v1.204" hidden="1">'Sta_Mo '!$BW$4</definedName>
    <definedName name="_xlchart.v1.205" hidden="1">'Sta_Mo '!$BW$5:$BW$35</definedName>
    <definedName name="_xlchart.v1.206" hidden="1">'Sta_Mo '!$BM$4</definedName>
    <definedName name="_xlchart.v1.207" hidden="1">'Sta_Mo '!$BM$5:$BM$35</definedName>
    <definedName name="_xlchart.v1.208" hidden="1">'Sta_Mo '!$BN$4</definedName>
    <definedName name="_xlchart.v1.209" hidden="1">'Sta_Mo '!$BN$5:$BN$35</definedName>
    <definedName name="_xlchart.v1.21" hidden="1">'Sta_Cu '!$AJ$5:$AJ$35</definedName>
    <definedName name="_xlchart.v1.210" hidden="1">'Sta_Mo '!$BS$4</definedName>
    <definedName name="_xlchart.v1.211" hidden="1">'Sta_Mo '!$BS$5:$BS$35</definedName>
    <definedName name="_xlchart.v1.212" hidden="1">'Sta_Mo '!$AE$4</definedName>
    <definedName name="_xlchart.v1.213" hidden="1">'Sta_Mo '!$AE$5:$AE$35</definedName>
    <definedName name="_xlchart.v1.214" hidden="1">'Sta_Mo '!$AF$4</definedName>
    <definedName name="_xlchart.v1.215" hidden="1">'Sta_Mo '!$AF$5:$AF$35</definedName>
    <definedName name="_xlchart.v1.22" hidden="1">'Sta_Cu '!$BU$4</definedName>
    <definedName name="_xlchart.v1.23" hidden="1">'Sta_Cu '!$BU$5:$BU$35</definedName>
    <definedName name="_xlchart.v1.24" hidden="1">'Sta_Cu '!$BV$4</definedName>
    <definedName name="_xlchart.v1.25" hidden="1">'Sta_Cu '!$BV$5:$BV$35</definedName>
    <definedName name="_xlchart.v1.26" hidden="1">'Sta_Cu '!$AK$4</definedName>
    <definedName name="_xlchart.v1.27" hidden="1">'Sta_Cu '!$AK$5:$AK$35</definedName>
    <definedName name="_xlchart.v1.28" hidden="1">'Sta_Cu '!$BW$4</definedName>
    <definedName name="_xlchart.v1.29" hidden="1">'Sta_Cu '!$BW$5:$BW$35</definedName>
    <definedName name="_xlchart.v1.3" hidden="1">'Sta_Cu '!$BM$5:$BM$35</definedName>
    <definedName name="_xlchart.v1.30" hidden="1">'Sta_Cu '!$C$4</definedName>
    <definedName name="_xlchart.v1.31" hidden="1">'Sta_Cu '!$C$5:$C$35</definedName>
    <definedName name="_xlchart.v1.32" hidden="1">'Sta_Cu '!$D$4</definedName>
    <definedName name="_xlchart.v1.33" hidden="1">'Sta_Cu '!$D$5:$D$35</definedName>
    <definedName name="_xlchart.v1.34" hidden="1">'Sta_Cu '!$E$4</definedName>
    <definedName name="_xlchart.v1.35" hidden="1">'Sta_Cu '!$E$5:$E$35</definedName>
    <definedName name="_xlchart.v1.36" hidden="1">'Sta_Cu '!$Q$4</definedName>
    <definedName name="_xlchart.v1.37" hidden="1">'Sta_Cu '!$Q$5:$Q$35</definedName>
    <definedName name="_xlchart.v1.38" hidden="1">'Sta_Cu '!$AS$4</definedName>
    <definedName name="_xlchart.v1.39" hidden="1">'Sta_Cu '!$AS$5:$AS$35</definedName>
    <definedName name="_xlchart.v1.4" hidden="1">'Sta_Cu '!$BN$4</definedName>
    <definedName name="_xlchart.v1.40" hidden="1">'Sta_Cu '!$AT$4</definedName>
    <definedName name="_xlchart.v1.41" hidden="1">'Sta_Cu '!$AT$5:$AT$35</definedName>
    <definedName name="_xlchart.v1.42" hidden="1">'Sta_Cu '!$BC$4</definedName>
    <definedName name="_xlchart.v1.43" hidden="1">'Sta_Cu '!$BC$5:$BC$35</definedName>
    <definedName name="_xlchart.v1.44" hidden="1">[1]Sta_Cu!$BB$4</definedName>
    <definedName name="_xlchart.v1.45" hidden="1">[1]Sta_Cu!$BB$5:$BB$35</definedName>
    <definedName name="_xlchart.v1.46" hidden="1">'Sta_Cu '!$BA$4</definedName>
    <definedName name="_xlchart.v1.47" hidden="1">'Sta_Cu '!$BA$5:$BA$35</definedName>
    <definedName name="_xlchart.v1.48" hidden="1">'Sta_Cu '!$AQ$4</definedName>
    <definedName name="_xlchart.v1.49" hidden="1">'Sta_Cu '!$AQ$5:$AQ$35</definedName>
    <definedName name="_xlchart.v1.5" hidden="1">'Sta_Cu '!$BN$5:$BN$35</definedName>
    <definedName name="_xlchart.v1.50" hidden="1">'Sta_Cu '!$I$4</definedName>
    <definedName name="_xlchart.v1.51" hidden="1">'Sta_Cu '!$I$5:$I$35</definedName>
    <definedName name="_xlchart.v1.52" hidden="1">'Sta_Cu '!$M$4</definedName>
    <definedName name="_xlchart.v1.53" hidden="1">'Sta_Cu '!$M$5:$M$35</definedName>
    <definedName name="_xlchart.v1.54" hidden="1">'Sta_Cu '!$O$4</definedName>
    <definedName name="_xlchart.v1.55" hidden="1">'Sta_Cu '!$O$5:$O$35</definedName>
    <definedName name="_xlchart.v1.56" hidden="1">'Sta_Cu '!$P$4</definedName>
    <definedName name="_xlchart.v1.57" hidden="1">'Sta_Cu '!$P$5:$P$35</definedName>
    <definedName name="_xlchart.v1.58" hidden="1">'Sta_Cu '!$S$4</definedName>
    <definedName name="_xlchart.v1.59" hidden="1">'Sta_Cu '!$S$5:$S$35</definedName>
    <definedName name="_xlchart.v1.6" hidden="1">'Sta_Cu '!$AG$4</definedName>
    <definedName name="_xlchart.v1.60" hidden="1">'Sta_Cu '!$T$4</definedName>
    <definedName name="_xlchart.v1.61" hidden="1">'Sta_Cu '!$T$5:$T$35</definedName>
    <definedName name="_xlchart.v1.62" hidden="1">'Sta_Cu '!$AU$4</definedName>
    <definedName name="_xlchart.v1.63" hidden="1">'Sta_Cu '!$AU$5:$AU$35</definedName>
    <definedName name="_xlchart.v1.64" hidden="1">'Sta_Cu '!$K$4</definedName>
    <definedName name="_xlchart.v1.65" hidden="1">'Sta_Cu '!$K$5:$K$35</definedName>
    <definedName name="_xlchart.v1.66" hidden="1">'Sta_Cu '!$L$4</definedName>
    <definedName name="_xlchart.v1.67" hidden="1">'Sta_Cu '!$L$5:$L$35</definedName>
    <definedName name="_xlchart.v1.68" hidden="1">'Sta_Cu '!$G$4</definedName>
    <definedName name="_xlchart.v1.69" hidden="1">'Sta_Cu '!$G$5:$G$35</definedName>
    <definedName name="_xlchart.v1.7" hidden="1">'Sta_Cu '!$AG$5:$AG$35</definedName>
    <definedName name="_xlchart.v1.70" hidden="1">'Sta_Cu '!$H$4</definedName>
    <definedName name="_xlchart.v1.71" hidden="1">'Sta_Cu '!$H$5:$H$35</definedName>
    <definedName name="_xlchart.v1.72" hidden="1">'Sta_Cu '!$U$4</definedName>
    <definedName name="_xlchart.v1.73" hidden="1">'Sta_Cu '!$U$5:$U$35</definedName>
    <definedName name="_xlchart.v1.74" hidden="1">'Sta_Cu '!$AO$4</definedName>
    <definedName name="_xlchart.v1.75" hidden="1">'Sta_Cu '!$AO$5:$AO$35</definedName>
    <definedName name="_xlchart.v1.76" hidden="1">'Sta_Cu '!$AP$4</definedName>
    <definedName name="_xlchart.v1.77" hidden="1">'Sta_Cu '!$AP$5:$AP$35</definedName>
    <definedName name="_xlchart.v1.78" hidden="1">'Sta_Cu '!$AW$4</definedName>
    <definedName name="_xlchart.v1.79" hidden="1">'Sta_Cu '!$AW$5:$AW$35</definedName>
    <definedName name="_xlchart.v1.8" hidden="1">'Sta_Cu '!$BQ$4</definedName>
    <definedName name="_xlchart.v1.80" hidden="1">'Sta_Cu '!$AX$4</definedName>
    <definedName name="_xlchart.v1.81" hidden="1">'Sta_Cu '!$AX$5:$AX$35</definedName>
    <definedName name="_xlchart.v1.82" hidden="1">'Sta_Cu '!$AY$4</definedName>
    <definedName name="_xlchart.v1.83" hidden="1">'Sta_Cu '!$AY$5:$AY$35</definedName>
    <definedName name="_xlchart.v1.84" hidden="1">'Sta_Cu '!$BE$4</definedName>
    <definedName name="_xlchart.v1.85" hidden="1">'Sta_Cu '!$BE$5:$BE$35</definedName>
    <definedName name="_xlchart.v1.86" hidden="1">'Sta_Cu '!$BF$4</definedName>
    <definedName name="_xlchart.v1.87" hidden="1">'Sta_Cu '!$BF$5:$BF$35</definedName>
    <definedName name="_xlchart.v1.88" hidden="1">'Sta_Cu '!$BG$4</definedName>
    <definedName name="_xlchart.v1.89" hidden="1">'Sta_Cu '!$BG$5:$BG$35</definedName>
    <definedName name="_xlchart.v1.9" hidden="1">'Sta_Cu '!$BQ$5:$BQ$35</definedName>
    <definedName name="_xlchart.v1.90" hidden="1">'Sta_Cu '!$W$4</definedName>
    <definedName name="_xlchart.v1.91" hidden="1">'Sta_Cu '!$W$5:$W$35</definedName>
    <definedName name="_xlchart.v1.92" hidden="1">'Sta_Cu '!$X$4</definedName>
    <definedName name="_xlchart.v1.93" hidden="1">'Sta_Cu '!$X$5:$X$35</definedName>
    <definedName name="_xlchart.v1.94" hidden="1">'Sta_Cu '!$Y$4</definedName>
    <definedName name="_xlchart.v1.95" hidden="1">'Sta_Cu '!$Y$5:$Y$35</definedName>
    <definedName name="_xlchart.v1.96" hidden="1">'Sta_Cu '!$BI$4</definedName>
    <definedName name="_xlchart.v1.97" hidden="1">'Sta_Cu '!$BI$5:$BI$35</definedName>
    <definedName name="_xlchart.v1.98" hidden="1">'Sta_Cu '!$BJ$4</definedName>
    <definedName name="_xlchart.v1.99" hidden="1">'Sta_Cu '!$BJ$5:$BJ$35</definedName>
    <definedName name="_xlnm.Print_Area" localSheetId="12">BloxPlot_Mo!$A$1:$Z$413</definedName>
    <definedName name="_xlnm.Print_Area" localSheetId="8">DistrN_Cu!$A$1:$AA$433</definedName>
    <definedName name="_xlnm.Print_Area" localSheetId="18">'Gráf. Cu-Mo'!$A$1:$X$137</definedName>
    <definedName name="_xlnm.Print_Area" localSheetId="3">'Graf. Fe-Zn-Ox'!$A$1:$X$62</definedName>
    <definedName name="_xlnm.Print_Area" localSheetId="4">Graf1_Cu_Mo!$A$1:$P$67</definedName>
    <definedName name="_xlnm.Print_Area" localSheetId="9">Graf1_Cu_Mo_M!$A$1:$P$67</definedName>
    <definedName name="_xlnm.Print_Area" localSheetId="5">Graf2_Cu_Mo!$A$1:$Q$61</definedName>
    <definedName name="_xlnm.Print_Area" localSheetId="10">Graf2_Cu_Mo_M!$A$1:$Q$61</definedName>
    <definedName name="_xlnm.Print_Area" localSheetId="6">Graf3_Cu_Mo!$A$1:$M$62</definedName>
    <definedName name="_xlnm.Print_Area" localSheetId="11">Graf3_Cu_Mo_M!$A$1:$M$62</definedName>
    <definedName name="_xlnm.Print_Area" localSheetId="2">Portada!$D$1:$Q$118</definedName>
    <definedName name="_xlnm.Print_Area" localSheetId="14">TABLA!$D$1:$BE$65</definedName>
    <definedName name="_xlnm.Print_Area" localSheetId="17">TABLA_M!$D$1:$BB$23</definedName>
    <definedName name="Z_C5BD3E9A_0945_47FE_8A56_1987B427C3E6_.wvu.Cols" localSheetId="28" hidden="1">'%Tiempo Oper.'!$B:$C</definedName>
    <definedName name="Z_C5BD3E9A_0945_47FE_8A56_1987B427C3E6_.wvu.Cols" localSheetId="2" hidden="1">Portada!$A:$C</definedName>
    <definedName name="Z_C5BD3E9A_0945_47FE_8A56_1987B427C3E6_.wvu.PrintArea" localSheetId="18" hidden="1">'Gráf. Cu-Mo'!$A$1:$Y$61</definedName>
    <definedName name="Z_C5BD3E9A_0945_47FE_8A56_1987B427C3E6_.wvu.PrintArea" localSheetId="3" hidden="1">'Graf. Fe-Zn-Ox'!$A$1:$X$41</definedName>
    <definedName name="Z_C5BD3E9A_0945_47FE_8A56_1987B427C3E6_.wvu.PrintArea" localSheetId="4" hidden="1">Graf1_Cu_Mo!$A$1:$P$67</definedName>
    <definedName name="Z_C5BD3E9A_0945_47FE_8A56_1987B427C3E6_.wvu.PrintArea" localSheetId="5" hidden="1">Graf2_Cu_Mo!$A$1:$Q$61</definedName>
    <definedName name="Z_C5BD3E9A_0945_47FE_8A56_1987B427C3E6_.wvu.PrintArea" localSheetId="6" hidden="1">Graf3_Cu_Mo!$A$1:$M$62</definedName>
    <definedName name="Z_C5BD3E9A_0945_47FE_8A56_1987B427C3E6_.wvu.PrintArea" localSheetId="2" hidden="1">Portada!$A$1:$Q$74</definedName>
    <definedName name="Z_C5BD3E9A_0945_47FE_8A56_1987B427C3E6_.wvu.PrintArea" localSheetId="14" hidden="1">TABLA!$D$1:$BE$65</definedName>
    <definedName name="Z_C5BD3E9A_0945_47FE_8A56_1987B427C3E6_.wvu.PrintArea" localSheetId="17" hidden="1">TABLA_M!$D$1:$BB$23</definedName>
    <definedName name="Z_C5BD3E9A_0945_47FE_8A56_1987B427C3E6_.wvu.Rows" localSheetId="2" hidden="1">Portada!$73:$74,Portada!$78:$79,Portada!$111:$111</definedName>
  </definedNames>
  <calcPr calcId="191029" forceFullCalc="1"/>
  <customWorkbookViews>
    <customWorkbookView name="view" guid="{C5BD3E9A-0945-47FE-8A56-1987B427C3E6}" maximized="1" xWindow="-8" yWindow="-8" windowWidth="1936" windowHeight="1056" tabRatio="587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2" l="1"/>
  <c r="C48" i="48" l="1"/>
  <c r="C83" i="48"/>
  <c r="C84" i="48" s="1"/>
  <c r="C85" i="48" s="1"/>
  <c r="C86" i="48" s="1"/>
  <c r="C87" i="48" s="1"/>
  <c r="D83" i="48"/>
  <c r="D84" i="48" s="1"/>
  <c r="E83" i="48"/>
  <c r="E84" i="48" s="1"/>
  <c r="G83" i="48"/>
  <c r="G84" i="48" s="1"/>
  <c r="G85" i="48" s="1"/>
  <c r="H83" i="48"/>
  <c r="H84" i="48" s="1"/>
  <c r="H85" i="48" s="1"/>
  <c r="H86" i="48" s="1"/>
  <c r="H87" i="48" s="1"/>
  <c r="I83" i="48"/>
  <c r="I84" i="48" s="1"/>
  <c r="I85" i="48" s="1"/>
  <c r="I86" i="48" s="1"/>
  <c r="K83" i="48"/>
  <c r="K84" i="48" s="1"/>
  <c r="K85" i="48" s="1"/>
  <c r="K86" i="48" s="1"/>
  <c r="K87" i="48" s="1"/>
  <c r="K88" i="48" s="1"/>
  <c r="K89" i="48" s="1"/>
  <c r="K90" i="48" s="1"/>
  <c r="K91" i="48" s="1"/>
  <c r="K92" i="48" s="1"/>
  <c r="K93" i="48" s="1"/>
  <c r="K94" i="48" s="1"/>
  <c r="K95" i="48" s="1"/>
  <c r="K96" i="48" s="1"/>
  <c r="K97" i="48" s="1"/>
  <c r="K98" i="48" s="1"/>
  <c r="K99" i="48" s="1"/>
  <c r="K100" i="48" s="1"/>
  <c r="K101" i="48" s="1"/>
  <c r="K102" i="48" s="1"/>
  <c r="K103" i="48" s="1"/>
  <c r="K104" i="48" s="1"/>
  <c r="K105" i="48" s="1"/>
  <c r="L83" i="48"/>
  <c r="L84" i="48" s="1"/>
  <c r="L85" i="48" s="1"/>
  <c r="L86" i="48" s="1"/>
  <c r="L87" i="48" s="1"/>
  <c r="L88" i="48" s="1"/>
  <c r="L89" i="48" s="1"/>
  <c r="L90" i="48" s="1"/>
  <c r="L91" i="48" s="1"/>
  <c r="L92" i="48" s="1"/>
  <c r="L93" i="48" s="1"/>
  <c r="L94" i="48" s="1"/>
  <c r="L95" i="48" s="1"/>
  <c r="L96" i="48" s="1"/>
  <c r="L97" i="48" s="1"/>
  <c r="L98" i="48" s="1"/>
  <c r="L99" i="48" s="1"/>
  <c r="L100" i="48" s="1"/>
  <c r="L101" i="48" s="1"/>
  <c r="L102" i="48" s="1"/>
  <c r="L103" i="48" s="1"/>
  <c r="L104" i="48" s="1"/>
  <c r="M83" i="48"/>
  <c r="M84" i="48" s="1"/>
  <c r="M85" i="48" s="1"/>
  <c r="M86" i="48" s="1"/>
  <c r="M87" i="48" s="1"/>
  <c r="O83" i="48"/>
  <c r="O84" i="48" s="1"/>
  <c r="O85" i="48" s="1"/>
  <c r="O86" i="48" s="1"/>
  <c r="O87" i="48" s="1"/>
  <c r="O88" i="48" s="1"/>
  <c r="O89" i="48" s="1"/>
  <c r="O90" i="48" s="1"/>
  <c r="O91" i="48" s="1"/>
  <c r="O92" i="48" s="1"/>
  <c r="O93" i="48" s="1"/>
  <c r="O94" i="48" s="1"/>
  <c r="O95" i="48" s="1"/>
  <c r="O96" i="48" s="1"/>
  <c r="O97" i="48" s="1"/>
  <c r="O98" i="48" s="1"/>
  <c r="O99" i="48" s="1"/>
  <c r="O100" i="48" s="1"/>
  <c r="O101" i="48" s="1"/>
  <c r="O102" i="48" s="1"/>
  <c r="O103" i="48" s="1"/>
  <c r="O104" i="48" s="1"/>
  <c r="P83" i="48"/>
  <c r="P84" i="48" s="1"/>
  <c r="P85" i="48" s="1"/>
  <c r="P86" i="48" s="1"/>
  <c r="Q83" i="48"/>
  <c r="Q84" i="48" s="1"/>
  <c r="S83" i="48"/>
  <c r="S84" i="48" s="1"/>
  <c r="S85" i="48" s="1"/>
  <c r="T83" i="48"/>
  <c r="T84" i="48" s="1"/>
  <c r="T85" i="48" s="1"/>
  <c r="T86" i="48" s="1"/>
  <c r="T87" i="48" s="1"/>
  <c r="T88" i="48" s="1"/>
  <c r="T89" i="48" s="1"/>
  <c r="T90" i="48" s="1"/>
  <c r="T91" i="48" s="1"/>
  <c r="U83" i="48"/>
  <c r="U84" i="48" s="1"/>
  <c r="W83" i="48"/>
  <c r="W84" i="48" s="1"/>
  <c r="W85" i="48" s="1"/>
  <c r="X83" i="48"/>
  <c r="X84" i="48" s="1"/>
  <c r="X85" i="48" s="1"/>
  <c r="X86" i="48" s="1"/>
  <c r="X87" i="48" s="1"/>
  <c r="X88" i="48" s="1"/>
  <c r="X89" i="48" s="1"/>
  <c r="Y83" i="48"/>
  <c r="Y84" i="48" s="1"/>
  <c r="Y85" i="48" s="1"/>
  <c r="Y86" i="48" s="1"/>
  <c r="Y87" i="48" s="1"/>
  <c r="Y88" i="48" s="1"/>
  <c r="Y89" i="48" s="1"/>
  <c r="Y90" i="48" s="1"/>
  <c r="Y91" i="48" s="1"/>
  <c r="Y92" i="48" s="1"/>
  <c r="Y93" i="48" s="1"/>
  <c r="Y94" i="48" s="1"/>
  <c r="Y95" i="48" s="1"/>
  <c r="Y96" i="48" s="1"/>
  <c r="Y97" i="48" s="1"/>
  <c r="Y98" i="48" s="1"/>
  <c r="Y99" i="48" s="1"/>
  <c r="AA83" i="48"/>
  <c r="AA84" i="48" s="1"/>
  <c r="AA85" i="48" s="1"/>
  <c r="AA86" i="48" s="1"/>
  <c r="AA87" i="48" s="1"/>
  <c r="AA88" i="48" s="1"/>
  <c r="AA89" i="48" s="1"/>
  <c r="AA90" i="48" s="1"/>
  <c r="AA91" i="48" s="1"/>
  <c r="AA92" i="48" s="1"/>
  <c r="AA93" i="48" s="1"/>
  <c r="AA94" i="48" s="1"/>
  <c r="AA95" i="48" s="1"/>
  <c r="AA96" i="48" s="1"/>
  <c r="AA97" i="48" s="1"/>
  <c r="AA98" i="48" s="1"/>
  <c r="AA99" i="48" s="1"/>
  <c r="AA100" i="48" s="1"/>
  <c r="AA101" i="48" s="1"/>
  <c r="AA102" i="48" s="1"/>
  <c r="AA103" i="48" s="1"/>
  <c r="AA104" i="48" s="1"/>
  <c r="AB83" i="48"/>
  <c r="AB84" i="48" s="1"/>
  <c r="AB85" i="48" s="1"/>
  <c r="AB86" i="48" s="1"/>
  <c r="AB87" i="48" s="1"/>
  <c r="AB88" i="48" s="1"/>
  <c r="AB89" i="48" s="1"/>
  <c r="AB90" i="48" s="1"/>
  <c r="AB91" i="48" s="1"/>
  <c r="AB92" i="48" s="1"/>
  <c r="AB93" i="48" s="1"/>
  <c r="AB94" i="48" s="1"/>
  <c r="AB95" i="48" s="1"/>
  <c r="AB96" i="48" s="1"/>
  <c r="AB97" i="48" s="1"/>
  <c r="AB98" i="48" s="1"/>
  <c r="AB99" i="48" s="1"/>
  <c r="AC83" i="48"/>
  <c r="AC84" i="48" s="1"/>
  <c r="AC85" i="48" s="1"/>
  <c r="AE83" i="48"/>
  <c r="AE84" i="48" s="1"/>
  <c r="AF83" i="48"/>
  <c r="AF84" i="48" s="1"/>
  <c r="AF85" i="48" s="1"/>
  <c r="AF86" i="48" s="1"/>
  <c r="AF87" i="48" s="1"/>
  <c r="AG83" i="48"/>
  <c r="AG84" i="48" s="1"/>
  <c r="AI83" i="48"/>
  <c r="AI84" i="48" s="1"/>
  <c r="AI85" i="48" s="1"/>
  <c r="AJ83" i="48"/>
  <c r="AJ84" i="48" s="1"/>
  <c r="AJ85" i="48" s="1"/>
  <c r="AJ86" i="48" s="1"/>
  <c r="AK83" i="48"/>
  <c r="AK84" i="48" s="1"/>
  <c r="AW83" i="48"/>
  <c r="AW84" i="48" s="1"/>
  <c r="AW85" i="48" s="1"/>
  <c r="AW86" i="48" s="1"/>
  <c r="AW87" i="48" s="1"/>
  <c r="AX83" i="48"/>
  <c r="AX84" i="48" s="1"/>
  <c r="AX85" i="48" s="1"/>
  <c r="AY83" i="48"/>
  <c r="AY84" i="48" s="1"/>
  <c r="AY85" i="48" s="1"/>
  <c r="AY86" i="48" s="1"/>
  <c r="AY87" i="48" s="1"/>
  <c r="AY88" i="48" s="1"/>
  <c r="AY89" i="48" s="1"/>
  <c r="AY90" i="48" s="1"/>
  <c r="AY91" i="48" s="1"/>
  <c r="AY92" i="48" s="1"/>
  <c r="AY93" i="48" s="1"/>
  <c r="AY94" i="48" s="1"/>
  <c r="AY95" i="48" s="1"/>
  <c r="AY96" i="48" s="1"/>
  <c r="AY97" i="48" s="1"/>
  <c r="AY98" i="48" s="1"/>
  <c r="AY99" i="48" s="1"/>
  <c r="AY100" i="48" s="1"/>
  <c r="BA83" i="48"/>
  <c r="BA84" i="48" s="1"/>
  <c r="BA85" i="48" s="1"/>
  <c r="BA86" i="48" s="1"/>
  <c r="BA87" i="48" s="1"/>
  <c r="BA88" i="48" s="1"/>
  <c r="BA89" i="48" s="1"/>
  <c r="BA90" i="48" s="1"/>
  <c r="BA91" i="48" s="1"/>
  <c r="BA92" i="48" s="1"/>
  <c r="BA93" i="48" s="1"/>
  <c r="BA94" i="48" s="1"/>
  <c r="BA95" i="48" s="1"/>
  <c r="BA96" i="48" s="1"/>
  <c r="BA97" i="48" s="1"/>
  <c r="BA98" i="48" s="1"/>
  <c r="BA99" i="48" s="1"/>
  <c r="BA100" i="48" s="1"/>
  <c r="BA101" i="48" s="1"/>
  <c r="BA102" i="48" s="1"/>
  <c r="BA103" i="48" s="1"/>
  <c r="BA104" i="48" s="1"/>
  <c r="BB83" i="48"/>
  <c r="BB84" i="48" s="1"/>
  <c r="BB85" i="48" s="1"/>
  <c r="BB86" i="48" s="1"/>
  <c r="BB87" i="48" s="1"/>
  <c r="BB88" i="48" s="1"/>
  <c r="BB89" i="48" s="1"/>
  <c r="BB90" i="48" s="1"/>
  <c r="BB91" i="48" s="1"/>
  <c r="BB92" i="48" s="1"/>
  <c r="BB93" i="48" s="1"/>
  <c r="BB94" i="48" s="1"/>
  <c r="BB95" i="48" s="1"/>
  <c r="BB96" i="48" s="1"/>
  <c r="BB97" i="48" s="1"/>
  <c r="BB98" i="48" s="1"/>
  <c r="BB99" i="48" s="1"/>
  <c r="BB100" i="48" s="1"/>
  <c r="BB101" i="48" s="1"/>
  <c r="BB102" i="48" s="1"/>
  <c r="BB103" i="48" s="1"/>
  <c r="BC83" i="48"/>
  <c r="BC84" i="48" s="1"/>
  <c r="BC85" i="48" s="1"/>
  <c r="BC86" i="48" s="1"/>
  <c r="BC87" i="48" s="1"/>
  <c r="BC88" i="48" s="1"/>
  <c r="BE83" i="48"/>
  <c r="BE84" i="48" s="1"/>
  <c r="BE85" i="48" s="1"/>
  <c r="BE86" i="48" s="1"/>
  <c r="BE87" i="48" s="1"/>
  <c r="BE88" i="48" s="1"/>
  <c r="BE89" i="48" s="1"/>
  <c r="BE90" i="48" s="1"/>
  <c r="BE91" i="48" s="1"/>
  <c r="BE92" i="48" s="1"/>
  <c r="BE93" i="48" s="1"/>
  <c r="BE94" i="48" s="1"/>
  <c r="BE95" i="48" s="1"/>
  <c r="BE96" i="48" s="1"/>
  <c r="BE97" i="48" s="1"/>
  <c r="BE98" i="48" s="1"/>
  <c r="BE99" i="48" s="1"/>
  <c r="BE100" i="48" s="1"/>
  <c r="BE101" i="48" s="1"/>
  <c r="BE102" i="48" s="1"/>
  <c r="BE103" i="48" s="1"/>
  <c r="BE104" i="48" s="1"/>
  <c r="BE105" i="48" s="1"/>
  <c r="BE106" i="48" s="1"/>
  <c r="BE107" i="48" s="1"/>
  <c r="BE108" i="48" s="1"/>
  <c r="BE109" i="48" s="1"/>
  <c r="BE110" i="48" s="1"/>
  <c r="BE111" i="48" s="1"/>
  <c r="BF83" i="48"/>
  <c r="BF84" i="48" s="1"/>
  <c r="BF85" i="48" s="1"/>
  <c r="BF86" i="48" s="1"/>
  <c r="BG83" i="48"/>
  <c r="BG84" i="48" s="1"/>
  <c r="BI83" i="48"/>
  <c r="BI84" i="48" s="1"/>
  <c r="BI85" i="48" s="1"/>
  <c r="BI86" i="48" s="1"/>
  <c r="BI87" i="48" s="1"/>
  <c r="BJ83" i="48"/>
  <c r="BJ84" i="48" s="1"/>
  <c r="BJ85" i="48" s="1"/>
  <c r="BJ86" i="48" s="1"/>
  <c r="BJ87" i="48" s="1"/>
  <c r="BJ88" i="48" s="1"/>
  <c r="BK83" i="48"/>
  <c r="BK84" i="48" s="1"/>
  <c r="BK85" i="48" s="1"/>
  <c r="BM83" i="48"/>
  <c r="BM84" i="48" s="1"/>
  <c r="BM85" i="48" s="1"/>
  <c r="BM86" i="48" s="1"/>
  <c r="BM87" i="48" s="1"/>
  <c r="BM88" i="48" s="1"/>
  <c r="BM89" i="48" s="1"/>
  <c r="BM90" i="48" s="1"/>
  <c r="BM91" i="48" s="1"/>
  <c r="BN83" i="48"/>
  <c r="BN84" i="48" s="1"/>
  <c r="BN85" i="48" s="1"/>
  <c r="BN86" i="48" s="1"/>
  <c r="BN87" i="48" s="1"/>
  <c r="BN88" i="48" s="1"/>
  <c r="BN89" i="48" s="1"/>
  <c r="BO83" i="48"/>
  <c r="BO84" i="48" s="1"/>
  <c r="BO85" i="48" s="1"/>
  <c r="BO86" i="48" s="1"/>
  <c r="BO87" i="48" s="1"/>
  <c r="BO88" i="48" s="1"/>
  <c r="BO89" i="48" s="1"/>
  <c r="BO90" i="48" s="1"/>
  <c r="BO91" i="48" s="1"/>
  <c r="BO92" i="48" s="1"/>
  <c r="BO93" i="48" s="1"/>
  <c r="BO94" i="48" s="1"/>
  <c r="BO95" i="48" s="1"/>
  <c r="BO96" i="48" s="1"/>
  <c r="BO97" i="48" s="1"/>
  <c r="BO98" i="48" s="1"/>
  <c r="BO99" i="48" s="1"/>
  <c r="BO100" i="48" s="1"/>
  <c r="BQ83" i="48"/>
  <c r="BQ84" i="48" s="1"/>
  <c r="BQ85" i="48" s="1"/>
  <c r="BQ86" i="48" s="1"/>
  <c r="BQ87" i="48" s="1"/>
  <c r="BQ88" i="48" s="1"/>
  <c r="BQ89" i="48" s="1"/>
  <c r="BQ90" i="48" s="1"/>
  <c r="BQ91" i="48" s="1"/>
  <c r="BQ92" i="48" s="1"/>
  <c r="BQ93" i="48" s="1"/>
  <c r="BQ94" i="48" s="1"/>
  <c r="BQ95" i="48" s="1"/>
  <c r="BQ96" i="48" s="1"/>
  <c r="BQ97" i="48" s="1"/>
  <c r="BQ98" i="48" s="1"/>
  <c r="BQ99" i="48" s="1"/>
  <c r="BQ100" i="48" s="1"/>
  <c r="BQ101" i="48" s="1"/>
  <c r="BQ102" i="48" s="1"/>
  <c r="BQ103" i="48" s="1"/>
  <c r="BR83" i="48"/>
  <c r="BR84" i="48" s="1"/>
  <c r="BR85" i="48" s="1"/>
  <c r="BR86" i="48" s="1"/>
  <c r="BR87" i="48" s="1"/>
  <c r="BR88" i="48" s="1"/>
  <c r="BR89" i="48" s="1"/>
  <c r="BR90" i="48" s="1"/>
  <c r="BR91" i="48" s="1"/>
  <c r="BR92" i="48" s="1"/>
  <c r="BR93" i="48" s="1"/>
  <c r="BR94" i="48" s="1"/>
  <c r="BR95" i="48" s="1"/>
  <c r="BR96" i="48" s="1"/>
  <c r="BR97" i="48" s="1"/>
  <c r="BR98" i="48" s="1"/>
  <c r="BR99" i="48" s="1"/>
  <c r="BR100" i="48" s="1"/>
  <c r="BS83" i="48"/>
  <c r="BS84" i="48" s="1"/>
  <c r="BS85" i="48" s="1"/>
  <c r="BS86" i="48" s="1"/>
  <c r="BU83" i="48"/>
  <c r="BV83" i="48"/>
  <c r="BV84" i="48" s="1"/>
  <c r="BV85" i="48" s="1"/>
  <c r="BV86" i="48" s="1"/>
  <c r="BV87" i="48" s="1"/>
  <c r="BW83" i="48"/>
  <c r="BW84" i="48" s="1"/>
  <c r="D86" i="48"/>
  <c r="D87" i="48" s="1"/>
  <c r="BU84" i="48" l="1"/>
  <c r="BS87" i="48"/>
  <c r="AB100" i="48"/>
  <c r="S86" i="48"/>
  <c r="BN90" i="48"/>
  <c r="BC89" i="48"/>
  <c r="I87" i="48"/>
  <c r="BM92" i="48"/>
  <c r="D88" i="48"/>
  <c r="BI88" i="48"/>
  <c r="T92" i="48"/>
  <c r="AF88" i="48"/>
  <c r="AI86" i="48"/>
  <c r="BW85" i="48"/>
  <c r="BG85" i="48"/>
  <c r="AG85" i="48"/>
  <c r="Q85" i="48"/>
  <c r="K106" i="48"/>
  <c r="BB104" i="48"/>
  <c r="BA105" i="48"/>
  <c r="C88" i="48"/>
  <c r="O105" i="48"/>
  <c r="Y100" i="48"/>
  <c r="L105" i="48"/>
  <c r="X90" i="48"/>
  <c r="AW88" i="48"/>
  <c r="BO101" i="48"/>
  <c r="AJ87" i="48"/>
  <c r="BQ104" i="48"/>
  <c r="AY101" i="48"/>
  <c r="P87" i="48"/>
  <c r="BF87" i="48"/>
  <c r="AX86" i="48"/>
  <c r="H88" i="48"/>
  <c r="BR101" i="48"/>
  <c r="BV88" i="48"/>
  <c r="G86" i="48"/>
  <c r="AA105" i="48"/>
  <c r="BJ89" i="48"/>
  <c r="M88" i="48"/>
  <c r="AC86" i="48"/>
  <c r="AE85" i="48"/>
  <c r="BK86" i="48"/>
  <c r="W86" i="48"/>
  <c r="AK85" i="48"/>
  <c r="U85" i="48"/>
  <c r="E85" i="48"/>
  <c r="C48" i="45"/>
  <c r="E79" i="45"/>
  <c r="I79" i="45"/>
  <c r="I80" i="45" s="1"/>
  <c r="I81" i="45" s="1"/>
  <c r="I82" i="45" s="1"/>
  <c r="I83" i="45" s="1"/>
  <c r="M79" i="45"/>
  <c r="O79" i="45"/>
  <c r="O80" i="45" s="1"/>
  <c r="P79" i="45"/>
  <c r="P80" i="45" s="1"/>
  <c r="P81" i="45" s="1"/>
  <c r="Q79" i="45"/>
  <c r="Q80" i="45" s="1"/>
  <c r="Q81" i="45" s="1"/>
  <c r="S79" i="45"/>
  <c r="T79" i="45"/>
  <c r="T80" i="45" s="1"/>
  <c r="T81" i="45" s="1"/>
  <c r="U79" i="45"/>
  <c r="U80" i="45" s="1"/>
  <c r="U81" i="45" s="1"/>
  <c r="W79" i="45"/>
  <c r="W80" i="45" s="1"/>
  <c r="W81" i="45" s="1"/>
  <c r="Y79" i="45"/>
  <c r="Y80" i="45" s="1"/>
  <c r="Y81" i="45" s="1"/>
  <c r="Y82" i="45" s="1"/>
  <c r="Y83" i="45" s="1"/>
  <c r="Y84" i="45" s="1"/>
  <c r="AA79" i="45"/>
  <c r="AC79" i="45"/>
  <c r="AE79" i="45"/>
  <c r="AE80" i="45" s="1"/>
  <c r="AE81" i="45" s="1"/>
  <c r="AE82" i="45" s="1"/>
  <c r="AE83" i="45" s="1"/>
  <c r="AG79" i="45"/>
  <c r="AG80" i="45" s="1"/>
  <c r="AI79" i="45"/>
  <c r="AI80" i="45" s="1"/>
  <c r="AI81" i="45" s="1"/>
  <c r="AJ79" i="45"/>
  <c r="AJ80" i="45" s="1"/>
  <c r="AJ81" i="45" s="1"/>
  <c r="AJ82" i="45" s="1"/>
  <c r="AJ83" i="45" s="1"/>
  <c r="AJ84" i="45" s="1"/>
  <c r="AK79" i="45"/>
  <c r="AK80" i="45" s="1"/>
  <c r="AK81" i="45" s="1"/>
  <c r="AK82" i="45" s="1"/>
  <c r="AQ79" i="45"/>
  <c r="AQ80" i="45" s="1"/>
  <c r="AS79" i="45"/>
  <c r="AS80" i="45" s="1"/>
  <c r="AT79" i="45"/>
  <c r="AT80" i="45" s="1"/>
  <c r="BA79" i="45"/>
  <c r="BA80" i="45" s="1"/>
  <c r="BA81" i="45" s="1"/>
  <c r="BA82" i="45" s="1"/>
  <c r="BB79" i="45"/>
  <c r="BB80" i="45" s="1"/>
  <c r="BC79" i="45"/>
  <c r="BE79" i="45"/>
  <c r="BF79" i="45"/>
  <c r="BF80" i="45" s="1"/>
  <c r="BF81" i="45" s="1"/>
  <c r="BF82" i="45" s="1"/>
  <c r="BF83" i="45" s="1"/>
  <c r="BF84" i="45" s="1"/>
  <c r="BI79" i="45"/>
  <c r="BJ79" i="45"/>
  <c r="BJ80" i="45" s="1"/>
  <c r="BJ81" i="45" s="1"/>
  <c r="BO79" i="45"/>
  <c r="BO80" i="45" s="1"/>
  <c r="BO81" i="45" s="1"/>
  <c r="BO82" i="45" s="1"/>
  <c r="BV79" i="45"/>
  <c r="BV80" i="45" s="1"/>
  <c r="BV81" i="45" s="1"/>
  <c r="BV82" i="45" s="1"/>
  <c r="BW79" i="45"/>
  <c r="BW80" i="45" s="1"/>
  <c r="A8" i="44"/>
  <c r="A9" i="44" s="1"/>
  <c r="A10" i="44" s="1"/>
  <c r="A11" i="44" s="1"/>
  <c r="A12" i="44" s="1"/>
  <c r="A13" i="44" s="1"/>
  <c r="A14" i="44" s="1"/>
  <c r="A15" i="44" s="1"/>
  <c r="A16" i="44" s="1"/>
  <c r="A17" i="44" s="1"/>
  <c r="A18" i="44" s="1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34" i="44" s="1"/>
  <c r="A35" i="44" s="1"/>
  <c r="A36" i="44" s="1"/>
  <c r="A37" i="44" s="1"/>
  <c r="BU85" i="48" l="1"/>
  <c r="G87" i="48"/>
  <c r="K107" i="48"/>
  <c r="D89" i="48"/>
  <c r="E86" i="48"/>
  <c r="W87" i="48"/>
  <c r="BF88" i="48"/>
  <c r="Y101" i="48"/>
  <c r="BW86" i="48"/>
  <c r="BN91" i="48"/>
  <c r="BO102" i="48"/>
  <c r="BV89" i="48"/>
  <c r="O106" i="48"/>
  <c r="AW89" i="48"/>
  <c r="U86" i="48"/>
  <c r="C89" i="48"/>
  <c r="AF89" i="48"/>
  <c r="BM93" i="48"/>
  <c r="S87" i="48"/>
  <c r="BK87" i="48"/>
  <c r="AI87" i="48"/>
  <c r="P88" i="48"/>
  <c r="AE86" i="48"/>
  <c r="BR102" i="48"/>
  <c r="AY102" i="48"/>
  <c r="X91" i="48"/>
  <c r="BA106" i="48"/>
  <c r="AK86" i="48"/>
  <c r="BQ105" i="48"/>
  <c r="Q86" i="48"/>
  <c r="I88" i="48"/>
  <c r="BJ90" i="48"/>
  <c r="AG86" i="48"/>
  <c r="T93" i="48"/>
  <c r="AB101" i="48"/>
  <c r="AC87" i="48"/>
  <c r="AA106" i="48"/>
  <c r="H89" i="48"/>
  <c r="L106" i="48"/>
  <c r="M89" i="48"/>
  <c r="AJ88" i="48"/>
  <c r="BS88" i="48"/>
  <c r="AX87" i="48"/>
  <c r="BB105" i="48"/>
  <c r="BG86" i="48"/>
  <c r="BI89" i="48"/>
  <c r="BC90" i="48"/>
  <c r="BW81" i="45"/>
  <c r="AK83" i="45"/>
  <c r="AO48" i="45"/>
  <c r="U82" i="45"/>
  <c r="W82" i="45"/>
  <c r="I84" i="45"/>
  <c r="BE80" i="45"/>
  <c r="AC80" i="45"/>
  <c r="E80" i="45"/>
  <c r="BF85" i="45"/>
  <c r="AA80" i="45"/>
  <c r="BC80" i="45"/>
  <c r="P82" i="45"/>
  <c r="T82" i="45"/>
  <c r="BB81" i="45"/>
  <c r="AJ85" i="45"/>
  <c r="BV83" i="45"/>
  <c r="Y85" i="45"/>
  <c r="BJ82" i="45"/>
  <c r="BA83" i="45"/>
  <c r="AT81" i="45"/>
  <c r="AQ81" i="45"/>
  <c r="S80" i="45"/>
  <c r="AS81" i="45"/>
  <c r="AI82" i="45"/>
  <c r="AE84" i="45"/>
  <c r="O81" i="45"/>
  <c r="BI80" i="45"/>
  <c r="AG81" i="45"/>
  <c r="M80" i="45"/>
  <c r="BO83" i="45"/>
  <c r="Q82" i="45"/>
  <c r="A8" i="43"/>
  <c r="A9" i="43" s="1"/>
  <c r="A10" i="43" s="1"/>
  <c r="A11" i="43" s="1"/>
  <c r="A12" i="43" s="1"/>
  <c r="A13" i="43" s="1"/>
  <c r="A14" i="43" s="1"/>
  <c r="A15" i="43" s="1"/>
  <c r="A16" i="43" s="1"/>
  <c r="A17" i="43" s="1"/>
  <c r="A18" i="43" s="1"/>
  <c r="A19" i="43" s="1"/>
  <c r="A20" i="43" s="1"/>
  <c r="A21" i="43" s="1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A36" i="43" s="1"/>
  <c r="A37" i="43" s="1"/>
  <c r="BU86" i="48" l="1"/>
  <c r="AB102" i="48"/>
  <c r="P89" i="48"/>
  <c r="O107" i="48"/>
  <c r="Y102" i="48"/>
  <c r="D90" i="48"/>
  <c r="AX88" i="48"/>
  <c r="AF90" i="48"/>
  <c r="BC91" i="48"/>
  <c r="K108" i="48"/>
  <c r="BV90" i="48"/>
  <c r="AY103" i="48"/>
  <c r="AI88" i="48"/>
  <c r="C90" i="48"/>
  <c r="BF89" i="48"/>
  <c r="T94" i="48"/>
  <c r="AG87" i="48"/>
  <c r="Q87" i="48"/>
  <c r="AJ89" i="48"/>
  <c r="U87" i="48"/>
  <c r="BO103" i="48"/>
  <c r="G88" i="48"/>
  <c r="AA107" i="48"/>
  <c r="BR103" i="48"/>
  <c r="BK88" i="48"/>
  <c r="BN92" i="48"/>
  <c r="W88" i="48"/>
  <c r="BI90" i="48"/>
  <c r="H90" i="48"/>
  <c r="BG87" i="48"/>
  <c r="BB106" i="48"/>
  <c r="BJ91" i="48"/>
  <c r="AK87" i="48"/>
  <c r="S88" i="48"/>
  <c r="AW90" i="48"/>
  <c r="X92" i="48"/>
  <c r="M90" i="48"/>
  <c r="AC88" i="48"/>
  <c r="E87" i="48"/>
  <c r="I89" i="48"/>
  <c r="L107" i="48"/>
  <c r="BS89" i="48"/>
  <c r="BQ106" i="48"/>
  <c r="BA107" i="48"/>
  <c r="AE87" i="48"/>
  <c r="BM94" i="48"/>
  <c r="BW87" i="48"/>
  <c r="AG82" i="45"/>
  <c r="BV84" i="45"/>
  <c r="W83" i="45"/>
  <c r="BI81" i="45"/>
  <c r="BA84" i="45"/>
  <c r="AS82" i="45"/>
  <c r="AK84" i="45"/>
  <c r="I85" i="45"/>
  <c r="AT82" i="45"/>
  <c r="AJ86" i="45"/>
  <c r="BB82" i="45"/>
  <c r="BF86" i="45"/>
  <c r="Q83" i="45"/>
  <c r="BJ83" i="45"/>
  <c r="E81" i="45"/>
  <c r="T83" i="45"/>
  <c r="AC81" i="45"/>
  <c r="BW82" i="45"/>
  <c r="O82" i="45"/>
  <c r="U83" i="45"/>
  <c r="S81" i="45"/>
  <c r="BO84" i="45"/>
  <c r="Y86" i="45"/>
  <c r="P83" i="45"/>
  <c r="AA81" i="45"/>
  <c r="AI83" i="45"/>
  <c r="BC81" i="45"/>
  <c r="M81" i="45"/>
  <c r="AQ82" i="45"/>
  <c r="BE81" i="45"/>
  <c r="AE85" i="45"/>
  <c r="BU87" i="48" l="1"/>
  <c r="BA108" i="48"/>
  <c r="BF90" i="48"/>
  <c r="BC92" i="48"/>
  <c r="O108" i="48"/>
  <c r="BK89" i="48"/>
  <c r="P90" i="48"/>
  <c r="BQ107" i="48"/>
  <c r="S89" i="48"/>
  <c r="BG88" i="48"/>
  <c r="AJ90" i="48"/>
  <c r="AI89" i="48"/>
  <c r="AF91" i="48"/>
  <c r="U88" i="48"/>
  <c r="BM95" i="48"/>
  <c r="AC89" i="48"/>
  <c r="BR104" i="48"/>
  <c r="AY104" i="48"/>
  <c r="AX89" i="48"/>
  <c r="AB103" i="48"/>
  <c r="C91" i="48"/>
  <c r="BN93" i="48"/>
  <c r="H91" i="48"/>
  <c r="M91" i="48"/>
  <c r="AK88" i="48"/>
  <c r="AG88" i="48"/>
  <c r="BB107" i="48"/>
  <c r="E88" i="48"/>
  <c r="BS90" i="48"/>
  <c r="L108" i="48"/>
  <c r="BJ92" i="48"/>
  <c r="BI91" i="48"/>
  <c r="AA108" i="48"/>
  <c r="BV91" i="48"/>
  <c r="AW91" i="48"/>
  <c r="Q88" i="48"/>
  <c r="G89" i="48"/>
  <c r="T95" i="48"/>
  <c r="D91" i="48"/>
  <c r="BW88" i="48"/>
  <c r="AE88" i="48"/>
  <c r="X93" i="48"/>
  <c r="K109" i="48"/>
  <c r="I90" i="48"/>
  <c r="W89" i="48"/>
  <c r="BO104" i="48"/>
  <c r="Y103" i="48"/>
  <c r="BO85" i="45"/>
  <c r="I86" i="45"/>
  <c r="BW83" i="45"/>
  <c r="AK85" i="45"/>
  <c r="Y87" i="45"/>
  <c r="M82" i="45"/>
  <c r="BJ84" i="45"/>
  <c r="AC82" i="45"/>
  <c r="AT83" i="45"/>
  <c r="AI84" i="45"/>
  <c r="BF87" i="45"/>
  <c r="AS83" i="45"/>
  <c r="Q84" i="45"/>
  <c r="BC82" i="45"/>
  <c r="AE86" i="45"/>
  <c r="S82" i="45"/>
  <c r="U84" i="45"/>
  <c r="BV85" i="45"/>
  <c r="AQ83" i="45"/>
  <c r="E82" i="45"/>
  <c r="AG83" i="45"/>
  <c r="W84" i="45"/>
  <c r="T84" i="45"/>
  <c r="BE82" i="45"/>
  <c r="AA82" i="45"/>
  <c r="P84" i="45"/>
  <c r="O83" i="45"/>
  <c r="BB83" i="45"/>
  <c r="BI82" i="45"/>
  <c r="AJ87" i="45"/>
  <c r="BA85" i="45"/>
  <c r="BU88" i="48" l="1"/>
  <c r="Y104" i="48"/>
  <c r="BO105" i="48"/>
  <c r="W90" i="48"/>
  <c r="I91" i="48"/>
  <c r="K110" i="48"/>
  <c r="X94" i="48"/>
  <c r="AE89" i="48"/>
  <c r="BW89" i="48"/>
  <c r="D92" i="48"/>
  <c r="T96" i="48"/>
  <c r="G90" i="48"/>
  <c r="Q89" i="48"/>
  <c r="AW92" i="48"/>
  <c r="BV92" i="48"/>
  <c r="AA109" i="48"/>
  <c r="BI92" i="48"/>
  <c r="BJ93" i="48"/>
  <c r="L109" i="48"/>
  <c r="BS91" i="48"/>
  <c r="E89" i="48"/>
  <c r="BB108" i="48"/>
  <c r="AG89" i="48"/>
  <c r="AK89" i="48"/>
  <c r="M92" i="48"/>
  <c r="H92" i="48"/>
  <c r="BN94" i="48"/>
  <c r="C92" i="48"/>
  <c r="AB104" i="48"/>
  <c r="AX90" i="48"/>
  <c r="AY105" i="48"/>
  <c r="BR105" i="48"/>
  <c r="AC90" i="48"/>
  <c r="BM96" i="48"/>
  <c r="U89" i="48"/>
  <c r="AF92" i="48"/>
  <c r="AI90" i="48"/>
  <c r="AJ91" i="48"/>
  <c r="BG89" i="48"/>
  <c r="S90" i="48"/>
  <c r="BQ108" i="48"/>
  <c r="P91" i="48"/>
  <c r="BK90" i="48"/>
  <c r="O109" i="48"/>
  <c r="BC93" i="48"/>
  <c r="BF91" i="48"/>
  <c r="BA109" i="48"/>
  <c r="T85" i="45"/>
  <c r="Q85" i="45"/>
  <c r="P85" i="45"/>
  <c r="E83" i="45"/>
  <c r="BI83" i="45"/>
  <c r="AQ84" i="45"/>
  <c r="AE87" i="45"/>
  <c r="BC83" i="45"/>
  <c r="AI85" i="45"/>
  <c r="Y88" i="45"/>
  <c r="AA83" i="45"/>
  <c r="AT84" i="45"/>
  <c r="AK86" i="45"/>
  <c r="BB84" i="45"/>
  <c r="BE83" i="45"/>
  <c r="BV86" i="45"/>
  <c r="AC83" i="45"/>
  <c r="BW84" i="45"/>
  <c r="BA86" i="45"/>
  <c r="BJ85" i="45"/>
  <c r="AS84" i="45"/>
  <c r="I87" i="45"/>
  <c r="U85" i="45"/>
  <c r="AJ88" i="45"/>
  <c r="O84" i="45"/>
  <c r="W85" i="45"/>
  <c r="M83" i="45"/>
  <c r="AG84" i="45"/>
  <c r="S83" i="45"/>
  <c r="BF88" i="45"/>
  <c r="BO86" i="45"/>
  <c r="B37" i="43"/>
  <c r="B36" i="43" s="1"/>
  <c r="B35" i="43" s="1"/>
  <c r="B34" i="43" s="1"/>
  <c r="B33" i="43" s="1"/>
  <c r="B32" i="43" s="1"/>
  <c r="B31" i="43" s="1"/>
  <c r="B30" i="43" s="1"/>
  <c r="B29" i="43" s="1"/>
  <c r="B28" i="43" s="1"/>
  <c r="B27" i="43" s="1"/>
  <c r="B26" i="43" s="1"/>
  <c r="B25" i="43" s="1"/>
  <c r="B24" i="43" s="1"/>
  <c r="B23" i="43" s="1"/>
  <c r="B22" i="43" s="1"/>
  <c r="B21" i="43" s="1"/>
  <c r="B20" i="43" s="1"/>
  <c r="B19" i="43" s="1"/>
  <c r="B18" i="43" s="1"/>
  <c r="B17" i="43" s="1"/>
  <c r="B16" i="43" s="1"/>
  <c r="B15" i="43" s="1"/>
  <c r="B14" i="43" s="1"/>
  <c r="B13" i="43" s="1"/>
  <c r="B12" i="43" s="1"/>
  <c r="B11" i="43" s="1"/>
  <c r="B10" i="43" s="1"/>
  <c r="B9" i="43" s="1"/>
  <c r="B8" i="43" s="1"/>
  <c r="B7" i="43" s="1"/>
  <c r="B37" i="44"/>
  <c r="BO4" i="22"/>
  <c r="BU89" i="48" l="1"/>
  <c r="B9" i="42"/>
  <c r="BA110" i="48"/>
  <c r="BF92" i="48"/>
  <c r="BC94" i="48"/>
  <c r="O110" i="48"/>
  <c r="BK91" i="48"/>
  <c r="P92" i="48"/>
  <c r="BQ109" i="48"/>
  <c r="S91" i="48"/>
  <c r="BG90" i="48"/>
  <c r="AJ92" i="48"/>
  <c r="AI91" i="48"/>
  <c r="AF93" i="48"/>
  <c r="U90" i="48"/>
  <c r="BM97" i="48"/>
  <c r="AC91" i="48"/>
  <c r="BR106" i="48"/>
  <c r="AY106" i="48"/>
  <c r="AX91" i="48"/>
  <c r="AB105" i="48"/>
  <c r="C93" i="48"/>
  <c r="BN95" i="48"/>
  <c r="H93" i="48"/>
  <c r="M93" i="48"/>
  <c r="AK90" i="48"/>
  <c r="AG90" i="48"/>
  <c r="BB109" i="48"/>
  <c r="E90" i="48"/>
  <c r="BS92" i="48"/>
  <c r="L110" i="48"/>
  <c r="BJ94" i="48"/>
  <c r="BI93" i="48"/>
  <c r="AA110" i="48"/>
  <c r="BV93" i="48"/>
  <c r="AW93" i="48"/>
  <c r="Q90" i="48"/>
  <c r="G91" i="48"/>
  <c r="T97" i="48"/>
  <c r="D93" i="48"/>
  <c r="BW90" i="48"/>
  <c r="AE90" i="48"/>
  <c r="X95" i="48"/>
  <c r="K111" i="48"/>
  <c r="I92" i="48"/>
  <c r="W91" i="48"/>
  <c r="BO106" i="48"/>
  <c r="Y105" i="48"/>
  <c r="BO87" i="45"/>
  <c r="BF89" i="45"/>
  <c r="S84" i="45"/>
  <c r="AG85" i="45"/>
  <c r="M84" i="45"/>
  <c r="W86" i="45"/>
  <c r="O85" i="45"/>
  <c r="AJ89" i="45"/>
  <c r="U86" i="45"/>
  <c r="I88" i="45"/>
  <c r="AS85" i="45"/>
  <c r="BJ86" i="45"/>
  <c r="BA87" i="45"/>
  <c r="BW85" i="45"/>
  <c r="AC84" i="45"/>
  <c r="BV87" i="45"/>
  <c r="BE84" i="45"/>
  <c r="BB85" i="45"/>
  <c r="AK87" i="45"/>
  <c r="AT85" i="45"/>
  <c r="AA84" i="45"/>
  <c r="Y89" i="45"/>
  <c r="AI86" i="45"/>
  <c r="BC84" i="45"/>
  <c r="AE88" i="45"/>
  <c r="AQ85" i="45"/>
  <c r="BI84" i="45"/>
  <c r="E84" i="45"/>
  <c r="P86" i="45"/>
  <c r="Q86" i="45"/>
  <c r="T86" i="45"/>
  <c r="B36" i="44"/>
  <c r="D37" i="44"/>
  <c r="C37" i="44"/>
  <c r="C37" i="43"/>
  <c r="D37" i="43"/>
  <c r="D36" i="43"/>
  <c r="C36" i="43"/>
  <c r="BP15" i="30"/>
  <c r="BP7" i="30"/>
  <c r="S36" i="43"/>
  <c r="V37" i="44"/>
  <c r="O37" i="44"/>
  <c r="K36" i="43"/>
  <c r="I36" i="43"/>
  <c r="F37" i="43"/>
  <c r="H36" i="43"/>
  <c r="V36" i="43"/>
  <c r="R36" i="43"/>
  <c r="T36" i="43"/>
  <c r="S37" i="43"/>
  <c r="R37" i="44"/>
  <c r="O37" i="43"/>
  <c r="J36" i="43"/>
  <c r="P36" i="43"/>
  <c r="G36" i="43"/>
  <c r="F37" i="44"/>
  <c r="Z37" i="44"/>
  <c r="W37" i="44"/>
  <c r="J37" i="44"/>
  <c r="Y37" i="44"/>
  <c r="U36" i="43"/>
  <c r="F36" i="43"/>
  <c r="R37" i="43"/>
  <c r="L37" i="43"/>
  <c r="N37" i="44"/>
  <c r="E37" i="44"/>
  <c r="I37" i="43"/>
  <c r="U37" i="43"/>
  <c r="Q37" i="43"/>
  <c r="S37" i="44"/>
  <c r="T37" i="43"/>
  <c r="N37" i="43"/>
  <c r="M37" i="44"/>
  <c r="L36" i="43"/>
  <c r="I37" i="44"/>
  <c r="E36" i="43"/>
  <c r="O36" i="43"/>
  <c r="T37" i="44"/>
  <c r="Q37" i="44"/>
  <c r="P37" i="43"/>
  <c r="U37" i="44"/>
  <c r="Q36" i="43"/>
  <c r="J37" i="43"/>
  <c r="L37" i="44"/>
  <c r="H37" i="43"/>
  <c r="P37" i="44"/>
  <c r="V37" i="43"/>
  <c r="E37" i="43"/>
  <c r="K37" i="44"/>
  <c r="G37" i="44"/>
  <c r="G37" i="43"/>
  <c r="N36" i="43"/>
  <c r="M37" i="43"/>
  <c r="H37" i="44"/>
  <c r="X37" i="44"/>
  <c r="K37" i="43"/>
  <c r="M36" i="43"/>
  <c r="BU90" i="48" l="1"/>
  <c r="Y106" i="48"/>
  <c r="BO107" i="48"/>
  <c r="W92" i="48"/>
  <c r="I93" i="48"/>
  <c r="X96" i="48"/>
  <c r="AE91" i="48"/>
  <c r="BW91" i="48"/>
  <c r="D94" i="48"/>
  <c r="T98" i="48"/>
  <c r="G92" i="48"/>
  <c r="Q91" i="48"/>
  <c r="AW94" i="48"/>
  <c r="BV94" i="48"/>
  <c r="AA111" i="48"/>
  <c r="BI94" i="48"/>
  <c r="BJ95" i="48"/>
  <c r="L111" i="48"/>
  <c r="BS93" i="48"/>
  <c r="E91" i="48"/>
  <c r="BB110" i="48"/>
  <c r="AG91" i="48"/>
  <c r="AK91" i="48"/>
  <c r="M94" i="48"/>
  <c r="H94" i="48"/>
  <c r="BN96" i="48"/>
  <c r="C94" i="48"/>
  <c r="AB106" i="48"/>
  <c r="AX92" i="48"/>
  <c r="AY107" i="48"/>
  <c r="BR107" i="48"/>
  <c r="AC92" i="48"/>
  <c r="BM98" i="48"/>
  <c r="U91" i="48"/>
  <c r="AF94" i="48"/>
  <c r="AI92" i="48"/>
  <c r="AJ93" i="48"/>
  <c r="BG91" i="48"/>
  <c r="S92" i="48"/>
  <c r="BQ110" i="48"/>
  <c r="P93" i="48"/>
  <c r="BK92" i="48"/>
  <c r="O111" i="48"/>
  <c r="BC95" i="48"/>
  <c r="BF93" i="48"/>
  <c r="BA111" i="48"/>
  <c r="T87" i="45"/>
  <c r="Q87" i="45"/>
  <c r="P87" i="45"/>
  <c r="E85" i="45"/>
  <c r="BI85" i="45"/>
  <c r="AQ86" i="45"/>
  <c r="AE89" i="45"/>
  <c r="BC85" i="45"/>
  <c r="AI87" i="45"/>
  <c r="Y90" i="45"/>
  <c r="AA85" i="45"/>
  <c r="AT86" i="45"/>
  <c r="AK88" i="45"/>
  <c r="BB86" i="45"/>
  <c r="BE85" i="45"/>
  <c r="BV88" i="45"/>
  <c r="AC85" i="45"/>
  <c r="BW86" i="45"/>
  <c r="BA88" i="45"/>
  <c r="BJ87" i="45"/>
  <c r="AS86" i="45"/>
  <c r="I89" i="45"/>
  <c r="U87" i="45"/>
  <c r="AJ90" i="45"/>
  <c r="O86" i="45"/>
  <c r="W87" i="45"/>
  <c r="M85" i="45"/>
  <c r="AG86" i="45"/>
  <c r="S85" i="45"/>
  <c r="BF90" i="45"/>
  <c r="BO88" i="45"/>
  <c r="C36" i="44"/>
  <c r="B35" i="44"/>
  <c r="D36" i="44"/>
  <c r="C35" i="43"/>
  <c r="D35" i="43"/>
  <c r="H28" i="38"/>
  <c r="J28" i="38" s="1"/>
  <c r="H29" i="38"/>
  <c r="J29" i="38" s="1"/>
  <c r="F28" i="38"/>
  <c r="F29" i="38"/>
  <c r="D29" i="38"/>
  <c r="D28" i="38"/>
  <c r="M36" i="44"/>
  <c r="L35" i="43"/>
  <c r="X36" i="44"/>
  <c r="Z36" i="44"/>
  <c r="K35" i="43"/>
  <c r="N36" i="44"/>
  <c r="S35" i="43"/>
  <c r="R36" i="44"/>
  <c r="V36" i="44"/>
  <c r="U35" i="43"/>
  <c r="R35" i="43"/>
  <c r="I35" i="43"/>
  <c r="T36" i="44"/>
  <c r="F36" i="44"/>
  <c r="F35" i="43"/>
  <c r="P35" i="43"/>
  <c r="M35" i="43"/>
  <c r="O36" i="44"/>
  <c r="Q36" i="44"/>
  <c r="J36" i="44"/>
  <c r="V35" i="43"/>
  <c r="Y36" i="44"/>
  <c r="J35" i="43"/>
  <c r="H36" i="44"/>
  <c r="T35" i="43"/>
  <c r="G35" i="43"/>
  <c r="Q35" i="43"/>
  <c r="S36" i="44"/>
  <c r="I36" i="44"/>
  <c r="P36" i="44"/>
  <c r="L36" i="44"/>
  <c r="E35" i="43"/>
  <c r="H35" i="43"/>
  <c r="W36" i="44"/>
  <c r="G36" i="44"/>
  <c r="E36" i="44"/>
  <c r="U36" i="44"/>
  <c r="N35" i="43"/>
  <c r="O35" i="43"/>
  <c r="K36" i="44"/>
  <c r="BU91" i="48" l="1"/>
  <c r="BF94" i="48"/>
  <c r="BC96" i="48"/>
  <c r="BK93" i="48"/>
  <c r="P94" i="48"/>
  <c r="BQ111" i="48"/>
  <c r="S93" i="48"/>
  <c r="BG92" i="48"/>
  <c r="AJ94" i="48"/>
  <c r="AI93" i="48"/>
  <c r="AF95" i="48"/>
  <c r="U92" i="48"/>
  <c r="BM99" i="48"/>
  <c r="AC93" i="48"/>
  <c r="BR108" i="48"/>
  <c r="AY108" i="48"/>
  <c r="AX93" i="48"/>
  <c r="AB107" i="48"/>
  <c r="C95" i="48"/>
  <c r="BN97" i="48"/>
  <c r="H95" i="48"/>
  <c r="M95" i="48"/>
  <c r="AK92" i="48"/>
  <c r="AG92" i="48"/>
  <c r="BB111" i="48"/>
  <c r="E92" i="48"/>
  <c r="BS94" i="48"/>
  <c r="BJ96" i="48"/>
  <c r="BI95" i="48"/>
  <c r="BV95" i="48"/>
  <c r="AW95" i="48"/>
  <c r="Q92" i="48"/>
  <c r="G93" i="48"/>
  <c r="T99" i="48"/>
  <c r="D95" i="48"/>
  <c r="BW92" i="48"/>
  <c r="AE92" i="48"/>
  <c r="X97" i="48"/>
  <c r="I94" i="48"/>
  <c r="W93" i="48"/>
  <c r="BO108" i="48"/>
  <c r="Y107" i="48"/>
  <c r="BO89" i="45"/>
  <c r="BF91" i="45"/>
  <c r="S86" i="45"/>
  <c r="AG87" i="45"/>
  <c r="M86" i="45"/>
  <c r="W88" i="45"/>
  <c r="O87" i="45"/>
  <c r="AJ91" i="45"/>
  <c r="U88" i="45"/>
  <c r="I90" i="45"/>
  <c r="AS87" i="45"/>
  <c r="BJ88" i="45"/>
  <c r="BA89" i="45"/>
  <c r="BW87" i="45"/>
  <c r="AC86" i="45"/>
  <c r="BV89" i="45"/>
  <c r="BE86" i="45"/>
  <c r="BB87" i="45"/>
  <c r="AK89" i="45"/>
  <c r="AT87" i="45"/>
  <c r="AA86" i="45"/>
  <c r="Y91" i="45"/>
  <c r="AI88" i="45"/>
  <c r="BC86" i="45"/>
  <c r="AE90" i="45"/>
  <c r="AQ87" i="45"/>
  <c r="BI86" i="45"/>
  <c r="E86" i="45"/>
  <c r="P88" i="45"/>
  <c r="Q88" i="45"/>
  <c r="T88" i="45"/>
  <c r="B34" i="44"/>
  <c r="C35" i="44"/>
  <c r="D35" i="44"/>
  <c r="D34" i="43"/>
  <c r="C34" i="43"/>
  <c r="L29" i="38"/>
  <c r="L28" i="38"/>
  <c r="AJ29" i="38"/>
  <c r="AH29" i="38"/>
  <c r="AD29" i="38"/>
  <c r="AJ28" i="38"/>
  <c r="AH28" i="38"/>
  <c r="AD28" i="38"/>
  <c r="AB28" i="38"/>
  <c r="M35" i="44"/>
  <c r="Q34" i="43"/>
  <c r="U34" i="43"/>
  <c r="T35" i="44"/>
  <c r="P35" i="44"/>
  <c r="U35" i="44"/>
  <c r="P34" i="43"/>
  <c r="V34" i="43"/>
  <c r="Z35" i="44"/>
  <c r="E34" i="43"/>
  <c r="H34" i="43"/>
  <c r="K35" i="44"/>
  <c r="K34" i="43"/>
  <c r="N35" i="44"/>
  <c r="S34" i="43"/>
  <c r="L35" i="44"/>
  <c r="M34" i="43"/>
  <c r="L34" i="43"/>
  <c r="J34" i="43"/>
  <c r="W35" i="44"/>
  <c r="Q35" i="44"/>
  <c r="G34" i="43"/>
  <c r="F34" i="43"/>
  <c r="G35" i="44"/>
  <c r="S35" i="44"/>
  <c r="R34" i="43"/>
  <c r="V35" i="44"/>
  <c r="Y35" i="44"/>
  <c r="I35" i="44"/>
  <c r="F35" i="44"/>
  <c r="I34" i="43"/>
  <c r="J35" i="44"/>
  <c r="X35" i="44"/>
  <c r="T34" i="43"/>
  <c r="H35" i="44"/>
  <c r="N34" i="43"/>
  <c r="R35" i="44"/>
  <c r="E35" i="44"/>
  <c r="O35" i="44"/>
  <c r="O34" i="43"/>
  <c r="BU92" i="48" l="1"/>
  <c r="Y108" i="48"/>
  <c r="BO109" i="48"/>
  <c r="W94" i="48"/>
  <c r="I95" i="48"/>
  <c r="X98" i="48"/>
  <c r="AE93" i="48"/>
  <c r="BW93" i="48"/>
  <c r="D96" i="48"/>
  <c r="T100" i="48"/>
  <c r="G94" i="48"/>
  <c r="Q93" i="48"/>
  <c r="AW96" i="48"/>
  <c r="BV96" i="48"/>
  <c r="BI96" i="48"/>
  <c r="BJ97" i="48"/>
  <c r="BS95" i="48"/>
  <c r="E93" i="48"/>
  <c r="AG93" i="48"/>
  <c r="AK93" i="48"/>
  <c r="M96" i="48"/>
  <c r="H96" i="48"/>
  <c r="BN98" i="48"/>
  <c r="C96" i="48"/>
  <c r="AB108" i="48"/>
  <c r="AX94" i="48"/>
  <c r="AY109" i="48"/>
  <c r="BR109" i="48"/>
  <c r="AC94" i="48"/>
  <c r="BM100" i="48"/>
  <c r="U93" i="48"/>
  <c r="AF96" i="48"/>
  <c r="AI94" i="48"/>
  <c r="AJ95" i="48"/>
  <c r="BG93" i="48"/>
  <c r="S94" i="48"/>
  <c r="P95" i="48"/>
  <c r="BK94" i="48"/>
  <c r="BC97" i="48"/>
  <c r="BF95" i="48"/>
  <c r="T89" i="45"/>
  <c r="Q89" i="45"/>
  <c r="P89" i="45"/>
  <c r="E87" i="45"/>
  <c r="BI87" i="45"/>
  <c r="AQ88" i="45"/>
  <c r="AE91" i="45"/>
  <c r="BC87" i="45"/>
  <c r="AI89" i="45"/>
  <c r="Y92" i="45"/>
  <c r="AA87" i="45"/>
  <c r="AT88" i="45"/>
  <c r="AK90" i="45"/>
  <c r="BB88" i="45"/>
  <c r="BE87" i="45"/>
  <c r="BV90" i="45"/>
  <c r="AC87" i="45"/>
  <c r="BW88" i="45"/>
  <c r="BA90" i="45"/>
  <c r="BJ89" i="45"/>
  <c r="AS88" i="45"/>
  <c r="I91" i="45"/>
  <c r="U89" i="45"/>
  <c r="AJ92" i="45"/>
  <c r="O88" i="45"/>
  <c r="W89" i="45"/>
  <c r="M87" i="45"/>
  <c r="AG88" i="45"/>
  <c r="S87" i="45"/>
  <c r="BF92" i="45"/>
  <c r="BO90" i="45"/>
  <c r="B33" i="44"/>
  <c r="C34" i="44"/>
  <c r="D34" i="44"/>
  <c r="D33" i="43"/>
  <c r="C33" i="43"/>
  <c r="D113" i="2"/>
  <c r="S34" i="44"/>
  <c r="E33" i="43"/>
  <c r="T34" i="44"/>
  <c r="P34" i="44"/>
  <c r="V33" i="43"/>
  <c r="M33" i="43"/>
  <c r="I33" i="43"/>
  <c r="Z34" i="44"/>
  <c r="J33" i="43"/>
  <c r="M34" i="44"/>
  <c r="K34" i="44"/>
  <c r="T33" i="43"/>
  <c r="U34" i="44"/>
  <c r="L33" i="43"/>
  <c r="P33" i="43"/>
  <c r="U33" i="43"/>
  <c r="R33" i="43"/>
  <c r="E34" i="44"/>
  <c r="H34" i="44"/>
  <c r="N34" i="44"/>
  <c r="Y34" i="44"/>
  <c r="R34" i="44"/>
  <c r="O34" i="44"/>
  <c r="G33" i="43"/>
  <c r="G34" i="44"/>
  <c r="Q33" i="43"/>
  <c r="H33" i="43"/>
  <c r="W34" i="44"/>
  <c r="Q34" i="44"/>
  <c r="V34" i="44"/>
  <c r="F34" i="44"/>
  <c r="J34" i="44"/>
  <c r="L34" i="44"/>
  <c r="O33" i="43"/>
  <c r="I34" i="44"/>
  <c r="N33" i="43"/>
  <c r="K33" i="43"/>
  <c r="S33" i="43"/>
  <c r="F33" i="43"/>
  <c r="X34" i="44"/>
  <c r="BU93" i="48" l="1"/>
  <c r="BF96" i="48"/>
  <c r="BC98" i="48"/>
  <c r="BK95" i="48"/>
  <c r="P96" i="48"/>
  <c r="S95" i="48"/>
  <c r="BG94" i="48"/>
  <c r="AJ96" i="48"/>
  <c r="AI95" i="48"/>
  <c r="AF97" i="48"/>
  <c r="U94" i="48"/>
  <c r="BM101" i="48"/>
  <c r="AC95" i="48"/>
  <c r="BR110" i="48"/>
  <c r="AY110" i="48"/>
  <c r="AX95" i="48"/>
  <c r="AB109" i="48"/>
  <c r="C97" i="48"/>
  <c r="BN99" i="48"/>
  <c r="H97" i="48"/>
  <c r="M97" i="48"/>
  <c r="AK94" i="48"/>
  <c r="AG94" i="48"/>
  <c r="E94" i="48"/>
  <c r="BS96" i="48"/>
  <c r="BJ98" i="48"/>
  <c r="BI97" i="48"/>
  <c r="BV97" i="48"/>
  <c r="AW97" i="48"/>
  <c r="Q94" i="48"/>
  <c r="G95" i="48"/>
  <c r="T101" i="48"/>
  <c r="D97" i="48"/>
  <c r="BW94" i="48"/>
  <c r="AE94" i="48"/>
  <c r="X99" i="48"/>
  <c r="I96" i="48"/>
  <c r="W95" i="48"/>
  <c r="BO110" i="48"/>
  <c r="Y109" i="48"/>
  <c r="BO91" i="45"/>
  <c r="BF93" i="45"/>
  <c r="S88" i="45"/>
  <c r="AG89" i="45"/>
  <c r="M88" i="45"/>
  <c r="W90" i="45"/>
  <c r="O89" i="45"/>
  <c r="AJ93" i="45"/>
  <c r="U90" i="45"/>
  <c r="I92" i="45"/>
  <c r="AS89" i="45"/>
  <c r="BJ90" i="45"/>
  <c r="BA91" i="45"/>
  <c r="BW89" i="45"/>
  <c r="AC88" i="45"/>
  <c r="BV91" i="45"/>
  <c r="BE88" i="45"/>
  <c r="BB89" i="45"/>
  <c r="AK91" i="45"/>
  <c r="AT89" i="45"/>
  <c r="AA88" i="45"/>
  <c r="Y93" i="45"/>
  <c r="AI90" i="45"/>
  <c r="BC88" i="45"/>
  <c r="AE92" i="45"/>
  <c r="AQ89" i="45"/>
  <c r="BI88" i="45"/>
  <c r="E88" i="45"/>
  <c r="P90" i="45"/>
  <c r="Q90" i="45"/>
  <c r="T90" i="45"/>
  <c r="C33" i="44"/>
  <c r="B32" i="44"/>
  <c r="D33" i="44"/>
  <c r="C32" i="43"/>
  <c r="D32" i="43"/>
  <c r="P6" i="36"/>
  <c r="P6" i="37"/>
  <c r="P4" i="2"/>
  <c r="R32" i="43"/>
  <c r="L33" i="44"/>
  <c r="X33" i="44"/>
  <c r="S33" i="44"/>
  <c r="T33" i="44"/>
  <c r="P33" i="44"/>
  <c r="W33" i="44"/>
  <c r="K32" i="43"/>
  <c r="R33" i="44"/>
  <c r="I33" i="44"/>
  <c r="V33" i="44"/>
  <c r="T32" i="43"/>
  <c r="S32" i="43"/>
  <c r="E32" i="43"/>
  <c r="L32" i="43"/>
  <c r="Z33" i="44"/>
  <c r="H33" i="44"/>
  <c r="F32" i="43"/>
  <c r="P32" i="43"/>
  <c r="G32" i="43"/>
  <c r="V32" i="43"/>
  <c r="M32" i="43"/>
  <c r="Q33" i="44"/>
  <c r="J32" i="43"/>
  <c r="H32" i="43"/>
  <c r="Q32" i="43"/>
  <c r="U33" i="44"/>
  <c r="I32" i="43"/>
  <c r="E33" i="44"/>
  <c r="F33" i="44"/>
  <c r="N32" i="43"/>
  <c r="U32" i="43"/>
  <c r="Y33" i="44"/>
  <c r="K33" i="44"/>
  <c r="O32" i="43"/>
  <c r="G33" i="44"/>
  <c r="M33" i="44"/>
  <c r="J33" i="44"/>
  <c r="N33" i="44"/>
  <c r="O33" i="44"/>
  <c r="BU94" i="48" l="1"/>
  <c r="Y110" i="48"/>
  <c r="BO111" i="48"/>
  <c r="W96" i="48"/>
  <c r="I97" i="48"/>
  <c r="X100" i="48"/>
  <c r="AE95" i="48"/>
  <c r="BW95" i="48"/>
  <c r="D98" i="48"/>
  <c r="T102" i="48"/>
  <c r="G96" i="48"/>
  <c r="Q95" i="48"/>
  <c r="AW98" i="48"/>
  <c r="BV98" i="48"/>
  <c r="BI98" i="48"/>
  <c r="BJ99" i="48"/>
  <c r="BS97" i="48"/>
  <c r="E95" i="48"/>
  <c r="AG95" i="48"/>
  <c r="AK95" i="48"/>
  <c r="M98" i="48"/>
  <c r="H98" i="48"/>
  <c r="BN100" i="48"/>
  <c r="C98" i="48"/>
  <c r="AB110" i="48"/>
  <c r="AX96" i="48"/>
  <c r="AY111" i="48"/>
  <c r="BR111" i="48"/>
  <c r="AC96" i="48"/>
  <c r="BM102" i="48"/>
  <c r="U95" i="48"/>
  <c r="AF98" i="48"/>
  <c r="AI96" i="48"/>
  <c r="AJ97" i="48"/>
  <c r="BG95" i="48"/>
  <c r="S96" i="48"/>
  <c r="P97" i="48"/>
  <c r="BK96" i="48"/>
  <c r="BC99" i="48"/>
  <c r="BF97" i="48"/>
  <c r="T91" i="45"/>
  <c r="Q91" i="45"/>
  <c r="P91" i="45"/>
  <c r="E89" i="45"/>
  <c r="BI89" i="45"/>
  <c r="AQ90" i="45"/>
  <c r="AE93" i="45"/>
  <c r="BC89" i="45"/>
  <c r="AI91" i="45"/>
  <c r="Y94" i="45"/>
  <c r="AA89" i="45"/>
  <c r="AT90" i="45"/>
  <c r="AK92" i="45"/>
  <c r="BB90" i="45"/>
  <c r="BE89" i="45"/>
  <c r="BV92" i="45"/>
  <c r="AC89" i="45"/>
  <c r="BW90" i="45"/>
  <c r="BA92" i="45"/>
  <c r="BJ91" i="45"/>
  <c r="AS90" i="45"/>
  <c r="I93" i="45"/>
  <c r="U91" i="45"/>
  <c r="AJ94" i="45"/>
  <c r="O90" i="45"/>
  <c r="W91" i="45"/>
  <c r="M89" i="45"/>
  <c r="AG90" i="45"/>
  <c r="S89" i="45"/>
  <c r="BF94" i="45"/>
  <c r="BO92" i="45"/>
  <c r="B31" i="44"/>
  <c r="D32" i="44"/>
  <c r="C32" i="44"/>
  <c r="D31" i="43"/>
  <c r="C31" i="43"/>
  <c r="AV65" i="30"/>
  <c r="AV64" i="30"/>
  <c r="AV63" i="30"/>
  <c r="AV62" i="30"/>
  <c r="AV61" i="30"/>
  <c r="AV60" i="30"/>
  <c r="AV59" i="30"/>
  <c r="AV58" i="30"/>
  <c r="AV57" i="30"/>
  <c r="AV56" i="30"/>
  <c r="AV55" i="30"/>
  <c r="AV54" i="30"/>
  <c r="AV53" i="30"/>
  <c r="AV52" i="30"/>
  <c r="AV51" i="30"/>
  <c r="AV50" i="30"/>
  <c r="AV49" i="30"/>
  <c r="AV48" i="30"/>
  <c r="AV47" i="30"/>
  <c r="AV46" i="30"/>
  <c r="AV45" i="30"/>
  <c r="AV44" i="30"/>
  <c r="AV43" i="30"/>
  <c r="AV42" i="30"/>
  <c r="AV41" i="30"/>
  <c r="AV40" i="30"/>
  <c r="AV39" i="30"/>
  <c r="AV38" i="30"/>
  <c r="AV37" i="30"/>
  <c r="AV36" i="30"/>
  <c r="AV35" i="30"/>
  <c r="AV34" i="30"/>
  <c r="AV33" i="30"/>
  <c r="AV32" i="30"/>
  <c r="AV31" i="30"/>
  <c r="AV30" i="30"/>
  <c r="AV29" i="30"/>
  <c r="AV28" i="30"/>
  <c r="AV27" i="30"/>
  <c r="AV26" i="30"/>
  <c r="AV25" i="30"/>
  <c r="AV24" i="30"/>
  <c r="AV23" i="30"/>
  <c r="AV22" i="30"/>
  <c r="AV21" i="30"/>
  <c r="AV20" i="30"/>
  <c r="AV19" i="30"/>
  <c r="AV18" i="30"/>
  <c r="BO17" i="30"/>
  <c r="AV17" i="30"/>
  <c r="AV16" i="30"/>
  <c r="AV15" i="30"/>
  <c r="AV14" i="30"/>
  <c r="AV13" i="30"/>
  <c r="AV12" i="30"/>
  <c r="AV11" i="30"/>
  <c r="AV10" i="30"/>
  <c r="BO9" i="30"/>
  <c r="AV9" i="30"/>
  <c r="AV8" i="30"/>
  <c r="AV7" i="30"/>
  <c r="AV6" i="30"/>
  <c r="BO5" i="30"/>
  <c r="AV5" i="30"/>
  <c r="BO4" i="30"/>
  <c r="AV4" i="30"/>
  <c r="P32" i="44"/>
  <c r="L32" i="44"/>
  <c r="V32" i="44"/>
  <c r="T31" i="43"/>
  <c r="H32" i="44"/>
  <c r="X32" i="44"/>
  <c r="G31" i="43"/>
  <c r="Y32" i="44"/>
  <c r="O31" i="43"/>
  <c r="V31" i="43"/>
  <c r="U31" i="43"/>
  <c r="N31" i="43"/>
  <c r="G32" i="44"/>
  <c r="K31" i="43"/>
  <c r="U32" i="44"/>
  <c r="R32" i="44"/>
  <c r="Z32" i="44"/>
  <c r="M32" i="44"/>
  <c r="T32" i="44"/>
  <c r="S31" i="43"/>
  <c r="E31" i="43"/>
  <c r="W32" i="44"/>
  <c r="I32" i="44"/>
  <c r="Q31" i="43"/>
  <c r="R31" i="43"/>
  <c r="J32" i="44"/>
  <c r="M31" i="43"/>
  <c r="K32" i="44"/>
  <c r="I31" i="43"/>
  <c r="E32" i="44"/>
  <c r="O32" i="44"/>
  <c r="F31" i="43"/>
  <c r="J31" i="43"/>
  <c r="F32" i="44"/>
  <c r="S32" i="44"/>
  <c r="N32" i="44"/>
  <c r="Q32" i="44"/>
  <c r="P31" i="43"/>
  <c r="H31" i="43"/>
  <c r="L31" i="43"/>
  <c r="BU95" i="48" l="1"/>
  <c r="BF98" i="48"/>
  <c r="BC100" i="48"/>
  <c r="BK97" i="48"/>
  <c r="P98" i="48"/>
  <c r="S97" i="48"/>
  <c r="BG96" i="48"/>
  <c r="AJ98" i="48"/>
  <c r="AI97" i="48"/>
  <c r="AF99" i="48"/>
  <c r="U96" i="48"/>
  <c r="BM103" i="48"/>
  <c r="AC97" i="48"/>
  <c r="AX97" i="48"/>
  <c r="AB111" i="48"/>
  <c r="C99" i="48"/>
  <c r="BN101" i="48"/>
  <c r="H99" i="48"/>
  <c r="M99" i="48"/>
  <c r="AK96" i="48"/>
  <c r="AG96" i="48"/>
  <c r="E96" i="48"/>
  <c r="BS98" i="48"/>
  <c r="BJ100" i="48"/>
  <c r="BI99" i="48"/>
  <c r="BV99" i="48"/>
  <c r="AW99" i="48"/>
  <c r="Q96" i="48"/>
  <c r="G97" i="48"/>
  <c r="T103" i="48"/>
  <c r="D99" i="48"/>
  <c r="BW96" i="48"/>
  <c r="AE96" i="48"/>
  <c r="X101" i="48"/>
  <c r="I98" i="48"/>
  <c r="W97" i="48"/>
  <c r="Y111" i="48"/>
  <c r="BO93" i="45"/>
  <c r="BF95" i="45"/>
  <c r="S90" i="45"/>
  <c r="AG91" i="45"/>
  <c r="M90" i="45"/>
  <c r="W92" i="45"/>
  <c r="O91" i="45"/>
  <c r="AJ95" i="45"/>
  <c r="U92" i="45"/>
  <c r="I94" i="45"/>
  <c r="AS91" i="45"/>
  <c r="BJ92" i="45"/>
  <c r="BA93" i="45"/>
  <c r="BW91" i="45"/>
  <c r="AC90" i="45"/>
  <c r="BV93" i="45"/>
  <c r="BE90" i="45"/>
  <c r="BB91" i="45"/>
  <c r="AK93" i="45"/>
  <c r="AT91" i="45"/>
  <c r="AA90" i="45"/>
  <c r="Y95" i="45"/>
  <c r="AI92" i="45"/>
  <c r="BC90" i="45"/>
  <c r="AE94" i="45"/>
  <c r="AQ91" i="45"/>
  <c r="BI90" i="45"/>
  <c r="E90" i="45"/>
  <c r="P92" i="45"/>
  <c r="Q92" i="45"/>
  <c r="T92" i="45"/>
  <c r="D31" i="44"/>
  <c r="C31" i="44"/>
  <c r="B30" i="44"/>
  <c r="C30" i="43"/>
  <c r="D30" i="43"/>
  <c r="D28" i="34"/>
  <c r="F28" i="34"/>
  <c r="J28" i="34"/>
  <c r="L28" i="34"/>
  <c r="P28" i="34"/>
  <c r="R28" i="34"/>
  <c r="V28" i="34"/>
  <c r="X28" i="34"/>
  <c r="AB28" i="34"/>
  <c r="AD28" i="34"/>
  <c r="AH28" i="34"/>
  <c r="AJ28" i="34"/>
  <c r="D29" i="34"/>
  <c r="F29" i="34"/>
  <c r="J29" i="34"/>
  <c r="L29" i="34"/>
  <c r="P29" i="34"/>
  <c r="R29" i="34"/>
  <c r="V29" i="34"/>
  <c r="X29" i="34"/>
  <c r="AB29" i="34"/>
  <c r="AD29" i="34"/>
  <c r="AH29" i="34"/>
  <c r="AJ29" i="34"/>
  <c r="A6" i="30"/>
  <c r="A8" i="30" s="1"/>
  <c r="A10" i="30" s="1"/>
  <c r="A12" i="30" s="1"/>
  <c r="A14" i="30" s="1"/>
  <c r="A16" i="30" s="1"/>
  <c r="A18" i="30" s="1"/>
  <c r="A20" i="30" s="1"/>
  <c r="A22" i="30" s="1"/>
  <c r="A24" i="30" s="1"/>
  <c r="A26" i="30" s="1"/>
  <c r="A28" i="30" s="1"/>
  <c r="A30" i="30" s="1"/>
  <c r="A32" i="30" s="1"/>
  <c r="A34" i="30" s="1"/>
  <c r="A36" i="30" s="1"/>
  <c r="A38" i="30" s="1"/>
  <c r="A40" i="30" s="1"/>
  <c r="A42" i="30" s="1"/>
  <c r="A44" i="30" s="1"/>
  <c r="A46" i="30" s="1"/>
  <c r="A48" i="30" s="1"/>
  <c r="A50" i="30" s="1"/>
  <c r="A52" i="30" s="1"/>
  <c r="A54" i="30" s="1"/>
  <c r="A56" i="30" s="1"/>
  <c r="A58" i="30" s="1"/>
  <c r="A60" i="30" s="1"/>
  <c r="A62" i="30" s="1"/>
  <c r="A64" i="30" s="1"/>
  <c r="G30" i="43"/>
  <c r="M31" i="44"/>
  <c r="Z31" i="44"/>
  <c r="U30" i="43"/>
  <c r="N31" i="44"/>
  <c r="X31" i="44"/>
  <c r="P31" i="44"/>
  <c r="T31" i="44"/>
  <c r="O31" i="44"/>
  <c r="J30" i="43"/>
  <c r="H30" i="43"/>
  <c r="N30" i="43"/>
  <c r="I31" i="44"/>
  <c r="V30" i="43"/>
  <c r="R30" i="43"/>
  <c r="Q30" i="43"/>
  <c r="S30" i="43"/>
  <c r="K30" i="43"/>
  <c r="H31" i="44"/>
  <c r="K31" i="44"/>
  <c r="U31" i="44"/>
  <c r="P30" i="43"/>
  <c r="Q31" i="44"/>
  <c r="F31" i="44"/>
  <c r="J31" i="44"/>
  <c r="R31" i="44"/>
  <c r="I30" i="43"/>
  <c r="E30" i="43"/>
  <c r="T30" i="43"/>
  <c r="L31" i="44"/>
  <c r="S31" i="44"/>
  <c r="E31" i="44"/>
  <c r="L30" i="43"/>
  <c r="G31" i="44"/>
  <c r="W31" i="44"/>
  <c r="Y31" i="44"/>
  <c r="V31" i="44"/>
  <c r="F30" i="43"/>
  <c r="M30" i="43"/>
  <c r="O30" i="43"/>
  <c r="BU96" i="48" l="1"/>
  <c r="W98" i="48"/>
  <c r="I99" i="48"/>
  <c r="X102" i="48"/>
  <c r="AE97" i="48"/>
  <c r="BW97" i="48"/>
  <c r="D100" i="48"/>
  <c r="T104" i="48"/>
  <c r="G98" i="48"/>
  <c r="Q97" i="48"/>
  <c r="AW100" i="48"/>
  <c r="BV100" i="48"/>
  <c r="BI100" i="48"/>
  <c r="BJ101" i="48"/>
  <c r="BS99" i="48"/>
  <c r="E97" i="48"/>
  <c r="AG97" i="48"/>
  <c r="AK97" i="48"/>
  <c r="M100" i="48"/>
  <c r="H100" i="48"/>
  <c r="BN102" i="48"/>
  <c r="C100" i="48"/>
  <c r="AX98" i="48"/>
  <c r="AC98" i="48"/>
  <c r="BM104" i="48"/>
  <c r="U97" i="48"/>
  <c r="AF100" i="48"/>
  <c r="AI98" i="48"/>
  <c r="AJ99" i="48"/>
  <c r="BG97" i="48"/>
  <c r="S98" i="48"/>
  <c r="P99" i="48"/>
  <c r="BK98" i="48"/>
  <c r="BC101" i="48"/>
  <c r="BF99" i="48"/>
  <c r="T93" i="45"/>
  <c r="Q93" i="45"/>
  <c r="P93" i="45"/>
  <c r="E91" i="45"/>
  <c r="BI91" i="45"/>
  <c r="AQ92" i="45"/>
  <c r="AE95" i="45"/>
  <c r="BC91" i="45"/>
  <c r="AI93" i="45"/>
  <c r="Y96" i="45"/>
  <c r="AA91" i="45"/>
  <c r="AT92" i="45"/>
  <c r="AK94" i="45"/>
  <c r="BB92" i="45"/>
  <c r="BE91" i="45"/>
  <c r="BV94" i="45"/>
  <c r="AC91" i="45"/>
  <c r="BW92" i="45"/>
  <c r="BA94" i="45"/>
  <c r="BJ93" i="45"/>
  <c r="AS92" i="45"/>
  <c r="I95" i="45"/>
  <c r="U93" i="45"/>
  <c r="AJ96" i="45"/>
  <c r="O92" i="45"/>
  <c r="W93" i="45"/>
  <c r="M91" i="45"/>
  <c r="AG92" i="45"/>
  <c r="S91" i="45"/>
  <c r="BF96" i="45"/>
  <c r="BO94" i="45"/>
  <c r="D30" i="44"/>
  <c r="C30" i="44"/>
  <c r="B29" i="44"/>
  <c r="D29" i="43"/>
  <c r="C29" i="43"/>
  <c r="D5" i="2"/>
  <c r="J29" i="43"/>
  <c r="Y30" i="44"/>
  <c r="Q29" i="43"/>
  <c r="W30" i="44"/>
  <c r="T29" i="43"/>
  <c r="F30" i="44"/>
  <c r="G29" i="43"/>
  <c r="Z30" i="44"/>
  <c r="L29" i="43"/>
  <c r="H30" i="44"/>
  <c r="R30" i="44"/>
  <c r="X30" i="44"/>
  <c r="U30" i="44"/>
  <c r="Q30" i="44"/>
  <c r="L30" i="44"/>
  <c r="K29" i="43"/>
  <c r="M30" i="44"/>
  <c r="M29" i="43"/>
  <c r="J30" i="44"/>
  <c r="I30" i="44"/>
  <c r="R29" i="43"/>
  <c r="G30" i="44"/>
  <c r="N30" i="44"/>
  <c r="P30" i="44"/>
  <c r="U29" i="43"/>
  <c r="O30" i="44"/>
  <c r="H29" i="43"/>
  <c r="V30" i="44"/>
  <c r="S30" i="44"/>
  <c r="T30" i="44"/>
  <c r="F29" i="43"/>
  <c r="N29" i="43"/>
  <c r="O29" i="43"/>
  <c r="I29" i="43"/>
  <c r="E30" i="44"/>
  <c r="V29" i="43"/>
  <c r="K30" i="44"/>
  <c r="P29" i="43"/>
  <c r="E29" i="43"/>
  <c r="S29" i="43"/>
  <c r="BU97" i="48" l="1"/>
  <c r="BF100" i="48"/>
  <c r="BC102" i="48"/>
  <c r="BK99" i="48"/>
  <c r="P100" i="48"/>
  <c r="S99" i="48"/>
  <c r="BG98" i="48"/>
  <c r="AJ100" i="48"/>
  <c r="AI99" i="48"/>
  <c r="AF101" i="48"/>
  <c r="U98" i="48"/>
  <c r="BM105" i="48"/>
  <c r="AC99" i="48"/>
  <c r="AX99" i="48"/>
  <c r="C101" i="48"/>
  <c r="BN103" i="48"/>
  <c r="H101" i="48"/>
  <c r="M101" i="48"/>
  <c r="AK98" i="48"/>
  <c r="AG98" i="48"/>
  <c r="E98" i="48"/>
  <c r="BS100" i="48"/>
  <c r="BJ102" i="48"/>
  <c r="BI101" i="48"/>
  <c r="BV101" i="48"/>
  <c r="AW101" i="48"/>
  <c r="Q98" i="48"/>
  <c r="G99" i="48"/>
  <c r="T105" i="48"/>
  <c r="D101" i="48"/>
  <c r="BW98" i="48"/>
  <c r="AE98" i="48"/>
  <c r="X103" i="48"/>
  <c r="I100" i="48"/>
  <c r="W99" i="48"/>
  <c r="BO95" i="45"/>
  <c r="BF97" i="45"/>
  <c r="S92" i="45"/>
  <c r="AG93" i="45"/>
  <c r="M92" i="45"/>
  <c r="W94" i="45"/>
  <c r="O93" i="45"/>
  <c r="AJ97" i="45"/>
  <c r="U94" i="45"/>
  <c r="I96" i="45"/>
  <c r="AS93" i="45"/>
  <c r="BJ94" i="45"/>
  <c r="BA95" i="45"/>
  <c r="BW93" i="45"/>
  <c r="AC92" i="45"/>
  <c r="BV95" i="45"/>
  <c r="BE92" i="45"/>
  <c r="BB93" i="45"/>
  <c r="AK95" i="45"/>
  <c r="AT93" i="45"/>
  <c r="AA92" i="45"/>
  <c r="Y97" i="45"/>
  <c r="AI94" i="45"/>
  <c r="BC92" i="45"/>
  <c r="AE96" i="45"/>
  <c r="AQ93" i="45"/>
  <c r="BI92" i="45"/>
  <c r="E92" i="45"/>
  <c r="P94" i="45"/>
  <c r="Q94" i="45"/>
  <c r="T94" i="45"/>
  <c r="D29" i="44"/>
  <c r="B28" i="44"/>
  <c r="C29" i="44"/>
  <c r="D28" i="43"/>
  <c r="C28" i="43"/>
  <c r="E2" i="24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6" i="22"/>
  <c r="A8" i="22" s="1"/>
  <c r="A10" i="22" s="1"/>
  <c r="A12" i="22" s="1"/>
  <c r="A14" i="22" s="1"/>
  <c r="A16" i="22" s="1"/>
  <c r="A18" i="22" s="1"/>
  <c r="A20" i="22" s="1"/>
  <c r="A22" i="22" s="1"/>
  <c r="A24" i="22" s="1"/>
  <c r="A26" i="22" s="1"/>
  <c r="A28" i="22" s="1"/>
  <c r="A30" i="22" s="1"/>
  <c r="A32" i="22" s="1"/>
  <c r="A34" i="22" s="1"/>
  <c r="A36" i="22" s="1"/>
  <c r="A38" i="22" s="1"/>
  <c r="A40" i="22" s="1"/>
  <c r="A42" i="22" s="1"/>
  <c r="A44" i="22" s="1"/>
  <c r="A46" i="22" s="1"/>
  <c r="A48" i="22" s="1"/>
  <c r="A50" i="22" s="1"/>
  <c r="A52" i="22" s="1"/>
  <c r="A54" i="22" s="1"/>
  <c r="A56" i="22" s="1"/>
  <c r="A58" i="22" s="1"/>
  <c r="A60" i="22" s="1"/>
  <c r="A62" i="22" s="1"/>
  <c r="A64" i="22" s="1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L28" i="43"/>
  <c r="T29" i="44"/>
  <c r="E13" i="24"/>
  <c r="S29" i="44"/>
  <c r="P28" i="43"/>
  <c r="O28" i="43"/>
  <c r="E18" i="24"/>
  <c r="K29" i="44"/>
  <c r="E28" i="43"/>
  <c r="U28" i="43"/>
  <c r="N28" i="43"/>
  <c r="Q28" i="43"/>
  <c r="V28" i="43"/>
  <c r="H28" i="43"/>
  <c r="E17" i="24"/>
  <c r="I28" i="43"/>
  <c r="E15" i="24"/>
  <c r="M29" i="44"/>
  <c r="W29" i="44"/>
  <c r="J29" i="44"/>
  <c r="V29" i="44"/>
  <c r="J28" i="43"/>
  <c r="E12" i="24"/>
  <c r="Q29" i="44"/>
  <c r="O29" i="44"/>
  <c r="G29" i="44"/>
  <c r="T28" i="43"/>
  <c r="E14" i="24"/>
  <c r="Y29" i="44"/>
  <c r="E11" i="24"/>
  <c r="F28" i="43"/>
  <c r="K28" i="43"/>
  <c r="X29" i="44"/>
  <c r="U29" i="44"/>
  <c r="S28" i="43"/>
  <c r="R28" i="43"/>
  <c r="I29" i="44"/>
  <c r="E16" i="24"/>
  <c r="H29" i="44"/>
  <c r="R29" i="44"/>
  <c r="P29" i="44"/>
  <c r="L29" i="44"/>
  <c r="Z29" i="44"/>
  <c r="F29" i="44"/>
  <c r="M28" i="43"/>
  <c r="N29" i="44"/>
  <c r="G28" i="43"/>
  <c r="E29" i="44"/>
  <c r="BU98" i="48" l="1"/>
  <c r="W100" i="48"/>
  <c r="I101" i="48"/>
  <c r="X104" i="48"/>
  <c r="AE99" i="48"/>
  <c r="BW99" i="48"/>
  <c r="D102" i="48"/>
  <c r="T106" i="48"/>
  <c r="G100" i="48"/>
  <c r="Q99" i="48"/>
  <c r="AW102" i="48"/>
  <c r="BV102" i="48"/>
  <c r="BI102" i="48"/>
  <c r="BJ103" i="48"/>
  <c r="BS101" i="48"/>
  <c r="E99" i="48"/>
  <c r="AG99" i="48"/>
  <c r="AK99" i="48"/>
  <c r="M102" i="48"/>
  <c r="H102" i="48"/>
  <c r="BN104" i="48"/>
  <c r="C102" i="48"/>
  <c r="AX100" i="48"/>
  <c r="AC100" i="48"/>
  <c r="BM106" i="48"/>
  <c r="U99" i="48"/>
  <c r="AF102" i="48"/>
  <c r="AI100" i="48"/>
  <c r="AJ101" i="48"/>
  <c r="BG99" i="48"/>
  <c r="S100" i="48"/>
  <c r="P101" i="48"/>
  <c r="BK100" i="48"/>
  <c r="BC103" i="48"/>
  <c r="BF101" i="48"/>
  <c r="T95" i="45"/>
  <c r="Q95" i="45"/>
  <c r="P95" i="45"/>
  <c r="E93" i="45"/>
  <c r="BI93" i="45"/>
  <c r="AQ94" i="45"/>
  <c r="AE97" i="45"/>
  <c r="BC93" i="45"/>
  <c r="AI95" i="45"/>
  <c r="Y98" i="45"/>
  <c r="AA93" i="45"/>
  <c r="AT94" i="45"/>
  <c r="AK96" i="45"/>
  <c r="BB94" i="45"/>
  <c r="BE93" i="45"/>
  <c r="BV96" i="45"/>
  <c r="AC93" i="45"/>
  <c r="BW94" i="45"/>
  <c r="BA96" i="45"/>
  <c r="BJ95" i="45"/>
  <c r="AS94" i="45"/>
  <c r="I97" i="45"/>
  <c r="U95" i="45"/>
  <c r="AJ98" i="45"/>
  <c r="O94" i="45"/>
  <c r="W95" i="45"/>
  <c r="M93" i="45"/>
  <c r="AG94" i="45"/>
  <c r="S93" i="45"/>
  <c r="BF98" i="45"/>
  <c r="BO96" i="45"/>
  <c r="B27" i="44"/>
  <c r="D28" i="44"/>
  <c r="C28" i="44"/>
  <c r="C27" i="43"/>
  <c r="D27" i="43"/>
  <c r="F13" i="24"/>
  <c r="F11" i="24"/>
  <c r="F12" i="24"/>
  <c r="F17" i="24"/>
  <c r="F18" i="24"/>
  <c r="F15" i="24"/>
  <c r="F14" i="24"/>
  <c r="F16" i="24"/>
  <c r="A43" i="2"/>
  <c r="B37" i="18"/>
  <c r="C37" i="18" s="1"/>
  <c r="D51" i="2"/>
  <c r="B37" i="3"/>
  <c r="T27" i="43"/>
  <c r="L27" i="43"/>
  <c r="K27" i="43"/>
  <c r="I27" i="43"/>
  <c r="G28" i="44"/>
  <c r="I28" i="44"/>
  <c r="J28" i="44"/>
  <c r="E27" i="43"/>
  <c r="V28" i="44"/>
  <c r="Q28" i="44"/>
  <c r="M28" i="44"/>
  <c r="Z28" i="44"/>
  <c r="M37" i="18"/>
  <c r="G27" i="43"/>
  <c r="U37" i="18"/>
  <c r="K37" i="18"/>
  <c r="R27" i="43"/>
  <c r="U27" i="43"/>
  <c r="S27" i="43"/>
  <c r="T28" i="44"/>
  <c r="J27" i="43"/>
  <c r="I37" i="18"/>
  <c r="F27" i="43"/>
  <c r="S28" i="44"/>
  <c r="R28" i="44"/>
  <c r="Y28" i="44"/>
  <c r="U28" i="44"/>
  <c r="Y37" i="18"/>
  <c r="S37" i="18"/>
  <c r="V27" i="43"/>
  <c r="O37" i="18"/>
  <c r="K28" i="44"/>
  <c r="O27" i="43"/>
  <c r="P28" i="44"/>
  <c r="Q27" i="43"/>
  <c r="H28" i="44"/>
  <c r="F28" i="44"/>
  <c r="N28" i="44"/>
  <c r="E28" i="44"/>
  <c r="W28" i="44"/>
  <c r="W37" i="18"/>
  <c r="P27" i="43"/>
  <c r="X28" i="44"/>
  <c r="H27" i="43"/>
  <c r="L28" i="44"/>
  <c r="Q37" i="18"/>
  <c r="E37" i="18"/>
  <c r="G37" i="18"/>
  <c r="N27" i="43"/>
  <c r="O28" i="44"/>
  <c r="M27" i="43"/>
  <c r="BU99" i="48" l="1"/>
  <c r="BF102" i="48"/>
  <c r="BC104" i="48"/>
  <c r="BK101" i="48"/>
  <c r="P102" i="48"/>
  <c r="S101" i="48"/>
  <c r="BG100" i="48"/>
  <c r="AJ102" i="48"/>
  <c r="AI101" i="48"/>
  <c r="AF103" i="48"/>
  <c r="U100" i="48"/>
  <c r="BM107" i="48"/>
  <c r="AC101" i="48"/>
  <c r="AX101" i="48"/>
  <c r="C103" i="48"/>
  <c r="BN105" i="48"/>
  <c r="H103" i="48"/>
  <c r="M103" i="48"/>
  <c r="AK100" i="48"/>
  <c r="AG100" i="48"/>
  <c r="E100" i="48"/>
  <c r="BS102" i="48"/>
  <c r="BJ104" i="48"/>
  <c r="BI103" i="48"/>
  <c r="BV103" i="48"/>
  <c r="AW103" i="48"/>
  <c r="Q100" i="48"/>
  <c r="G101" i="48"/>
  <c r="T107" i="48"/>
  <c r="D103" i="48"/>
  <c r="BW100" i="48"/>
  <c r="AE100" i="48"/>
  <c r="X105" i="48"/>
  <c r="I102" i="48"/>
  <c r="W101" i="48"/>
  <c r="BO97" i="45"/>
  <c r="BF99" i="45"/>
  <c r="S94" i="45"/>
  <c r="AG95" i="45"/>
  <c r="M94" i="45"/>
  <c r="W96" i="45"/>
  <c r="O95" i="45"/>
  <c r="AJ99" i="45"/>
  <c r="U96" i="45"/>
  <c r="I98" i="45"/>
  <c r="AS95" i="45"/>
  <c r="BJ96" i="45"/>
  <c r="BA97" i="45"/>
  <c r="BW95" i="45"/>
  <c r="AC94" i="45"/>
  <c r="BV97" i="45"/>
  <c r="BE94" i="45"/>
  <c r="BB95" i="45"/>
  <c r="AK97" i="45"/>
  <c r="AT95" i="45"/>
  <c r="AA94" i="45"/>
  <c r="Y99" i="45"/>
  <c r="AI96" i="45"/>
  <c r="BC94" i="45"/>
  <c r="AE98" i="45"/>
  <c r="AQ95" i="45"/>
  <c r="BI94" i="45"/>
  <c r="E94" i="45"/>
  <c r="P96" i="45"/>
  <c r="Q96" i="45"/>
  <c r="T96" i="45"/>
  <c r="B26" i="44"/>
  <c r="C27" i="44"/>
  <c r="D27" i="44"/>
  <c r="C26" i="43"/>
  <c r="D26" i="43"/>
  <c r="BP64" i="22"/>
  <c r="C37" i="3"/>
  <c r="D37" i="3"/>
  <c r="A50" i="2"/>
  <c r="D37" i="18"/>
  <c r="B36" i="18"/>
  <c r="C36" i="18" s="1"/>
  <c r="AU64" i="22"/>
  <c r="AN64" i="22"/>
  <c r="S64" i="22"/>
  <c r="BI64" i="22"/>
  <c r="BB64" i="22"/>
  <c r="Z64" i="22"/>
  <c r="AG64" i="22"/>
  <c r="E64" i="22"/>
  <c r="L64" i="22"/>
  <c r="B36" i="3"/>
  <c r="R37" i="3"/>
  <c r="R27" i="44"/>
  <c r="S26" i="43"/>
  <c r="V27" i="44"/>
  <c r="X37" i="3"/>
  <c r="S27" i="44"/>
  <c r="H26" i="43"/>
  <c r="I37" i="3"/>
  <c r="V37" i="3"/>
  <c r="Y27" i="44"/>
  <c r="N37" i="18"/>
  <c r="Q26" i="43"/>
  <c r="G26" i="43"/>
  <c r="N37" i="3"/>
  <c r="K27" i="44"/>
  <c r="F65" i="2"/>
  <c r="Q36" i="18"/>
  <c r="M26" i="43"/>
  <c r="AA37" i="3"/>
  <c r="T37" i="18"/>
  <c r="P37" i="18"/>
  <c r="L26" i="43"/>
  <c r="K26" i="43"/>
  <c r="F117" i="2"/>
  <c r="G27" i="44"/>
  <c r="R37" i="18"/>
  <c r="Y37" i="3"/>
  <c r="U26" i="43"/>
  <c r="F53" i="2"/>
  <c r="G36" i="18"/>
  <c r="P27" i="44"/>
  <c r="Z37" i="3"/>
  <c r="E26" i="43"/>
  <c r="Q37" i="3"/>
  <c r="Z37" i="18"/>
  <c r="N26" i="43"/>
  <c r="J26" i="43"/>
  <c r="F61" i="2"/>
  <c r="E27" i="44"/>
  <c r="R26" i="43"/>
  <c r="U27" i="44"/>
  <c r="F115" i="2"/>
  <c r="X37" i="18"/>
  <c r="Y36" i="18"/>
  <c r="W36" i="18"/>
  <c r="O37" i="3"/>
  <c r="T37" i="3"/>
  <c r="E37" i="3"/>
  <c r="F37" i="18"/>
  <c r="H27" i="44"/>
  <c r="F69" i="2"/>
  <c r="I26" i="43"/>
  <c r="F71" i="2"/>
  <c r="P26" i="43"/>
  <c r="N27" i="44"/>
  <c r="J37" i="18"/>
  <c r="F26" i="43"/>
  <c r="O27" i="44"/>
  <c r="L37" i="18"/>
  <c r="U36" i="18"/>
  <c r="V37" i="18"/>
  <c r="J37" i="3"/>
  <c r="O36" i="18"/>
  <c r="F27" i="44"/>
  <c r="M36" i="18"/>
  <c r="W37" i="3"/>
  <c r="O26" i="43"/>
  <c r="F63" i="2"/>
  <c r="T27" i="44"/>
  <c r="L27" i="44"/>
  <c r="S36" i="18"/>
  <c r="M37" i="3"/>
  <c r="F67" i="2"/>
  <c r="L37" i="3"/>
  <c r="E36" i="18"/>
  <c r="F59" i="2"/>
  <c r="F37" i="3"/>
  <c r="J27" i="44"/>
  <c r="H37" i="18"/>
  <c r="AB37" i="3"/>
  <c r="V26" i="43"/>
  <c r="I27" i="44"/>
  <c r="M27" i="44"/>
  <c r="W27" i="44"/>
  <c r="Q27" i="44"/>
  <c r="H37" i="3"/>
  <c r="U37" i="3"/>
  <c r="K37" i="3"/>
  <c r="I36" i="18"/>
  <c r="P37" i="3"/>
  <c r="G37" i="3"/>
  <c r="Z27" i="44"/>
  <c r="K36" i="18"/>
  <c r="F57" i="2"/>
  <c r="X27" i="44"/>
  <c r="F55" i="2"/>
  <c r="S37" i="3"/>
  <c r="T26" i="43"/>
  <c r="BU100" i="48" l="1"/>
  <c r="W102" i="48"/>
  <c r="I103" i="48"/>
  <c r="X106" i="48"/>
  <c r="AE101" i="48"/>
  <c r="BW101" i="48"/>
  <c r="D104" i="48"/>
  <c r="T108" i="48"/>
  <c r="G102" i="48"/>
  <c r="Q101" i="48"/>
  <c r="AW104" i="48"/>
  <c r="BV104" i="48"/>
  <c r="BI104" i="48"/>
  <c r="BJ105" i="48"/>
  <c r="BS103" i="48"/>
  <c r="E101" i="48"/>
  <c r="AG101" i="48"/>
  <c r="AK101" i="48"/>
  <c r="M104" i="48"/>
  <c r="H104" i="48"/>
  <c r="BN106" i="48"/>
  <c r="C104" i="48"/>
  <c r="AX102" i="48"/>
  <c r="AC102" i="48"/>
  <c r="BM108" i="48"/>
  <c r="U101" i="48"/>
  <c r="AF104" i="48"/>
  <c r="AI102" i="48"/>
  <c r="AJ103" i="48"/>
  <c r="BG101" i="48"/>
  <c r="S102" i="48"/>
  <c r="P103" i="48"/>
  <c r="BK102" i="48"/>
  <c r="BC105" i="48"/>
  <c r="BF103" i="48"/>
  <c r="T97" i="45"/>
  <c r="Q97" i="45"/>
  <c r="P97" i="45"/>
  <c r="E95" i="45"/>
  <c r="BI95" i="45"/>
  <c r="AQ96" i="45"/>
  <c r="AE99" i="45"/>
  <c r="BC95" i="45"/>
  <c r="AI97" i="45"/>
  <c r="Y100" i="45"/>
  <c r="AA95" i="45"/>
  <c r="AT96" i="45"/>
  <c r="AK98" i="45"/>
  <c r="BB96" i="45"/>
  <c r="BE95" i="45"/>
  <c r="BV98" i="45"/>
  <c r="AC95" i="45"/>
  <c r="BW96" i="45"/>
  <c r="BA98" i="45"/>
  <c r="BJ97" i="45"/>
  <c r="AS96" i="45"/>
  <c r="I99" i="45"/>
  <c r="U97" i="45"/>
  <c r="AJ100" i="45"/>
  <c r="O96" i="45"/>
  <c r="W97" i="45"/>
  <c r="M95" i="45"/>
  <c r="AG96" i="45"/>
  <c r="S95" i="45"/>
  <c r="BF100" i="45"/>
  <c r="BO98" i="45"/>
  <c r="B25" i="44"/>
  <c r="C26" i="44"/>
  <c r="D26" i="44"/>
  <c r="C25" i="43"/>
  <c r="D25" i="43"/>
  <c r="BP65" i="22"/>
  <c r="BP62" i="22"/>
  <c r="G61" i="2"/>
  <c r="G59" i="2"/>
  <c r="BQ65" i="30"/>
  <c r="BQ64" i="30"/>
  <c r="G115" i="2"/>
  <c r="G117" i="2"/>
  <c r="C36" i="3"/>
  <c r="D36" i="3"/>
  <c r="AS64" i="30"/>
  <c r="BE65" i="30"/>
  <c r="L64" i="30"/>
  <c r="W64" i="30"/>
  <c r="L65" i="30"/>
  <c r="AE65" i="30"/>
  <c r="BL65" i="30"/>
  <c r="AA65" i="30"/>
  <c r="E65" i="30"/>
  <c r="AE64" i="30"/>
  <c r="AX65" i="30"/>
  <c r="AS65" i="30"/>
  <c r="BL64" i="30"/>
  <c r="W65" i="30"/>
  <c r="AX64" i="30"/>
  <c r="AA64" i="30"/>
  <c r="BE64" i="30"/>
  <c r="AL64" i="30"/>
  <c r="S64" i="30"/>
  <c r="S65" i="30"/>
  <c r="AL65" i="30"/>
  <c r="E64" i="30"/>
  <c r="G65" i="2"/>
  <c r="G69" i="2"/>
  <c r="G53" i="2"/>
  <c r="G67" i="2"/>
  <c r="G55" i="2"/>
  <c r="G57" i="2"/>
  <c r="G71" i="2"/>
  <c r="G63" i="2"/>
  <c r="A51" i="2"/>
  <c r="B35" i="18"/>
  <c r="B34" i="18" s="1"/>
  <c r="D36" i="18"/>
  <c r="E62" i="22"/>
  <c r="Z62" i="22"/>
  <c r="BI62" i="22"/>
  <c r="L62" i="22"/>
  <c r="AU62" i="22"/>
  <c r="S62" i="22"/>
  <c r="AN62" i="22"/>
  <c r="AG62" i="22"/>
  <c r="BB62" i="22"/>
  <c r="Z65" i="22"/>
  <c r="BB65" i="22"/>
  <c r="S65" i="22"/>
  <c r="E65" i="22"/>
  <c r="BI65" i="22"/>
  <c r="AN65" i="22"/>
  <c r="AU65" i="22"/>
  <c r="L65" i="22"/>
  <c r="AG65" i="22"/>
  <c r="B35" i="3"/>
  <c r="I53" i="2"/>
  <c r="K53" i="2"/>
  <c r="K54" i="2"/>
  <c r="I54" i="2"/>
  <c r="J53" i="2"/>
  <c r="J54" i="2"/>
  <c r="K36" i="3"/>
  <c r="O25" i="43"/>
  <c r="K58" i="2"/>
  <c r="S25" i="43"/>
  <c r="K63" i="2"/>
  <c r="L67" i="2"/>
  <c r="I62" i="2"/>
  <c r="R36" i="18"/>
  <c r="F25" i="43"/>
  <c r="I67" i="2"/>
  <c r="J36" i="18"/>
  <c r="V36" i="18"/>
  <c r="J69" i="2"/>
  <c r="J67" i="2"/>
  <c r="K71" i="2"/>
  <c r="L59" i="2"/>
  <c r="J118" i="2"/>
  <c r="I56" i="2"/>
  <c r="T36" i="3"/>
  <c r="T36" i="18"/>
  <c r="P25" i="43"/>
  <c r="R26" i="44"/>
  <c r="W36" i="3"/>
  <c r="I117" i="2"/>
  <c r="I59" i="2"/>
  <c r="K72" i="2"/>
  <c r="K117" i="2"/>
  <c r="J63" i="2"/>
  <c r="I70" i="2"/>
  <c r="I72" i="2"/>
  <c r="J55" i="2"/>
  <c r="Y36" i="3"/>
  <c r="I116" i="2"/>
  <c r="M36" i="3"/>
  <c r="J59" i="2"/>
  <c r="I71" i="2"/>
  <c r="M25" i="43"/>
  <c r="G25" i="43"/>
  <c r="R36" i="3"/>
  <c r="J71" i="2"/>
  <c r="N26" i="44"/>
  <c r="I63" i="2"/>
  <c r="I115" i="2"/>
  <c r="J61" i="2"/>
  <c r="S26" i="44"/>
  <c r="H36" i="18"/>
  <c r="I69" i="2"/>
  <c r="K115" i="2"/>
  <c r="K69" i="2"/>
  <c r="M26" i="44"/>
  <c r="F36" i="3"/>
  <c r="K62" i="2"/>
  <c r="I118" i="2"/>
  <c r="J66" i="2"/>
  <c r="K67" i="2"/>
  <c r="E25" i="43"/>
  <c r="P26" i="44"/>
  <c r="K61" i="2"/>
  <c r="K68" i="2"/>
  <c r="L25" i="43"/>
  <c r="E26" i="44"/>
  <c r="Q26" i="44"/>
  <c r="Q25" i="43"/>
  <c r="L57" i="2"/>
  <c r="K70" i="2"/>
  <c r="L69" i="2"/>
  <c r="F36" i="18"/>
  <c r="J65" i="2"/>
  <c r="X26" i="44"/>
  <c r="J68" i="2"/>
  <c r="J62" i="2"/>
  <c r="L53" i="2"/>
  <c r="L117" i="2"/>
  <c r="Z36" i="3"/>
  <c r="H36" i="3"/>
  <c r="I60" i="2"/>
  <c r="J58" i="2"/>
  <c r="J26" i="44"/>
  <c r="N36" i="3"/>
  <c r="J25" i="43"/>
  <c r="V36" i="3"/>
  <c r="N36" i="18"/>
  <c r="K25" i="43"/>
  <c r="K65" i="2"/>
  <c r="I55" i="2"/>
  <c r="J64" i="2"/>
  <c r="W26" i="44"/>
  <c r="AB36" i="3"/>
  <c r="H25" i="43"/>
  <c r="U26" i="44"/>
  <c r="Q36" i="3"/>
  <c r="K60" i="2"/>
  <c r="O26" i="44"/>
  <c r="L36" i="3"/>
  <c r="J116" i="2"/>
  <c r="X36" i="18"/>
  <c r="J36" i="3"/>
  <c r="J117" i="2"/>
  <c r="L63" i="2"/>
  <c r="T26" i="44"/>
  <c r="U25" i="43"/>
  <c r="K57" i="2"/>
  <c r="K59" i="2"/>
  <c r="L71" i="2"/>
  <c r="I68" i="2"/>
  <c r="G26" i="44"/>
  <c r="K26" i="44"/>
  <c r="G36" i="3"/>
  <c r="Z26" i="44"/>
  <c r="F26" i="44"/>
  <c r="R25" i="43"/>
  <c r="P36" i="18"/>
  <c r="I25" i="43"/>
  <c r="I65" i="2"/>
  <c r="L36" i="18"/>
  <c r="I64" i="2"/>
  <c r="H26" i="44"/>
  <c r="T25" i="43"/>
  <c r="J56" i="2"/>
  <c r="K116" i="2"/>
  <c r="Y26" i="44"/>
  <c r="U36" i="3"/>
  <c r="I58" i="2"/>
  <c r="P36" i="3"/>
  <c r="K55" i="2"/>
  <c r="K64" i="2"/>
  <c r="V26" i="44"/>
  <c r="E36" i="3"/>
  <c r="J115" i="2"/>
  <c r="K56" i="2"/>
  <c r="L115" i="2"/>
  <c r="L65" i="2"/>
  <c r="K118" i="2"/>
  <c r="X36" i="3"/>
  <c r="AA36" i="3"/>
  <c r="I36" i="3"/>
  <c r="Z36" i="18"/>
  <c r="J72" i="2"/>
  <c r="L26" i="44"/>
  <c r="L61" i="2"/>
  <c r="O36" i="3"/>
  <c r="N25" i="43"/>
  <c r="I66" i="2"/>
  <c r="S36" i="3"/>
  <c r="J70" i="2"/>
  <c r="L55" i="2"/>
  <c r="I57" i="2"/>
  <c r="I61" i="2"/>
  <c r="J60" i="2"/>
  <c r="K66" i="2"/>
  <c r="V25" i="43"/>
  <c r="I26" i="44"/>
  <c r="J57" i="2"/>
  <c r="BU101" i="48" l="1"/>
  <c r="BF104" i="48"/>
  <c r="BC106" i="48"/>
  <c r="BK103" i="48"/>
  <c r="P104" i="48"/>
  <c r="S103" i="48"/>
  <c r="BG102" i="48"/>
  <c r="AJ104" i="48"/>
  <c r="AI103" i="48"/>
  <c r="AF105" i="48"/>
  <c r="U102" i="48"/>
  <c r="BM109" i="48"/>
  <c r="AC103" i="48"/>
  <c r="AX103" i="48"/>
  <c r="C105" i="48"/>
  <c r="BN107" i="48"/>
  <c r="H105" i="48"/>
  <c r="M105" i="48"/>
  <c r="AK102" i="48"/>
  <c r="AG102" i="48"/>
  <c r="E102" i="48"/>
  <c r="BS104" i="48"/>
  <c r="BJ106" i="48"/>
  <c r="BI105" i="48"/>
  <c r="BV105" i="48"/>
  <c r="AW105" i="48"/>
  <c r="Q102" i="48"/>
  <c r="G103" i="48"/>
  <c r="T109" i="48"/>
  <c r="D105" i="48"/>
  <c r="BW102" i="48"/>
  <c r="AE102" i="48"/>
  <c r="X107" i="48"/>
  <c r="I104" i="48"/>
  <c r="W103" i="48"/>
  <c r="BO99" i="45"/>
  <c r="BF101" i="45"/>
  <c r="S96" i="45"/>
  <c r="AG97" i="45"/>
  <c r="M96" i="45"/>
  <c r="W98" i="45"/>
  <c r="O97" i="45"/>
  <c r="AJ101" i="45"/>
  <c r="U98" i="45"/>
  <c r="I100" i="45"/>
  <c r="AS97" i="45"/>
  <c r="BJ98" i="45"/>
  <c r="BA99" i="45"/>
  <c r="BW97" i="45"/>
  <c r="AC96" i="45"/>
  <c r="BV99" i="45"/>
  <c r="BE96" i="45"/>
  <c r="BB97" i="45"/>
  <c r="AK99" i="45"/>
  <c r="AT97" i="45"/>
  <c r="AA96" i="45"/>
  <c r="Y101" i="45"/>
  <c r="AI98" i="45"/>
  <c r="BC96" i="45"/>
  <c r="AE100" i="45"/>
  <c r="AQ97" i="45"/>
  <c r="BI96" i="45"/>
  <c r="E96" i="45"/>
  <c r="P98" i="45"/>
  <c r="Q98" i="45"/>
  <c r="T98" i="45"/>
  <c r="B24" i="44"/>
  <c r="C25" i="44"/>
  <c r="D25" i="44"/>
  <c r="D24" i="43"/>
  <c r="C24" i="43"/>
  <c r="BP63" i="22"/>
  <c r="M61" i="2"/>
  <c r="M59" i="2"/>
  <c r="BQ63" i="30"/>
  <c r="BQ62" i="30"/>
  <c r="M115" i="2"/>
  <c r="M117" i="2"/>
  <c r="D35" i="3"/>
  <c r="C35" i="3"/>
  <c r="BL63" i="30"/>
  <c r="BE62" i="30"/>
  <c r="AX63" i="30"/>
  <c r="W63" i="30"/>
  <c r="L62" i="30"/>
  <c r="S62" i="30"/>
  <c r="AS62" i="30"/>
  <c r="AE62" i="30"/>
  <c r="AE63" i="30"/>
  <c r="AS63" i="30"/>
  <c r="BL62" i="30"/>
  <c r="S63" i="30"/>
  <c r="L63" i="30"/>
  <c r="E62" i="30"/>
  <c r="E63" i="30"/>
  <c r="AL63" i="30"/>
  <c r="AA63" i="30"/>
  <c r="AA62" i="30"/>
  <c r="AX62" i="30"/>
  <c r="BE63" i="30"/>
  <c r="AL62" i="30"/>
  <c r="W62" i="30"/>
  <c r="D35" i="18"/>
  <c r="C35" i="18"/>
  <c r="M67" i="2"/>
  <c r="M55" i="2"/>
  <c r="M53" i="2"/>
  <c r="M57" i="2"/>
  <c r="M65" i="2"/>
  <c r="M69" i="2"/>
  <c r="M63" i="2"/>
  <c r="M71" i="2"/>
  <c r="AU63" i="22"/>
  <c r="BB63" i="22"/>
  <c r="E63" i="22"/>
  <c r="L63" i="22"/>
  <c r="Z63" i="22"/>
  <c r="BI63" i="22"/>
  <c r="AN63" i="22"/>
  <c r="S63" i="22"/>
  <c r="AG63" i="22"/>
  <c r="D34" i="18"/>
  <c r="C34" i="18"/>
  <c r="B33" i="18"/>
  <c r="B34" i="3"/>
  <c r="G25" i="44"/>
  <c r="S24" i="43"/>
  <c r="V25" i="44"/>
  <c r="F24" i="43"/>
  <c r="X25" i="44"/>
  <c r="S25" i="44"/>
  <c r="H24" i="43"/>
  <c r="Y25" i="44"/>
  <c r="O25" i="44"/>
  <c r="L25" i="44"/>
  <c r="P25" i="44"/>
  <c r="Q24" i="43"/>
  <c r="U24" i="43"/>
  <c r="U25" i="44"/>
  <c r="N24" i="43"/>
  <c r="K25" i="44"/>
  <c r="W25" i="44"/>
  <c r="O24" i="43"/>
  <c r="T24" i="43"/>
  <c r="M24" i="43"/>
  <c r="R25" i="44"/>
  <c r="N25" i="44"/>
  <c r="I25" i="44"/>
  <c r="T25" i="44"/>
  <c r="G24" i="43"/>
  <c r="E24" i="43"/>
  <c r="K24" i="43"/>
  <c r="M25" i="44"/>
  <c r="F25" i="44"/>
  <c r="Z25" i="44"/>
  <c r="R24" i="43"/>
  <c r="Q25" i="44"/>
  <c r="L24" i="43"/>
  <c r="J25" i="44"/>
  <c r="E25" i="44"/>
  <c r="J24" i="43"/>
  <c r="P24" i="43"/>
  <c r="I24" i="43"/>
  <c r="H25" i="44"/>
  <c r="V24" i="43"/>
  <c r="BU102" i="48" l="1"/>
  <c r="W104" i="48"/>
  <c r="I105" i="48"/>
  <c r="X108" i="48"/>
  <c r="AE103" i="48"/>
  <c r="BW103" i="48"/>
  <c r="D106" i="48"/>
  <c r="T110" i="48"/>
  <c r="G104" i="48"/>
  <c r="Q103" i="48"/>
  <c r="AW106" i="48"/>
  <c r="BV106" i="48"/>
  <c r="BI106" i="48"/>
  <c r="BJ107" i="48"/>
  <c r="BS105" i="48"/>
  <c r="E103" i="48"/>
  <c r="AG103" i="48"/>
  <c r="AK103" i="48"/>
  <c r="M106" i="48"/>
  <c r="H106" i="48"/>
  <c r="BN108" i="48"/>
  <c r="C106" i="48"/>
  <c r="AX104" i="48"/>
  <c r="AC104" i="48"/>
  <c r="BM110" i="48"/>
  <c r="U103" i="48"/>
  <c r="AF106" i="48"/>
  <c r="AI104" i="48"/>
  <c r="AJ105" i="48"/>
  <c r="BG103" i="48"/>
  <c r="S104" i="48"/>
  <c r="P105" i="48"/>
  <c r="BK104" i="48"/>
  <c r="BC107" i="48"/>
  <c r="BF105" i="48"/>
  <c r="T99" i="45"/>
  <c r="Q99" i="45"/>
  <c r="P99" i="45"/>
  <c r="E97" i="45"/>
  <c r="BI97" i="45"/>
  <c r="AQ98" i="45"/>
  <c r="AE101" i="45"/>
  <c r="BC97" i="45"/>
  <c r="AI99" i="45"/>
  <c r="Y102" i="45"/>
  <c r="AA97" i="45"/>
  <c r="AT98" i="45"/>
  <c r="AK100" i="45"/>
  <c r="BB98" i="45"/>
  <c r="BE97" i="45"/>
  <c r="BV100" i="45"/>
  <c r="AC97" i="45"/>
  <c r="BW98" i="45"/>
  <c r="BA100" i="45"/>
  <c r="BJ99" i="45"/>
  <c r="AS98" i="45"/>
  <c r="I101" i="45"/>
  <c r="U99" i="45"/>
  <c r="AJ102" i="45"/>
  <c r="O98" i="45"/>
  <c r="W99" i="45"/>
  <c r="M97" i="45"/>
  <c r="AG98" i="45"/>
  <c r="S97" i="45"/>
  <c r="BF102" i="45"/>
  <c r="BO100" i="45"/>
  <c r="C24" i="44"/>
  <c r="D24" i="44"/>
  <c r="B23" i="44"/>
  <c r="C23" i="43"/>
  <c r="D23" i="43"/>
  <c r="C34" i="3"/>
  <c r="D34" i="3"/>
  <c r="B32" i="18"/>
  <c r="D33" i="18"/>
  <c r="C33" i="18"/>
  <c r="B33" i="3"/>
  <c r="P53" i="2"/>
  <c r="Q54" i="2"/>
  <c r="O54" i="2"/>
  <c r="O53" i="2"/>
  <c r="P54" i="2"/>
  <c r="Q53" i="2"/>
  <c r="Q59" i="2"/>
  <c r="S34" i="3"/>
  <c r="O118" i="2"/>
  <c r="T34" i="3"/>
  <c r="P60" i="2"/>
  <c r="X24" i="44"/>
  <c r="Q34" i="18"/>
  <c r="Q67" i="2"/>
  <c r="H34" i="3"/>
  <c r="P66" i="2"/>
  <c r="J33" i="18"/>
  <c r="X34" i="18"/>
  <c r="V35" i="18"/>
  <c r="O65" i="2"/>
  <c r="Y35" i="18"/>
  <c r="Q55" i="2"/>
  <c r="G34" i="3"/>
  <c r="Q69" i="2"/>
  <c r="O71" i="2"/>
  <c r="Q65" i="2"/>
  <c r="P55" i="2"/>
  <c r="K34" i="3"/>
  <c r="P72" i="2"/>
  <c r="H33" i="18"/>
  <c r="H35" i="3"/>
  <c r="R35" i="18"/>
  <c r="S33" i="18"/>
  <c r="H35" i="18"/>
  <c r="N24" i="44"/>
  <c r="I35" i="18"/>
  <c r="O115" i="2"/>
  <c r="T34" i="18"/>
  <c r="E34" i="18"/>
  <c r="Q63" i="2"/>
  <c r="J35" i="3"/>
  <c r="K35" i="3"/>
  <c r="Z35" i="18"/>
  <c r="K35" i="18"/>
  <c r="M35" i="18"/>
  <c r="O72" i="2"/>
  <c r="W33" i="18"/>
  <c r="M23" i="43"/>
  <c r="S23" i="43"/>
  <c r="O64" i="2"/>
  <c r="F35" i="18"/>
  <c r="E24" i="44"/>
  <c r="I23" i="43"/>
  <c r="Q62" i="2"/>
  <c r="I35" i="3"/>
  <c r="Z35" i="3"/>
  <c r="G33" i="18"/>
  <c r="P35" i="3"/>
  <c r="E33" i="18"/>
  <c r="P64" i="2"/>
  <c r="Q56" i="2"/>
  <c r="S35" i="3"/>
  <c r="Q68" i="2"/>
  <c r="Q61" i="2"/>
  <c r="P58" i="2"/>
  <c r="P67" i="2"/>
  <c r="Z24" i="44"/>
  <c r="L35" i="3"/>
  <c r="X35" i="18"/>
  <c r="N23" i="43"/>
  <c r="I34" i="3"/>
  <c r="AA35" i="3"/>
  <c r="P62" i="2"/>
  <c r="F35" i="3"/>
  <c r="Y33" i="18"/>
  <c r="Y35" i="3"/>
  <c r="R24" i="44"/>
  <c r="E35" i="18"/>
  <c r="AA34" i="3"/>
  <c r="P33" i="18"/>
  <c r="O23" i="43"/>
  <c r="S24" i="44"/>
  <c r="P61" i="2"/>
  <c r="E35" i="3"/>
  <c r="O67" i="2"/>
  <c r="L24" i="44"/>
  <c r="J24" i="44"/>
  <c r="E34" i="3"/>
  <c r="I33" i="18"/>
  <c r="W24" i="44"/>
  <c r="F33" i="18"/>
  <c r="Q70" i="2"/>
  <c r="O57" i="2"/>
  <c r="L35" i="18"/>
  <c r="Q66" i="2"/>
  <c r="Q117" i="2"/>
  <c r="Q23" i="43"/>
  <c r="O24" i="44"/>
  <c r="R34" i="3"/>
  <c r="M33" i="18"/>
  <c r="O62" i="2"/>
  <c r="T23" i="43"/>
  <c r="O58" i="2"/>
  <c r="Q58" i="2"/>
  <c r="H24" i="44"/>
  <c r="O66" i="2"/>
  <c r="Q34" i="3"/>
  <c r="P35" i="18"/>
  <c r="H23" i="43"/>
  <c r="J34" i="3"/>
  <c r="R33" i="18"/>
  <c r="N35" i="3"/>
  <c r="R34" i="18"/>
  <c r="AB35" i="3"/>
  <c r="O117" i="2"/>
  <c r="K23" i="43"/>
  <c r="V24" i="44"/>
  <c r="O34" i="3"/>
  <c r="Q35" i="18"/>
  <c r="V35" i="3"/>
  <c r="O69" i="2"/>
  <c r="G35" i="18"/>
  <c r="O35" i="18"/>
  <c r="Y34" i="3"/>
  <c r="Q116" i="2"/>
  <c r="S35" i="18"/>
  <c r="X33" i="18"/>
  <c r="M35" i="3"/>
  <c r="P71" i="2"/>
  <c r="AB34" i="3"/>
  <c r="K24" i="44"/>
  <c r="P24" i="44"/>
  <c r="P65" i="2"/>
  <c r="Q24" i="44"/>
  <c r="Q35" i="3"/>
  <c r="G24" i="44"/>
  <c r="T33" i="18"/>
  <c r="F34" i="3"/>
  <c r="Q71" i="2"/>
  <c r="J35" i="18"/>
  <c r="V23" i="43"/>
  <c r="H34" i="18"/>
  <c r="Q118" i="2"/>
  <c r="O35" i="3"/>
  <c r="Q60" i="2"/>
  <c r="X34" i="3"/>
  <c r="P34" i="3"/>
  <c r="U34" i="18"/>
  <c r="U33" i="18"/>
  <c r="F34" i="18"/>
  <c r="Q72" i="2"/>
  <c r="P69" i="2"/>
  <c r="Z34" i="18"/>
  <c r="S34" i="18"/>
  <c r="V34" i="18"/>
  <c r="U23" i="43"/>
  <c r="J34" i="18"/>
  <c r="Q64" i="2"/>
  <c r="V33" i="18"/>
  <c r="O61" i="2"/>
  <c r="P56" i="2"/>
  <c r="K34" i="18"/>
  <c r="L34" i="18"/>
  <c r="X35" i="3"/>
  <c r="L34" i="3"/>
  <c r="O56" i="2"/>
  <c r="P118" i="2"/>
  <c r="P23" i="43"/>
  <c r="N34" i="18"/>
  <c r="N35" i="18"/>
  <c r="O55" i="2"/>
  <c r="Q115" i="2"/>
  <c r="N33" i="18"/>
  <c r="R35" i="3"/>
  <c r="Z33" i="18"/>
  <c r="Y24" i="44"/>
  <c r="O60" i="2"/>
  <c r="P68" i="2"/>
  <c r="T24" i="44"/>
  <c r="Z34" i="3"/>
  <c r="P116" i="2"/>
  <c r="Q33" i="18"/>
  <c r="K33" i="18"/>
  <c r="J23" i="43"/>
  <c r="M34" i="3"/>
  <c r="W34" i="18"/>
  <c r="P70" i="2"/>
  <c r="P34" i="18"/>
  <c r="L23" i="43"/>
  <c r="R23" i="43"/>
  <c r="P115" i="2"/>
  <c r="U35" i="3"/>
  <c r="P57" i="2"/>
  <c r="Y34" i="18"/>
  <c r="O63" i="2"/>
  <c r="V34" i="3"/>
  <c r="Q57" i="2"/>
  <c r="W34" i="3"/>
  <c r="M34" i="18"/>
  <c r="W35" i="3"/>
  <c r="G35" i="3"/>
  <c r="O116" i="2"/>
  <c r="O34" i="18"/>
  <c r="T35" i="18"/>
  <c r="P59" i="2"/>
  <c r="G34" i="18"/>
  <c r="I24" i="44"/>
  <c r="G23" i="43"/>
  <c r="P117" i="2"/>
  <c r="U35" i="18"/>
  <c r="L33" i="18"/>
  <c r="E23" i="43"/>
  <c r="O33" i="18"/>
  <c r="P63" i="2"/>
  <c r="N34" i="3"/>
  <c r="F24" i="44"/>
  <c r="O68" i="2"/>
  <c r="F23" i="43"/>
  <c r="M24" i="44"/>
  <c r="W35" i="18"/>
  <c r="T35" i="3"/>
  <c r="O59" i="2"/>
  <c r="O70" i="2"/>
  <c r="I34" i="18"/>
  <c r="U24" i="44"/>
  <c r="U34" i="3"/>
  <c r="BU103" i="48" l="1"/>
  <c r="BF106" i="48"/>
  <c r="BC108" i="48"/>
  <c r="BK105" i="48"/>
  <c r="P106" i="48"/>
  <c r="S105" i="48"/>
  <c r="BG104" i="48"/>
  <c r="AJ106" i="48"/>
  <c r="AI105" i="48"/>
  <c r="AF107" i="48"/>
  <c r="U104" i="48"/>
  <c r="BM111" i="48"/>
  <c r="AC105" i="48"/>
  <c r="AX105" i="48"/>
  <c r="C107" i="48"/>
  <c r="BN109" i="48"/>
  <c r="H107" i="48"/>
  <c r="M107" i="48"/>
  <c r="AK104" i="48"/>
  <c r="AG104" i="48"/>
  <c r="E104" i="48"/>
  <c r="BS106" i="48"/>
  <c r="BJ108" i="48"/>
  <c r="BI107" i="48"/>
  <c r="BV107" i="48"/>
  <c r="AW107" i="48"/>
  <c r="Q104" i="48"/>
  <c r="G105" i="48"/>
  <c r="T111" i="48"/>
  <c r="D107" i="48"/>
  <c r="BW104" i="48"/>
  <c r="AE104" i="48"/>
  <c r="X109" i="48"/>
  <c r="I106" i="48"/>
  <c r="W105" i="48"/>
  <c r="BO101" i="45"/>
  <c r="BF103" i="45"/>
  <c r="S98" i="45"/>
  <c r="AG99" i="45"/>
  <c r="M98" i="45"/>
  <c r="W100" i="45"/>
  <c r="O99" i="45"/>
  <c r="AJ103" i="45"/>
  <c r="U100" i="45"/>
  <c r="I102" i="45"/>
  <c r="AS99" i="45"/>
  <c r="BJ100" i="45"/>
  <c r="BA101" i="45"/>
  <c r="BW99" i="45"/>
  <c r="AC98" i="45"/>
  <c r="BV101" i="45"/>
  <c r="BE98" i="45"/>
  <c r="BB99" i="45"/>
  <c r="AK101" i="45"/>
  <c r="AT99" i="45"/>
  <c r="AA98" i="45"/>
  <c r="Y103" i="45"/>
  <c r="AI100" i="45"/>
  <c r="BC98" i="45"/>
  <c r="AE102" i="45"/>
  <c r="AQ99" i="45"/>
  <c r="BI98" i="45"/>
  <c r="E98" i="45"/>
  <c r="P100" i="45"/>
  <c r="Q100" i="45"/>
  <c r="T100" i="45"/>
  <c r="B22" i="44"/>
  <c r="C23" i="44"/>
  <c r="D23" i="44"/>
  <c r="D22" i="43"/>
  <c r="C22" i="43"/>
  <c r="AE60" i="30"/>
  <c r="S60" i="30"/>
  <c r="BE61" i="30"/>
  <c r="AN58" i="22"/>
  <c r="BP60" i="22"/>
  <c r="L60" i="30"/>
  <c r="BE60" i="30"/>
  <c r="BI60" i="22"/>
  <c r="BP58" i="22"/>
  <c r="S61" i="22"/>
  <c r="W61" i="30"/>
  <c r="Z61" i="22"/>
  <c r="BB59" i="22"/>
  <c r="AX61" i="30"/>
  <c r="BI59" i="22"/>
  <c r="BB61" i="22"/>
  <c r="BQ60" i="30"/>
  <c r="AA61" i="30"/>
  <c r="AL60" i="30"/>
  <c r="AS60" i="30"/>
  <c r="L61" i="22"/>
  <c r="E58" i="22"/>
  <c r="AU60" i="22"/>
  <c r="BB58" i="22"/>
  <c r="Z58" i="22"/>
  <c r="W60" i="30"/>
  <c r="AG61" i="22"/>
  <c r="BP59" i="22"/>
  <c r="S59" i="22"/>
  <c r="BL60" i="30"/>
  <c r="AG58" i="22"/>
  <c r="Z60" i="22"/>
  <c r="AG60" i="22"/>
  <c r="BQ61" i="30"/>
  <c r="L59" i="22"/>
  <c r="AS61" i="30"/>
  <c r="E60" i="22"/>
  <c r="AN61" i="22"/>
  <c r="S60" i="22"/>
  <c r="BP61" i="22"/>
  <c r="S61" i="30"/>
  <c r="E59" i="22"/>
  <c r="BL61" i="30"/>
  <c r="E60" i="30"/>
  <c r="AN60" i="22"/>
  <c r="AN59" i="22"/>
  <c r="BI58" i="22"/>
  <c r="L60" i="22"/>
  <c r="AE61" i="30"/>
  <c r="BB60" i="22"/>
  <c r="L61" i="30"/>
  <c r="AG59" i="22"/>
  <c r="AU59" i="22"/>
  <c r="AL61" i="30"/>
  <c r="AU58" i="22"/>
  <c r="AX60" i="30"/>
  <c r="E61" i="30"/>
  <c r="AU61" i="22"/>
  <c r="AA60" i="30"/>
  <c r="BI61" i="22"/>
  <c r="S58" i="22"/>
  <c r="Z59" i="22"/>
  <c r="E61" i="22"/>
  <c r="L58" i="22"/>
  <c r="BP57" i="22"/>
  <c r="BP56" i="22"/>
  <c r="BQ59" i="30"/>
  <c r="BQ58" i="30"/>
  <c r="C33" i="3"/>
  <c r="D33" i="3"/>
  <c r="BL58" i="30"/>
  <c r="BL59" i="30"/>
  <c r="S59" i="30"/>
  <c r="AX58" i="30"/>
  <c r="L59" i="30"/>
  <c r="AX59" i="30"/>
  <c r="S58" i="30"/>
  <c r="AE58" i="30"/>
  <c r="AS58" i="30"/>
  <c r="L58" i="30"/>
  <c r="AL59" i="30"/>
  <c r="W58" i="30"/>
  <c r="BE58" i="30"/>
  <c r="W59" i="30"/>
  <c r="AL58" i="30"/>
  <c r="AE59" i="30"/>
  <c r="E59" i="30"/>
  <c r="E58" i="30"/>
  <c r="AA59" i="30"/>
  <c r="AS59" i="30"/>
  <c r="BE59" i="30"/>
  <c r="AA58" i="30"/>
  <c r="BB57" i="22"/>
  <c r="AG57" i="22"/>
  <c r="Z57" i="22"/>
  <c r="BI57" i="22"/>
  <c r="AN57" i="22"/>
  <c r="E57" i="22"/>
  <c r="AU57" i="22"/>
  <c r="S57" i="22"/>
  <c r="L57" i="22"/>
  <c r="BI56" i="22"/>
  <c r="Z56" i="22"/>
  <c r="L56" i="22"/>
  <c r="E56" i="22"/>
  <c r="AU56" i="22"/>
  <c r="AG56" i="22"/>
  <c r="AN56" i="22"/>
  <c r="BB56" i="22"/>
  <c r="S56" i="22"/>
  <c r="D32" i="18"/>
  <c r="C32" i="18"/>
  <c r="B31" i="18"/>
  <c r="B32" i="3"/>
  <c r="Y33" i="3"/>
  <c r="I32" i="18"/>
  <c r="N23" i="44"/>
  <c r="W33" i="3"/>
  <c r="S22" i="43"/>
  <c r="H22" i="43"/>
  <c r="E32" i="18"/>
  <c r="W23" i="44"/>
  <c r="M23" i="44"/>
  <c r="L33" i="3"/>
  <c r="P32" i="18"/>
  <c r="L32" i="18"/>
  <c r="G33" i="3"/>
  <c r="T33" i="3"/>
  <c r="S23" i="44"/>
  <c r="S33" i="3"/>
  <c r="I22" i="43"/>
  <c r="T22" i="43"/>
  <c r="G22" i="43"/>
  <c r="Q32" i="18"/>
  <c r="V33" i="3"/>
  <c r="J22" i="43"/>
  <c r="O23" i="44"/>
  <c r="K22" i="43"/>
  <c r="N22" i="43"/>
  <c r="U32" i="18"/>
  <c r="X23" i="44"/>
  <c r="V23" i="44"/>
  <c r="Q23" i="44"/>
  <c r="V22" i="43"/>
  <c r="J23" i="44"/>
  <c r="R32" i="18"/>
  <c r="K23" i="44"/>
  <c r="I23" i="44"/>
  <c r="V32" i="18"/>
  <c r="R33" i="3"/>
  <c r="N32" i="18"/>
  <c r="Z23" i="44"/>
  <c r="F32" i="18"/>
  <c r="F33" i="3"/>
  <c r="W32" i="18"/>
  <c r="H33" i="3"/>
  <c r="F22" i="43"/>
  <c r="Q22" i="43"/>
  <c r="J32" i="18"/>
  <c r="R22" i="43"/>
  <c r="M33" i="3"/>
  <c r="T23" i="44"/>
  <c r="S32" i="18"/>
  <c r="I33" i="3"/>
  <c r="U22" i="43"/>
  <c r="J33" i="3"/>
  <c r="AA33" i="3"/>
  <c r="G23" i="44"/>
  <c r="E33" i="3"/>
  <c r="U33" i="3"/>
  <c r="Z32" i="18"/>
  <c r="Y32" i="18"/>
  <c r="X33" i="3"/>
  <c r="M22" i="43"/>
  <c r="K33" i="3"/>
  <c r="AB33" i="3"/>
  <c r="H23" i="44"/>
  <c r="L23" i="44"/>
  <c r="Z33" i="3"/>
  <c r="E22" i="43"/>
  <c r="L22" i="43"/>
  <c r="Q33" i="3"/>
  <c r="O33" i="3"/>
  <c r="X32" i="18"/>
  <c r="F23" i="44"/>
  <c r="P33" i="3"/>
  <c r="N33" i="3"/>
  <c r="E23" i="44"/>
  <c r="O32" i="18"/>
  <c r="H32" i="18"/>
  <c r="K32" i="18"/>
  <c r="O22" i="43"/>
  <c r="M32" i="18"/>
  <c r="P22" i="43"/>
  <c r="R23" i="44"/>
  <c r="T32" i="18"/>
  <c r="P23" i="44"/>
  <c r="G32" i="18"/>
  <c r="U23" i="44"/>
  <c r="Y23" i="44"/>
  <c r="BU104" i="48" l="1"/>
  <c r="W106" i="48"/>
  <c r="I107" i="48"/>
  <c r="X110" i="48"/>
  <c r="AE105" i="48"/>
  <c r="BW105" i="48"/>
  <c r="D108" i="48"/>
  <c r="G106" i="48"/>
  <c r="Q105" i="48"/>
  <c r="AW108" i="48"/>
  <c r="BV108" i="48"/>
  <c r="BI108" i="48"/>
  <c r="BJ109" i="48"/>
  <c r="BS107" i="48"/>
  <c r="E105" i="48"/>
  <c r="AG105" i="48"/>
  <c r="AK105" i="48"/>
  <c r="M108" i="48"/>
  <c r="H108" i="48"/>
  <c r="BN110" i="48"/>
  <c r="C108" i="48"/>
  <c r="AX106" i="48"/>
  <c r="AC106" i="48"/>
  <c r="U105" i="48"/>
  <c r="AF108" i="48"/>
  <c r="AI106" i="48"/>
  <c r="AJ107" i="48"/>
  <c r="BG105" i="48"/>
  <c r="S106" i="48"/>
  <c r="P107" i="48"/>
  <c r="BK106" i="48"/>
  <c r="BC109" i="48"/>
  <c r="BF107" i="48"/>
  <c r="T101" i="45"/>
  <c r="Q101" i="45"/>
  <c r="P101" i="45"/>
  <c r="E99" i="45"/>
  <c r="BI99" i="45"/>
  <c r="AQ100" i="45"/>
  <c r="AE103" i="45"/>
  <c r="BC99" i="45"/>
  <c r="AI101" i="45"/>
  <c r="Y104" i="45"/>
  <c r="AA99" i="45"/>
  <c r="AT100" i="45"/>
  <c r="AK102" i="45"/>
  <c r="BB100" i="45"/>
  <c r="BE99" i="45"/>
  <c r="BV102" i="45"/>
  <c r="AC99" i="45"/>
  <c r="BW100" i="45"/>
  <c r="BA102" i="45"/>
  <c r="BJ101" i="45"/>
  <c r="AS100" i="45"/>
  <c r="I103" i="45"/>
  <c r="U101" i="45"/>
  <c r="AJ104" i="45"/>
  <c r="O100" i="45"/>
  <c r="W101" i="45"/>
  <c r="M99" i="45"/>
  <c r="AG100" i="45"/>
  <c r="S99" i="45"/>
  <c r="BF104" i="45"/>
  <c r="BO102" i="45"/>
  <c r="D22" i="44"/>
  <c r="C22" i="44"/>
  <c r="B21" i="44"/>
  <c r="C21" i="43"/>
  <c r="D21" i="43"/>
  <c r="BP55" i="22"/>
  <c r="BP54" i="22"/>
  <c r="BQ57" i="30"/>
  <c r="BQ56" i="30"/>
  <c r="C32" i="3"/>
  <c r="D32" i="3"/>
  <c r="AL57" i="30"/>
  <c r="BL56" i="30"/>
  <c r="E56" i="30"/>
  <c r="AA56" i="30"/>
  <c r="E57" i="30"/>
  <c r="S56" i="30"/>
  <c r="L56" i="30"/>
  <c r="AE56" i="30"/>
  <c r="AL56" i="30"/>
  <c r="AS57" i="30"/>
  <c r="W56" i="30"/>
  <c r="W57" i="30"/>
  <c r="AS56" i="30"/>
  <c r="S57" i="30"/>
  <c r="AA57" i="30"/>
  <c r="BE57" i="30"/>
  <c r="AX57" i="30"/>
  <c r="L57" i="30"/>
  <c r="BE56" i="30"/>
  <c r="AX56" i="30"/>
  <c r="BL57" i="30"/>
  <c r="AE57" i="30"/>
  <c r="AN54" i="22"/>
  <c r="BB54" i="22"/>
  <c r="S54" i="22"/>
  <c r="AU54" i="22"/>
  <c r="E54" i="22"/>
  <c r="L54" i="22"/>
  <c r="BI54" i="22"/>
  <c r="AG54" i="22"/>
  <c r="Z54" i="22"/>
  <c r="S55" i="22"/>
  <c r="AU55" i="22"/>
  <c r="E55" i="22"/>
  <c r="L55" i="22"/>
  <c r="Z55" i="22"/>
  <c r="AN55" i="22"/>
  <c r="BI55" i="22"/>
  <c r="AG55" i="22"/>
  <c r="BB55" i="22"/>
  <c r="D31" i="18"/>
  <c r="B30" i="18"/>
  <c r="C31" i="18"/>
  <c r="B31" i="3"/>
  <c r="R21" i="43"/>
  <c r="H32" i="3"/>
  <c r="V22" i="44"/>
  <c r="V21" i="43"/>
  <c r="Z32" i="3"/>
  <c r="T22" i="44"/>
  <c r="F31" i="18"/>
  <c r="R31" i="18"/>
  <c r="J32" i="3"/>
  <c r="R32" i="3"/>
  <c r="X32" i="3"/>
  <c r="J22" i="44"/>
  <c r="F21" i="43"/>
  <c r="G21" i="43"/>
  <c r="T31" i="18"/>
  <c r="S21" i="43"/>
  <c r="Q21" i="43"/>
  <c r="K22" i="44"/>
  <c r="Y31" i="18"/>
  <c r="U22" i="44"/>
  <c r="N31" i="18"/>
  <c r="O31" i="18"/>
  <c r="K21" i="43"/>
  <c r="F22" i="44"/>
  <c r="G32" i="3"/>
  <c r="H31" i="18"/>
  <c r="P22" i="44"/>
  <c r="Z22" i="44"/>
  <c r="E21" i="43"/>
  <c r="P21" i="43"/>
  <c r="M21" i="43"/>
  <c r="S32" i="3"/>
  <c r="N32" i="3"/>
  <c r="G22" i="44"/>
  <c r="Q22" i="44"/>
  <c r="L22" i="44"/>
  <c r="O32" i="3"/>
  <c r="E31" i="18"/>
  <c r="AA32" i="3"/>
  <c r="O22" i="44"/>
  <c r="V31" i="18"/>
  <c r="J21" i="43"/>
  <c r="X31" i="18"/>
  <c r="N22" i="44"/>
  <c r="R22" i="44"/>
  <c r="U21" i="43"/>
  <c r="I32" i="3"/>
  <c r="I22" i="44"/>
  <c r="T32" i="3"/>
  <c r="AB32" i="3"/>
  <c r="M31" i="18"/>
  <c r="U31" i="18"/>
  <c r="W32" i="3"/>
  <c r="E22" i="44"/>
  <c r="H21" i="43"/>
  <c r="M22" i="44"/>
  <c r="K31" i="18"/>
  <c r="K32" i="3"/>
  <c r="Q31" i="18"/>
  <c r="I31" i="18"/>
  <c r="P32" i="3"/>
  <c r="W31" i="18"/>
  <c r="L21" i="43"/>
  <c r="L32" i="3"/>
  <c r="T21" i="43"/>
  <c r="Q32" i="3"/>
  <c r="Z31" i="18"/>
  <c r="W22" i="44"/>
  <c r="F32" i="3"/>
  <c r="U32" i="3"/>
  <c r="S22" i="44"/>
  <c r="Y22" i="44"/>
  <c r="Y32" i="3"/>
  <c r="L31" i="18"/>
  <c r="J31" i="18"/>
  <c r="S31" i="18"/>
  <c r="G31" i="18"/>
  <c r="E32" i="3"/>
  <c r="I21" i="43"/>
  <c r="V32" i="3"/>
  <c r="N21" i="43"/>
  <c r="H22" i="44"/>
  <c r="O21" i="43"/>
  <c r="P31" i="18"/>
  <c r="M32" i="3"/>
  <c r="X22" i="44"/>
  <c r="BU105" i="48" l="1"/>
  <c r="BF108" i="48"/>
  <c r="BC110" i="48"/>
  <c r="BK107" i="48"/>
  <c r="P108" i="48"/>
  <c r="S107" i="48"/>
  <c r="BG106" i="48"/>
  <c r="AJ108" i="48"/>
  <c r="AI107" i="48"/>
  <c r="AF109" i="48"/>
  <c r="U106" i="48"/>
  <c r="AC107" i="48"/>
  <c r="AX107" i="48"/>
  <c r="C109" i="48"/>
  <c r="BN111" i="48"/>
  <c r="H109" i="48"/>
  <c r="M109" i="48"/>
  <c r="AK106" i="48"/>
  <c r="AG106" i="48"/>
  <c r="E106" i="48"/>
  <c r="BS108" i="48"/>
  <c r="BJ110" i="48"/>
  <c r="BI109" i="48"/>
  <c r="BV109" i="48"/>
  <c r="AW109" i="48"/>
  <c r="Q106" i="48"/>
  <c r="G107" i="48"/>
  <c r="D109" i="48"/>
  <c r="BW106" i="48"/>
  <c r="AE106" i="48"/>
  <c r="X111" i="48"/>
  <c r="I108" i="48"/>
  <c r="W107" i="48"/>
  <c r="BO103" i="45"/>
  <c r="BF105" i="45"/>
  <c r="S100" i="45"/>
  <c r="AG101" i="45"/>
  <c r="M100" i="45"/>
  <c r="W102" i="45"/>
  <c r="O101" i="45"/>
  <c r="AJ105" i="45"/>
  <c r="U102" i="45"/>
  <c r="I104" i="45"/>
  <c r="AS101" i="45"/>
  <c r="BJ102" i="45"/>
  <c r="BA103" i="45"/>
  <c r="BW101" i="45"/>
  <c r="AC100" i="45"/>
  <c r="BV103" i="45"/>
  <c r="BE100" i="45"/>
  <c r="BB101" i="45"/>
  <c r="AK103" i="45"/>
  <c r="AT101" i="45"/>
  <c r="AA100" i="45"/>
  <c r="Y105" i="45"/>
  <c r="AI102" i="45"/>
  <c r="BC100" i="45"/>
  <c r="AE104" i="45"/>
  <c r="AQ101" i="45"/>
  <c r="BI100" i="45"/>
  <c r="E100" i="45"/>
  <c r="P102" i="45"/>
  <c r="Q102" i="45"/>
  <c r="T102" i="45"/>
  <c r="B20" i="44"/>
  <c r="D21" i="44"/>
  <c r="C21" i="44"/>
  <c r="C20" i="43"/>
  <c r="D20" i="43"/>
  <c r="BP53" i="22"/>
  <c r="BP52" i="22"/>
  <c r="BQ55" i="30"/>
  <c r="BQ54" i="30"/>
  <c r="D31" i="3"/>
  <c r="C31" i="3"/>
  <c r="L55" i="30"/>
  <c r="AX55" i="30"/>
  <c r="BL54" i="30"/>
  <c r="W55" i="30"/>
  <c r="AS55" i="30"/>
  <c r="AL55" i="30"/>
  <c r="AX54" i="30"/>
  <c r="AL54" i="30"/>
  <c r="AA55" i="30"/>
  <c r="W54" i="30"/>
  <c r="BL55" i="30"/>
  <c r="L54" i="30"/>
  <c r="E54" i="30"/>
  <c r="AA54" i="30"/>
  <c r="BE55" i="30"/>
  <c r="AS54" i="30"/>
  <c r="E55" i="30"/>
  <c r="S54" i="30"/>
  <c r="S55" i="30"/>
  <c r="AE55" i="30"/>
  <c r="AE54" i="30"/>
  <c r="BE54" i="30"/>
  <c r="L53" i="22"/>
  <c r="BI53" i="22"/>
  <c r="S53" i="22"/>
  <c r="E53" i="22"/>
  <c r="AN53" i="22"/>
  <c r="AU53" i="22"/>
  <c r="AG53" i="22"/>
  <c r="Z53" i="22"/>
  <c r="BB53" i="22"/>
  <c r="AG52" i="22"/>
  <c r="BB52" i="22"/>
  <c r="Z52" i="22"/>
  <c r="AN52" i="22"/>
  <c r="E52" i="22"/>
  <c r="L52" i="22"/>
  <c r="S52" i="22"/>
  <c r="BI52" i="22"/>
  <c r="AU52" i="22"/>
  <c r="D30" i="18"/>
  <c r="B29" i="18"/>
  <c r="C30" i="18"/>
  <c r="B30" i="3"/>
  <c r="S21" i="44"/>
  <c r="H31" i="3"/>
  <c r="E21" i="44"/>
  <c r="E20" i="43"/>
  <c r="U20" i="43"/>
  <c r="Y21" i="44"/>
  <c r="V21" i="44"/>
  <c r="O21" i="44"/>
  <c r="I30" i="18"/>
  <c r="J20" i="43"/>
  <c r="Q21" i="44"/>
  <c r="L20" i="43"/>
  <c r="AB31" i="3"/>
  <c r="U21" i="44"/>
  <c r="J30" i="18"/>
  <c r="R30" i="18"/>
  <c r="U30" i="18"/>
  <c r="T21" i="44"/>
  <c r="W30" i="18"/>
  <c r="I31" i="3"/>
  <c r="F30" i="18"/>
  <c r="Z31" i="3"/>
  <c r="F31" i="3"/>
  <c r="O30" i="18"/>
  <c r="Z30" i="18"/>
  <c r="F20" i="43"/>
  <c r="X30" i="18"/>
  <c r="K21" i="44"/>
  <c r="E31" i="3"/>
  <c r="H30" i="18"/>
  <c r="S20" i="43"/>
  <c r="G21" i="44"/>
  <c r="O31" i="3"/>
  <c r="H20" i="43"/>
  <c r="K30" i="18"/>
  <c r="U31" i="3"/>
  <c r="K31" i="3"/>
  <c r="G30" i="18"/>
  <c r="R31" i="3"/>
  <c r="G20" i="43"/>
  <c r="V30" i="18"/>
  <c r="O20" i="43"/>
  <c r="Q31" i="3"/>
  <c r="P20" i="43"/>
  <c r="X21" i="44"/>
  <c r="P31" i="3"/>
  <c r="S30" i="18"/>
  <c r="H21" i="44"/>
  <c r="T30" i="18"/>
  <c r="I20" i="43"/>
  <c r="J21" i="44"/>
  <c r="N20" i="43"/>
  <c r="Q20" i="43"/>
  <c r="M21" i="44"/>
  <c r="T20" i="43"/>
  <c r="V31" i="3"/>
  <c r="P21" i="44"/>
  <c r="K20" i="43"/>
  <c r="Q30" i="18"/>
  <c r="V20" i="43"/>
  <c r="M30" i="18"/>
  <c r="M31" i="3"/>
  <c r="F21" i="44"/>
  <c r="I21" i="44"/>
  <c r="N31" i="3"/>
  <c r="T31" i="3"/>
  <c r="M20" i="43"/>
  <c r="L30" i="18"/>
  <c r="L21" i="44"/>
  <c r="L31" i="3"/>
  <c r="Z21" i="44"/>
  <c r="X31" i="3"/>
  <c r="Y30" i="18"/>
  <c r="S31" i="3"/>
  <c r="E30" i="18"/>
  <c r="AA31" i="3"/>
  <c r="P30" i="18"/>
  <c r="N30" i="18"/>
  <c r="J31" i="3"/>
  <c r="R21" i="44"/>
  <c r="W21" i="44"/>
  <c r="Y31" i="3"/>
  <c r="N21" i="44"/>
  <c r="G31" i="3"/>
  <c r="W31" i="3"/>
  <c r="R20" i="43"/>
  <c r="E52" i="30" l="1"/>
  <c r="BU106" i="48"/>
  <c r="W108" i="48"/>
  <c r="I109" i="48"/>
  <c r="AE107" i="48"/>
  <c r="BW107" i="48"/>
  <c r="D110" i="48"/>
  <c r="G108" i="48"/>
  <c r="Q107" i="48"/>
  <c r="AW110" i="48"/>
  <c r="BV110" i="48"/>
  <c r="BI110" i="48"/>
  <c r="BJ111" i="48"/>
  <c r="BS109" i="48"/>
  <c r="E107" i="48"/>
  <c r="AG107" i="48"/>
  <c r="AK107" i="48"/>
  <c r="M110" i="48"/>
  <c r="H110" i="48"/>
  <c r="C110" i="48"/>
  <c r="AX108" i="48"/>
  <c r="AC108" i="48"/>
  <c r="U107" i="48"/>
  <c r="AF110" i="48"/>
  <c r="AI108" i="48"/>
  <c r="AJ109" i="48"/>
  <c r="BG107" i="48"/>
  <c r="S108" i="48"/>
  <c r="P109" i="48"/>
  <c r="BK108" i="48"/>
  <c r="BC111" i="48"/>
  <c r="BF109" i="48"/>
  <c r="T103" i="45"/>
  <c r="Q103" i="45"/>
  <c r="P103" i="45"/>
  <c r="E101" i="45"/>
  <c r="BI101" i="45"/>
  <c r="AQ102" i="45"/>
  <c r="AE105" i="45"/>
  <c r="BC101" i="45"/>
  <c r="AI103" i="45"/>
  <c r="Y106" i="45"/>
  <c r="AA101" i="45"/>
  <c r="AT102" i="45"/>
  <c r="AK104" i="45"/>
  <c r="BB102" i="45"/>
  <c r="BE101" i="45"/>
  <c r="BV104" i="45"/>
  <c r="AC101" i="45"/>
  <c r="BW102" i="45"/>
  <c r="BA104" i="45"/>
  <c r="BJ103" i="45"/>
  <c r="AS102" i="45"/>
  <c r="I105" i="45"/>
  <c r="U103" i="45"/>
  <c r="AJ106" i="45"/>
  <c r="O102" i="45"/>
  <c r="W103" i="45"/>
  <c r="M101" i="45"/>
  <c r="AG102" i="45"/>
  <c r="S101" i="45"/>
  <c r="BF106" i="45"/>
  <c r="BO104" i="45"/>
  <c r="D20" i="44"/>
  <c r="B19" i="44"/>
  <c r="C20" i="44"/>
  <c r="C19" i="43"/>
  <c r="D19" i="43"/>
  <c r="BP50" i="22"/>
  <c r="BP51" i="22"/>
  <c r="BQ53" i="30"/>
  <c r="BQ52" i="30"/>
  <c r="D30" i="3"/>
  <c r="C30" i="3"/>
  <c r="AX53" i="30"/>
  <c r="AA52" i="30"/>
  <c r="AA53" i="30"/>
  <c r="L53" i="30"/>
  <c r="AE52" i="30"/>
  <c r="BL52" i="30"/>
  <c r="E53" i="30"/>
  <c r="S52" i="30"/>
  <c r="AE53" i="30"/>
  <c r="AX52" i="30"/>
  <c r="AS53" i="30"/>
  <c r="BE53" i="30"/>
  <c r="AL52" i="30"/>
  <c r="BL53" i="30"/>
  <c r="S53" i="30"/>
  <c r="AL53" i="30"/>
  <c r="W52" i="30"/>
  <c r="L52" i="30"/>
  <c r="BE52" i="30"/>
  <c r="AS52" i="30"/>
  <c r="W53" i="30"/>
  <c r="AG51" i="22"/>
  <c r="AU51" i="22"/>
  <c r="E51" i="22"/>
  <c r="AN51" i="22"/>
  <c r="L51" i="22"/>
  <c r="Z51" i="22"/>
  <c r="BB51" i="22"/>
  <c r="BI51" i="22"/>
  <c r="S51" i="22"/>
  <c r="E50" i="22"/>
  <c r="AG50" i="22"/>
  <c r="BB50" i="22"/>
  <c r="Z50" i="22"/>
  <c r="BI50" i="22"/>
  <c r="L50" i="22"/>
  <c r="AU50" i="22"/>
  <c r="S50" i="22"/>
  <c r="AN50" i="22"/>
  <c r="C29" i="18"/>
  <c r="D29" i="18"/>
  <c r="B28" i="18"/>
  <c r="B29" i="3"/>
  <c r="P30" i="3"/>
  <c r="Q19" i="43"/>
  <c r="Y29" i="18"/>
  <c r="F19" i="43"/>
  <c r="V29" i="18"/>
  <c r="U30" i="3"/>
  <c r="P20" i="44"/>
  <c r="P19" i="43"/>
  <c r="M29" i="18"/>
  <c r="W29" i="18"/>
  <c r="T30" i="3"/>
  <c r="F30" i="3"/>
  <c r="I29" i="18"/>
  <c r="E30" i="3"/>
  <c r="J19" i="43"/>
  <c r="H20" i="44"/>
  <c r="E20" i="44"/>
  <c r="L30" i="3"/>
  <c r="M30" i="3"/>
  <c r="Y20" i="44"/>
  <c r="J20" i="44"/>
  <c r="F29" i="18"/>
  <c r="O20" i="44"/>
  <c r="Q29" i="18"/>
  <c r="I30" i="3"/>
  <c r="M20" i="44"/>
  <c r="AB30" i="3"/>
  <c r="Z30" i="3"/>
  <c r="V19" i="43"/>
  <c r="T20" i="44"/>
  <c r="I19" i="43"/>
  <c r="K19" i="43"/>
  <c r="X29" i="18"/>
  <c r="AA30" i="3"/>
  <c r="M19" i="43"/>
  <c r="H19" i="43"/>
  <c r="Q30" i="3"/>
  <c r="G19" i="43"/>
  <c r="Y30" i="3"/>
  <c r="J30" i="3"/>
  <c r="X20" i="44"/>
  <c r="O29" i="18"/>
  <c r="P29" i="18"/>
  <c r="R29" i="18"/>
  <c r="W30" i="3"/>
  <c r="N19" i="43"/>
  <c r="L19" i="43"/>
  <c r="K30" i="3"/>
  <c r="T29" i="18"/>
  <c r="K20" i="44"/>
  <c r="V30" i="3"/>
  <c r="E29" i="18"/>
  <c r="E19" i="43"/>
  <c r="F20" i="44"/>
  <c r="N20" i="44"/>
  <c r="V20" i="44"/>
  <c r="N30" i="3"/>
  <c r="X30" i="3"/>
  <c r="I20" i="44"/>
  <c r="G20" i="44"/>
  <c r="O30" i="3"/>
  <c r="J29" i="18"/>
  <c r="W20" i="44"/>
  <c r="U20" i="44"/>
  <c r="S19" i="43"/>
  <c r="K29" i="18"/>
  <c r="R19" i="43"/>
  <c r="H30" i="3"/>
  <c r="Z29" i="18"/>
  <c r="L20" i="44"/>
  <c r="S29" i="18"/>
  <c r="Z20" i="44"/>
  <c r="S30" i="3"/>
  <c r="G29" i="18"/>
  <c r="O19" i="43"/>
  <c r="G30" i="3"/>
  <c r="U29" i="18"/>
  <c r="N29" i="18"/>
  <c r="R20" i="44"/>
  <c r="Q20" i="44"/>
  <c r="R30" i="3"/>
  <c r="T19" i="43"/>
  <c r="L29" i="18"/>
  <c r="H29" i="18"/>
  <c r="S20" i="44"/>
  <c r="U19" i="43"/>
  <c r="BU107" i="48" l="1"/>
  <c r="BF110" i="48"/>
  <c r="BK109" i="48"/>
  <c r="P110" i="48"/>
  <c r="S109" i="48"/>
  <c r="BG108" i="48"/>
  <c r="AJ110" i="48"/>
  <c r="AI109" i="48"/>
  <c r="AF111" i="48"/>
  <c r="U108" i="48"/>
  <c r="AC109" i="48"/>
  <c r="AX109" i="48"/>
  <c r="C111" i="48"/>
  <c r="H111" i="48"/>
  <c r="M111" i="48"/>
  <c r="AK108" i="48"/>
  <c r="AG108" i="48"/>
  <c r="E108" i="48"/>
  <c r="BS110" i="48"/>
  <c r="BI111" i="48"/>
  <c r="BV111" i="48"/>
  <c r="AW111" i="48"/>
  <c r="Q108" i="48"/>
  <c r="G109" i="48"/>
  <c r="D111" i="48"/>
  <c r="BW108" i="48"/>
  <c r="AE108" i="48"/>
  <c r="I110" i="48"/>
  <c r="W109" i="48"/>
  <c r="BO105" i="45"/>
  <c r="BF107" i="45"/>
  <c r="S102" i="45"/>
  <c r="AG103" i="45"/>
  <c r="M102" i="45"/>
  <c r="W104" i="45"/>
  <c r="O103" i="45"/>
  <c r="AJ107" i="45"/>
  <c r="U104" i="45"/>
  <c r="I106" i="45"/>
  <c r="AS103" i="45"/>
  <c r="BJ104" i="45"/>
  <c r="BA105" i="45"/>
  <c r="BW103" i="45"/>
  <c r="AC102" i="45"/>
  <c r="BV105" i="45"/>
  <c r="BE102" i="45"/>
  <c r="BB103" i="45"/>
  <c r="AK105" i="45"/>
  <c r="AT103" i="45"/>
  <c r="AA102" i="45"/>
  <c r="Y107" i="45"/>
  <c r="AI104" i="45"/>
  <c r="BC102" i="45"/>
  <c r="AE106" i="45"/>
  <c r="AQ103" i="45"/>
  <c r="BI102" i="45"/>
  <c r="E102" i="45"/>
  <c r="P104" i="45"/>
  <c r="Q104" i="45"/>
  <c r="T104" i="45"/>
  <c r="D19" i="44"/>
  <c r="C19" i="44"/>
  <c r="B18" i="44"/>
  <c r="C18" i="43"/>
  <c r="D18" i="43"/>
  <c r="BP49" i="22"/>
  <c r="BP48" i="22"/>
  <c r="BQ51" i="30"/>
  <c r="BQ50" i="30"/>
  <c r="C29" i="3"/>
  <c r="D29" i="3"/>
  <c r="S51" i="30"/>
  <c r="AS51" i="30"/>
  <c r="AX50" i="30"/>
  <c r="AA50" i="30"/>
  <c r="BE50" i="30"/>
  <c r="AL51" i="30"/>
  <c r="AS50" i="30"/>
  <c r="S50" i="30"/>
  <c r="AX51" i="30"/>
  <c r="BL50" i="30"/>
  <c r="AE50" i="30"/>
  <c r="E50" i="30"/>
  <c r="AA51" i="30"/>
  <c r="L50" i="30"/>
  <c r="BE51" i="30"/>
  <c r="L51" i="30"/>
  <c r="E51" i="30"/>
  <c r="AE51" i="30"/>
  <c r="BL51" i="30"/>
  <c r="W51" i="30"/>
  <c r="AL50" i="30"/>
  <c r="W50" i="30"/>
  <c r="S49" i="22"/>
  <c r="E49" i="22"/>
  <c r="BI49" i="22"/>
  <c r="Z49" i="22"/>
  <c r="BB49" i="22"/>
  <c r="AG49" i="22"/>
  <c r="L49" i="22"/>
  <c r="AU49" i="22"/>
  <c r="AN49" i="22"/>
  <c r="E48" i="22"/>
  <c r="AU48" i="22"/>
  <c r="AG48" i="22"/>
  <c r="BI48" i="22"/>
  <c r="S48" i="22"/>
  <c r="BB48" i="22"/>
  <c r="L48" i="22"/>
  <c r="AN48" i="22"/>
  <c r="Z48" i="22"/>
  <c r="B27" i="18"/>
  <c r="B30" i="23"/>
  <c r="C28" i="18"/>
  <c r="D28" i="18"/>
  <c r="B28" i="3"/>
  <c r="N28" i="18"/>
  <c r="AB29" i="3"/>
  <c r="F18" i="43"/>
  <c r="H19" i="44"/>
  <c r="J28" i="18"/>
  <c r="K29" i="3"/>
  <c r="M19" i="44"/>
  <c r="W28" i="18"/>
  <c r="O29" i="3"/>
  <c r="Y19" i="44"/>
  <c r="K19" i="44"/>
  <c r="G19" i="44"/>
  <c r="X29" i="3"/>
  <c r="K28" i="18"/>
  <c r="M18" i="43"/>
  <c r="Q18" i="43"/>
  <c r="J29" i="3"/>
  <c r="X28" i="18"/>
  <c r="I19" i="44"/>
  <c r="V28" i="18"/>
  <c r="V19" i="44"/>
  <c r="Z28" i="18"/>
  <c r="M28" i="18"/>
  <c r="L19" i="44"/>
  <c r="N19" i="44"/>
  <c r="H29" i="3"/>
  <c r="W19" i="44"/>
  <c r="F29" i="3"/>
  <c r="N18" i="43"/>
  <c r="O19" i="44"/>
  <c r="R29" i="3"/>
  <c r="Y29" i="3"/>
  <c r="I28" i="18"/>
  <c r="AA29" i="3"/>
  <c r="O18" i="43"/>
  <c r="S28" i="18"/>
  <c r="G28" i="18"/>
  <c r="W29" i="3"/>
  <c r="V29" i="3"/>
  <c r="T19" i="44"/>
  <c r="R18" i="43"/>
  <c r="Q29" i="3"/>
  <c r="P19" i="44"/>
  <c r="U28" i="18"/>
  <c r="S29" i="3"/>
  <c r="E18" i="43"/>
  <c r="E19" i="44"/>
  <c r="E29" i="3"/>
  <c r="U18" i="43"/>
  <c r="P29" i="3"/>
  <c r="K18" i="43"/>
  <c r="G29" i="3"/>
  <c r="Q28" i="18"/>
  <c r="R28" i="18"/>
  <c r="M29" i="3"/>
  <c r="Z29" i="3"/>
  <c r="V18" i="43"/>
  <c r="U19" i="44"/>
  <c r="L18" i="43"/>
  <c r="T18" i="43"/>
  <c r="N29" i="3"/>
  <c r="S19" i="44"/>
  <c r="J19" i="44"/>
  <c r="Q19" i="44"/>
  <c r="F28" i="18"/>
  <c r="T29" i="3"/>
  <c r="P18" i="43"/>
  <c r="L29" i="3"/>
  <c r="E28" i="18"/>
  <c r="I18" i="43"/>
  <c r="R19" i="44"/>
  <c r="Z19" i="44"/>
  <c r="L28" i="18"/>
  <c r="J18" i="43"/>
  <c r="Y28" i="18"/>
  <c r="H18" i="43"/>
  <c r="O28" i="18"/>
  <c r="X19" i="44"/>
  <c r="U29" i="3"/>
  <c r="G18" i="43"/>
  <c r="P28" i="18"/>
  <c r="T28" i="18"/>
  <c r="I29" i="3"/>
  <c r="S18" i="43"/>
  <c r="F19" i="44"/>
  <c r="H28" i="18"/>
  <c r="BU108" i="48" l="1"/>
  <c r="W110" i="48"/>
  <c r="I111" i="48"/>
  <c r="AE109" i="48"/>
  <c r="BW109" i="48"/>
  <c r="G110" i="48"/>
  <c r="Q109" i="48"/>
  <c r="BS111" i="48"/>
  <c r="E109" i="48"/>
  <c r="AG109" i="48"/>
  <c r="AK109" i="48"/>
  <c r="AX110" i="48"/>
  <c r="AC110" i="48"/>
  <c r="U109" i="48"/>
  <c r="AI110" i="48"/>
  <c r="AJ111" i="48"/>
  <c r="BG109" i="48"/>
  <c r="S110" i="48"/>
  <c r="P111" i="48"/>
  <c r="BK110" i="48"/>
  <c r="BF111" i="48"/>
  <c r="T105" i="45"/>
  <c r="Q105" i="45"/>
  <c r="P105" i="45"/>
  <c r="E103" i="45"/>
  <c r="BI103" i="45"/>
  <c r="AQ104" i="45"/>
  <c r="AE107" i="45"/>
  <c r="BC103" i="45"/>
  <c r="AI105" i="45"/>
  <c r="AA103" i="45"/>
  <c r="AT104" i="45"/>
  <c r="AK106" i="45"/>
  <c r="BB104" i="45"/>
  <c r="BE103" i="45"/>
  <c r="BV106" i="45"/>
  <c r="AC103" i="45"/>
  <c r="BW104" i="45"/>
  <c r="BA106" i="45"/>
  <c r="BJ105" i="45"/>
  <c r="AS104" i="45"/>
  <c r="I107" i="45"/>
  <c r="U105" i="45"/>
  <c r="O104" i="45"/>
  <c r="W105" i="45"/>
  <c r="M103" i="45"/>
  <c r="AG104" i="45"/>
  <c r="S103" i="45"/>
  <c r="BO106" i="45"/>
  <c r="B17" i="44"/>
  <c r="C18" i="44"/>
  <c r="D18" i="44"/>
  <c r="D17" i="43"/>
  <c r="C17" i="43"/>
  <c r="BP47" i="22"/>
  <c r="BP46" i="22"/>
  <c r="BQ49" i="30"/>
  <c r="BQ48" i="30"/>
  <c r="C28" i="3"/>
  <c r="D28" i="3"/>
  <c r="AL49" i="30"/>
  <c r="E49" i="30"/>
  <c r="BE49" i="30"/>
  <c r="AE49" i="30"/>
  <c r="BE48" i="30"/>
  <c r="S49" i="30"/>
  <c r="AS48" i="30"/>
  <c r="AL48" i="30"/>
  <c r="BL48" i="30"/>
  <c r="W49" i="30"/>
  <c r="AS49" i="30"/>
  <c r="AX48" i="30"/>
  <c r="W48" i="30"/>
  <c r="L48" i="30"/>
  <c r="AE48" i="30"/>
  <c r="AA48" i="30"/>
  <c r="BL49" i="30"/>
  <c r="E48" i="30"/>
  <c r="AX49" i="30"/>
  <c r="S48" i="30"/>
  <c r="AA49" i="30"/>
  <c r="L49" i="30"/>
  <c r="BB47" i="22"/>
  <c r="BI47" i="22"/>
  <c r="Z47" i="22"/>
  <c r="AG47" i="22"/>
  <c r="AN47" i="22"/>
  <c r="L47" i="22"/>
  <c r="E47" i="22"/>
  <c r="AU47" i="22"/>
  <c r="S47" i="22"/>
  <c r="AG46" i="22"/>
  <c r="AN46" i="22"/>
  <c r="S46" i="22"/>
  <c r="BI46" i="22"/>
  <c r="BB46" i="22"/>
  <c r="Z46" i="22"/>
  <c r="L46" i="22"/>
  <c r="E46" i="22"/>
  <c r="AU46" i="22"/>
  <c r="B31" i="23"/>
  <c r="C30" i="23"/>
  <c r="C27" i="18"/>
  <c r="B29" i="23"/>
  <c r="C29" i="23" s="1"/>
  <c r="D27" i="18"/>
  <c r="B26" i="18"/>
  <c r="B27" i="3"/>
  <c r="V18" i="44"/>
  <c r="V27" i="18"/>
  <c r="X28" i="3"/>
  <c r="H18" i="44"/>
  <c r="I17" i="43"/>
  <c r="Q27" i="18"/>
  <c r="I29" i="23"/>
  <c r="AB28" i="3"/>
  <c r="U27" i="18"/>
  <c r="G30" i="23"/>
  <c r="J27" i="18"/>
  <c r="J17" i="43"/>
  <c r="J18" i="44"/>
  <c r="X18" i="44"/>
  <c r="M17" i="43"/>
  <c r="G27" i="18"/>
  <c r="S17" i="43"/>
  <c r="W28" i="3"/>
  <c r="M27" i="18"/>
  <c r="K29" i="23"/>
  <c r="K18" i="44"/>
  <c r="L18" i="44"/>
  <c r="T17" i="43"/>
  <c r="M28" i="3"/>
  <c r="T18" i="44"/>
  <c r="H28" i="3"/>
  <c r="Z18" i="44"/>
  <c r="S30" i="23"/>
  <c r="Z27" i="18"/>
  <c r="F27" i="18"/>
  <c r="E27" i="18"/>
  <c r="I28" i="3"/>
  <c r="U17" i="43"/>
  <c r="S28" i="3"/>
  <c r="K28" i="3"/>
  <c r="Z28" i="3"/>
  <c r="T27" i="18"/>
  <c r="W30" i="23"/>
  <c r="Y28" i="3"/>
  <c r="F17" i="43"/>
  <c r="T28" i="3"/>
  <c r="N17" i="43"/>
  <c r="E28" i="3"/>
  <c r="R27" i="18"/>
  <c r="M29" i="23"/>
  <c r="O29" i="23"/>
  <c r="X27" i="18"/>
  <c r="V28" i="3"/>
  <c r="P18" i="44"/>
  <c r="I30" i="23"/>
  <c r="F28" i="3"/>
  <c r="O28" i="3"/>
  <c r="O30" i="23"/>
  <c r="W18" i="44"/>
  <c r="L17" i="43"/>
  <c r="R17" i="43"/>
  <c r="F18" i="44"/>
  <c r="P17" i="43"/>
  <c r="G18" i="44"/>
  <c r="V17" i="43"/>
  <c r="W29" i="23"/>
  <c r="K17" i="43"/>
  <c r="H17" i="43"/>
  <c r="J28" i="3"/>
  <c r="P28" i="3"/>
  <c r="Y27" i="18"/>
  <c r="O27" i="18"/>
  <c r="Y18" i="44"/>
  <c r="U30" i="23"/>
  <c r="N27" i="18"/>
  <c r="E18" i="44"/>
  <c r="W27" i="18"/>
  <c r="O17" i="43"/>
  <c r="S18" i="44"/>
  <c r="S27" i="18"/>
  <c r="I27" i="18"/>
  <c r="Q28" i="3"/>
  <c r="U29" i="23"/>
  <c r="G29" i="23"/>
  <c r="O18" i="44"/>
  <c r="R28" i="3"/>
  <c r="U18" i="44"/>
  <c r="H27" i="18"/>
  <c r="L28" i="3"/>
  <c r="S29" i="23"/>
  <c r="G28" i="3"/>
  <c r="K27" i="18"/>
  <c r="M18" i="44"/>
  <c r="AA28" i="3"/>
  <c r="U28" i="3"/>
  <c r="P27" i="18"/>
  <c r="M30" i="23"/>
  <c r="Q17" i="43"/>
  <c r="E29" i="23"/>
  <c r="E17" i="43"/>
  <c r="R18" i="44"/>
  <c r="G17" i="43"/>
  <c r="L27" i="18"/>
  <c r="E30" i="23"/>
  <c r="N18" i="44"/>
  <c r="K30" i="23"/>
  <c r="Q18" i="44"/>
  <c r="N28" i="3"/>
  <c r="I18" i="44"/>
  <c r="BU109" i="48" l="1"/>
  <c r="X25" i="48"/>
  <c r="W25" i="48"/>
  <c r="W26" i="48"/>
  <c r="X26" i="48"/>
  <c r="S25" i="48"/>
  <c r="T25" i="48"/>
  <c r="T26" i="48"/>
  <c r="S26" i="48"/>
  <c r="P25" i="48"/>
  <c r="O25" i="48"/>
  <c r="P26" i="48"/>
  <c r="O26" i="48"/>
  <c r="L25" i="48"/>
  <c r="K25" i="48"/>
  <c r="L26" i="48"/>
  <c r="K26" i="48"/>
  <c r="BK111" i="48"/>
  <c r="S111" i="48"/>
  <c r="BG110" i="48"/>
  <c r="AI111" i="48"/>
  <c r="U110" i="48"/>
  <c r="AC111" i="48"/>
  <c r="AX111" i="48"/>
  <c r="AK110" i="48"/>
  <c r="AG110" i="48"/>
  <c r="E110" i="48"/>
  <c r="Q110" i="48"/>
  <c r="G111" i="48"/>
  <c r="BW110" i="48"/>
  <c r="AE110" i="48"/>
  <c r="W111" i="48"/>
  <c r="BO107" i="45"/>
  <c r="S104" i="45"/>
  <c r="AG105" i="45"/>
  <c r="M104" i="45"/>
  <c r="W106" i="45"/>
  <c r="O105" i="45"/>
  <c r="U106" i="45"/>
  <c r="AS105" i="45"/>
  <c r="BJ106" i="45"/>
  <c r="BA107" i="45"/>
  <c r="BW105" i="45"/>
  <c r="AC104" i="45"/>
  <c r="BV107" i="45"/>
  <c r="BE104" i="45"/>
  <c r="BB105" i="45"/>
  <c r="AK107" i="45"/>
  <c r="AT105" i="45"/>
  <c r="AA104" i="45"/>
  <c r="AI106" i="45"/>
  <c r="BC104" i="45"/>
  <c r="AQ105" i="45"/>
  <c r="BI104" i="45"/>
  <c r="E104" i="45"/>
  <c r="P106" i="45"/>
  <c r="Q106" i="45"/>
  <c r="T106" i="45"/>
  <c r="B16" i="44"/>
  <c r="D17" i="44"/>
  <c r="C17" i="44"/>
  <c r="C16" i="43"/>
  <c r="D16" i="43"/>
  <c r="BP44" i="22"/>
  <c r="BP45" i="22"/>
  <c r="BQ47" i="30"/>
  <c r="BQ46" i="30"/>
  <c r="BA44" i="22"/>
  <c r="AT44" i="22"/>
  <c r="AT46" i="22"/>
  <c r="AV46" i="22" s="1"/>
  <c r="BA46" i="22"/>
  <c r="BC46" i="22" s="1"/>
  <c r="D27" i="3"/>
  <c r="C27" i="3"/>
  <c r="S47" i="30"/>
  <c r="S46" i="30"/>
  <c r="AX46" i="30"/>
  <c r="AE46" i="30"/>
  <c r="AS47" i="30"/>
  <c r="AS46" i="30"/>
  <c r="W46" i="30"/>
  <c r="BL47" i="30"/>
  <c r="AA46" i="30"/>
  <c r="AA47" i="30"/>
  <c r="AL46" i="30"/>
  <c r="L47" i="30"/>
  <c r="E47" i="30"/>
  <c r="BL46" i="30"/>
  <c r="W47" i="30"/>
  <c r="E46" i="30"/>
  <c r="AX47" i="30"/>
  <c r="AE47" i="30"/>
  <c r="BE46" i="30"/>
  <c r="BE47" i="30"/>
  <c r="AL47" i="30"/>
  <c r="L46" i="30"/>
  <c r="AF46" i="22"/>
  <c r="AH46" i="22" s="1"/>
  <c r="R46" i="22"/>
  <c r="T46" i="22" s="1"/>
  <c r="D46" i="22"/>
  <c r="F46" i="22" s="1"/>
  <c r="BH46" i="22"/>
  <c r="BJ46" i="22" s="1"/>
  <c r="K46" i="22"/>
  <c r="M46" i="22" s="1"/>
  <c r="Y46" i="22"/>
  <c r="AA46" i="22" s="1"/>
  <c r="AM46" i="22"/>
  <c r="AO46" i="22" s="1"/>
  <c r="BI45" i="22"/>
  <c r="L45" i="22"/>
  <c r="AG45" i="22"/>
  <c r="S45" i="22"/>
  <c r="Z45" i="22"/>
  <c r="AU45" i="22"/>
  <c r="E45" i="22"/>
  <c r="BB45" i="22"/>
  <c r="AN45" i="22"/>
  <c r="D44" i="22"/>
  <c r="K44" i="22"/>
  <c r="AM44" i="22"/>
  <c r="BH44" i="22"/>
  <c r="Y44" i="22"/>
  <c r="AF44" i="22"/>
  <c r="R44" i="22"/>
  <c r="AG44" i="22"/>
  <c r="AU44" i="22"/>
  <c r="E44" i="22"/>
  <c r="BB44" i="22"/>
  <c r="AN44" i="22"/>
  <c r="S44" i="22"/>
  <c r="L44" i="22"/>
  <c r="Z44" i="22"/>
  <c r="BI44" i="22"/>
  <c r="B25" i="18"/>
  <c r="C26" i="18"/>
  <c r="D26" i="18"/>
  <c r="D30" i="23"/>
  <c r="C31" i="23"/>
  <c r="B32" i="23"/>
  <c r="D29" i="23"/>
  <c r="B26" i="3"/>
  <c r="F27" i="3"/>
  <c r="Y30" i="23" a="1"/>
  <c r="N17" i="44"/>
  <c r="O16" i="43"/>
  <c r="J27" i="3"/>
  <c r="G31" i="23"/>
  <c r="L27" i="3"/>
  <c r="S17" i="44"/>
  <c r="O17" i="44"/>
  <c r="M31" i="23"/>
  <c r="U26" i="18"/>
  <c r="Q27" i="3"/>
  <c r="V27" i="3"/>
  <c r="P17" i="44"/>
  <c r="W17" i="44"/>
  <c r="S26" i="18"/>
  <c r="I27" i="3"/>
  <c r="F17" i="44"/>
  <c r="M17" i="44"/>
  <c r="Y26" i="18"/>
  <c r="R16" i="43"/>
  <c r="Q16" i="43"/>
  <c r="H30" i="23"/>
  <c r="J16" i="43"/>
  <c r="AA27" i="3"/>
  <c r="R30" i="23" a="1"/>
  <c r="N27" i="3"/>
  <c r="Q30" i="23" a="1"/>
  <c r="M27" i="3"/>
  <c r="T30" i="23"/>
  <c r="H16" i="43"/>
  <c r="F16" i="43"/>
  <c r="U27" i="3"/>
  <c r="J30" i="23"/>
  <c r="P27" i="3"/>
  <c r="Q17" i="44"/>
  <c r="X27" i="3"/>
  <c r="Z30" i="23" a="1"/>
  <c r="Z17" i="44"/>
  <c r="Y31" i="23" a="1"/>
  <c r="AB27" i="3"/>
  <c r="P26" i="18"/>
  <c r="I17" i="44"/>
  <c r="K17" i="44"/>
  <c r="I16" i="43"/>
  <c r="N30" i="23"/>
  <c r="W27" i="3"/>
  <c r="I31" i="23"/>
  <c r="H17" i="44"/>
  <c r="N16" i="43"/>
  <c r="K31" i="23"/>
  <c r="V17" i="44"/>
  <c r="E31" i="23"/>
  <c r="R29" i="23" a="1"/>
  <c r="Z26" i="18"/>
  <c r="H27" i="3"/>
  <c r="P29" i="23"/>
  <c r="V26" i="18"/>
  <c r="W26" i="18"/>
  <c r="U16" i="43"/>
  <c r="Y17" i="44"/>
  <c r="L29" i="23"/>
  <c r="F30" i="23"/>
  <c r="L17" i="44"/>
  <c r="Q31" i="23" a="1"/>
  <c r="K16" i="43"/>
  <c r="G16" i="43"/>
  <c r="M16" i="43"/>
  <c r="V16" i="43"/>
  <c r="R17" i="44"/>
  <c r="U17" i="44"/>
  <c r="G17" i="44"/>
  <c r="W31" i="23"/>
  <c r="X29" i="23"/>
  <c r="U31" i="23"/>
  <c r="T26" i="18"/>
  <c r="G27" i="3"/>
  <c r="V29" i="23"/>
  <c r="L26" i="18"/>
  <c r="X30" i="23"/>
  <c r="N26" i="18"/>
  <c r="Q26" i="18"/>
  <c r="X26" i="18"/>
  <c r="O31" i="23"/>
  <c r="R27" i="3"/>
  <c r="X17" i="44"/>
  <c r="J17" i="44"/>
  <c r="T27" i="3"/>
  <c r="E26" i="18"/>
  <c r="O26" i="18"/>
  <c r="H26" i="18"/>
  <c r="M26" i="18"/>
  <c r="Z29" i="23" a="1"/>
  <c r="F29" i="23"/>
  <c r="S27" i="3"/>
  <c r="J29" i="23"/>
  <c r="E27" i="3"/>
  <c r="S31" i="23"/>
  <c r="E16" i="43"/>
  <c r="F26" i="18"/>
  <c r="J26" i="18"/>
  <c r="Z27" i="3"/>
  <c r="V30" i="23"/>
  <c r="K27" i="3"/>
  <c r="P30" i="23"/>
  <c r="T16" i="43"/>
  <c r="S16" i="43"/>
  <c r="R26" i="18"/>
  <c r="G26" i="18"/>
  <c r="N29" i="23"/>
  <c r="E17" i="44"/>
  <c r="Y27" i="3"/>
  <c r="L16" i="43"/>
  <c r="P16" i="43"/>
  <c r="K26" i="18"/>
  <c r="I26" i="18"/>
  <c r="L30" i="23"/>
  <c r="T17" i="44"/>
  <c r="T29" i="23"/>
  <c r="H29" i="23"/>
  <c r="O27" i="3"/>
  <c r="BU110" i="48" l="1"/>
  <c r="BI25" i="48"/>
  <c r="BI26" i="48"/>
  <c r="BE26" i="48"/>
  <c r="BF26" i="48"/>
  <c r="BE25" i="48"/>
  <c r="BF25" i="48"/>
  <c r="BA26" i="48"/>
  <c r="BA25" i="48"/>
  <c r="AW25" i="48"/>
  <c r="AX25" i="48"/>
  <c r="AW26" i="48"/>
  <c r="AX26" i="48"/>
  <c r="AS26" i="48"/>
  <c r="AT26" i="48"/>
  <c r="AT25" i="48"/>
  <c r="AS25" i="48"/>
  <c r="AP26" i="48"/>
  <c r="AO26" i="48"/>
  <c r="AP25" i="48"/>
  <c r="AO25" i="48"/>
  <c r="X27" i="48"/>
  <c r="W27" i="48"/>
  <c r="T27" i="48"/>
  <c r="S27" i="48"/>
  <c r="P27" i="48"/>
  <c r="O27" i="48"/>
  <c r="K27" i="48"/>
  <c r="L27" i="48"/>
  <c r="AE111" i="48"/>
  <c r="BW111" i="48"/>
  <c r="Q111" i="48"/>
  <c r="E111" i="48"/>
  <c r="AG111" i="48"/>
  <c r="AK111" i="48"/>
  <c r="U111" i="48"/>
  <c r="BG111" i="48"/>
  <c r="T107" i="45"/>
  <c r="Q107" i="45"/>
  <c r="P107" i="45"/>
  <c r="E105" i="45"/>
  <c r="BI105" i="45"/>
  <c r="AQ106" i="45"/>
  <c r="BC105" i="45"/>
  <c r="AI107" i="45"/>
  <c r="AA105" i="45"/>
  <c r="AT106" i="45"/>
  <c r="BB106" i="45"/>
  <c r="BE105" i="45"/>
  <c r="AC105" i="45"/>
  <c r="BW106" i="45"/>
  <c r="BJ107" i="45"/>
  <c r="AS106" i="45"/>
  <c r="U107" i="45"/>
  <c r="O106" i="45"/>
  <c r="W107" i="45"/>
  <c r="M105" i="45"/>
  <c r="AG106" i="45"/>
  <c r="S105" i="45"/>
  <c r="B15" i="44"/>
  <c r="C16" i="44"/>
  <c r="D16" i="44"/>
  <c r="D15" i="43"/>
  <c r="C15" i="43"/>
  <c r="BP42" i="22"/>
  <c r="BP43" i="22"/>
  <c r="BO47" i="22" s="1"/>
  <c r="BQ47" i="22" s="1"/>
  <c r="BO45" i="22" s="1"/>
  <c r="BQ45" i="22" s="1"/>
  <c r="BO48" i="22" s="1"/>
  <c r="BQ48" i="22" s="1"/>
  <c r="BO46" i="22" s="1"/>
  <c r="BQ46" i="22" s="1"/>
  <c r="BQ45" i="30"/>
  <c r="BQ44" i="30"/>
  <c r="AQ46" i="22"/>
  <c r="AP46" i="22"/>
  <c r="AJ46" i="22"/>
  <c r="AI46" i="22"/>
  <c r="AC46" i="22"/>
  <c r="AB46" i="22"/>
  <c r="V46" i="22"/>
  <c r="U46" i="22"/>
  <c r="O46" i="22"/>
  <c r="N46" i="22"/>
  <c r="H46" i="22"/>
  <c r="G46" i="22"/>
  <c r="AT45" i="22"/>
  <c r="AV45" i="22" s="1"/>
  <c r="BA45" i="22"/>
  <c r="BC45" i="22" s="1"/>
  <c r="AT48" i="22"/>
  <c r="AV48" i="22" s="1"/>
  <c r="BA47" i="22"/>
  <c r="BC47" i="22" s="1"/>
  <c r="BA48" i="22"/>
  <c r="BC48" i="22" s="1"/>
  <c r="AT47" i="22"/>
  <c r="AV47" i="22" s="1"/>
  <c r="BL46" i="22"/>
  <c r="BK46" i="22"/>
  <c r="AX46" i="22"/>
  <c r="AW46" i="22"/>
  <c r="BE46" i="22"/>
  <c r="BD46" i="22"/>
  <c r="C26" i="3"/>
  <c r="D26" i="3"/>
  <c r="AA44" i="30"/>
  <c r="BE45" i="30"/>
  <c r="BL45" i="30"/>
  <c r="L44" i="30"/>
  <c r="AS45" i="30"/>
  <c r="AA45" i="30"/>
  <c r="AL45" i="30"/>
  <c r="E45" i="30"/>
  <c r="AE44" i="30"/>
  <c r="W44" i="30"/>
  <c r="S44" i="30"/>
  <c r="S45" i="30"/>
  <c r="AS44" i="30"/>
  <c r="AX45" i="30"/>
  <c r="BL44" i="30"/>
  <c r="E44" i="30"/>
  <c r="W45" i="30"/>
  <c r="AX44" i="30"/>
  <c r="AL44" i="30"/>
  <c r="BE44" i="30"/>
  <c r="AE45" i="30"/>
  <c r="L45" i="30"/>
  <c r="BJ44" i="22"/>
  <c r="AV44" i="22"/>
  <c r="M44" i="22"/>
  <c r="F44" i="22"/>
  <c r="BC44" i="22"/>
  <c r="AA44" i="22"/>
  <c r="AO44" i="22"/>
  <c r="T44" i="22"/>
  <c r="K47" i="22"/>
  <c r="M47" i="22" s="1"/>
  <c r="BH47" i="22"/>
  <c r="BJ47" i="22" s="1"/>
  <c r="R47" i="22"/>
  <c r="T47" i="22" s="1"/>
  <c r="D47" i="22"/>
  <c r="F47" i="22" s="1"/>
  <c r="AM47" i="22"/>
  <c r="AO47" i="22" s="1"/>
  <c r="AF47" i="22"/>
  <c r="AH47" i="22" s="1"/>
  <c r="Y47" i="22"/>
  <c r="AA47" i="22" s="1"/>
  <c r="AF48" i="22"/>
  <c r="AH48" i="22" s="1"/>
  <c r="D48" i="22"/>
  <c r="F48" i="22" s="1"/>
  <c r="Y48" i="22"/>
  <c r="AA48" i="22" s="1"/>
  <c r="K48" i="22"/>
  <c r="M48" i="22" s="1"/>
  <c r="AM48" i="22"/>
  <c r="AO48" i="22" s="1"/>
  <c r="R48" i="22"/>
  <c r="T48" i="22" s="1"/>
  <c r="BH48" i="22"/>
  <c r="BJ48" i="22" s="1"/>
  <c r="AU43" i="22"/>
  <c r="Z43" i="22"/>
  <c r="AG43" i="22"/>
  <c r="BI43" i="22"/>
  <c r="BB43" i="22"/>
  <c r="E43" i="22"/>
  <c r="AN43" i="22"/>
  <c r="L43" i="22"/>
  <c r="S43" i="22"/>
  <c r="S42" i="22"/>
  <c r="Z42" i="22"/>
  <c r="L42" i="22"/>
  <c r="BI42" i="22"/>
  <c r="AU42" i="22"/>
  <c r="E42" i="22"/>
  <c r="AN42" i="22"/>
  <c r="BB42" i="22"/>
  <c r="AG42" i="22"/>
  <c r="AF45" i="22"/>
  <c r="AH45" i="22" s="1"/>
  <c r="R45" i="22"/>
  <c r="T45" i="22" s="1"/>
  <c r="K45" i="22"/>
  <c r="M45" i="22" s="1"/>
  <c r="Y45" i="22"/>
  <c r="AA45" i="22" s="1"/>
  <c r="BH45" i="22"/>
  <c r="BJ45" i="22" s="1"/>
  <c r="D45" i="22"/>
  <c r="F45" i="22" s="1"/>
  <c r="AM45" i="22"/>
  <c r="AO45" i="22" s="1"/>
  <c r="C32" i="23"/>
  <c r="B33" i="23"/>
  <c r="AH44" i="22"/>
  <c r="D31" i="23"/>
  <c r="C25" i="18"/>
  <c r="D25" i="18"/>
  <c r="B24" i="18"/>
  <c r="B25" i="3"/>
  <c r="U32" i="23"/>
  <c r="E32" i="23"/>
  <c r="L26" i="3"/>
  <c r="F26" i="3"/>
  <c r="K32" i="23"/>
  <c r="I32" i="23"/>
  <c r="V16" i="44"/>
  <c r="F15" i="43"/>
  <c r="X31" i="23"/>
  <c r="G25" i="18"/>
  <c r="T25" i="18"/>
  <c r="Q26" i="3"/>
  <c r="E15" i="43"/>
  <c r="O15" i="43"/>
  <c r="N15" i="43"/>
  <c r="E26" i="3"/>
  <c r="V15" i="43"/>
  <c r="K26" i="3"/>
  <c r="P26" i="3"/>
  <c r="V31" i="23"/>
  <c r="Z25" i="18"/>
  <c r="J15" i="43"/>
  <c r="P25" i="18"/>
  <c r="W16" i="44"/>
  <c r="X25" i="18"/>
  <c r="H25" i="18"/>
  <c r="N26" i="3"/>
  <c r="N25" i="18"/>
  <c r="O25" i="18"/>
  <c r="L31" i="23"/>
  <c r="R26" i="3"/>
  <c r="J31" i="23"/>
  <c r="E25" i="18"/>
  <c r="O26" i="3"/>
  <c r="Q32" i="23" a="1"/>
  <c r="I26" i="3"/>
  <c r="L16" i="44"/>
  <c r="Z26" i="3"/>
  <c r="R25" i="18"/>
  <c r="M15" i="43"/>
  <c r="M25" i="18"/>
  <c r="T31" i="23"/>
  <c r="P15" i="43"/>
  <c r="H16" i="44"/>
  <c r="I15" i="43"/>
  <c r="R16" i="44"/>
  <c r="X26" i="3"/>
  <c r="Y26" i="3"/>
  <c r="W25" i="18"/>
  <c r="M26" i="3"/>
  <c r="R31" i="23" a="1"/>
  <c r="L25" i="18"/>
  <c r="V25" i="18"/>
  <c r="N31" i="23"/>
  <c r="AB26" i="3"/>
  <c r="J26" i="3"/>
  <c r="S26" i="3"/>
  <c r="AA26" i="3"/>
  <c r="H15" i="43"/>
  <c r="K25" i="18"/>
  <c r="G16" i="44"/>
  <c r="K15" i="43"/>
  <c r="J16" i="44"/>
  <c r="S16" i="44"/>
  <c r="T15" i="43"/>
  <c r="O32" i="23"/>
  <c r="X16" i="44"/>
  <c r="E16" i="44"/>
  <c r="S15" i="43"/>
  <c r="W26" i="3"/>
  <c r="Z31" i="23" a="1"/>
  <c r="T26" i="3"/>
  <c r="Y25" i="18"/>
  <c r="Y16" i="44"/>
  <c r="P16" i="44"/>
  <c r="Z16" i="44"/>
  <c r="P31" i="23"/>
  <c r="U15" i="43"/>
  <c r="J25" i="18"/>
  <c r="M32" i="23"/>
  <c r="S25" i="18"/>
  <c r="V26" i="3"/>
  <c r="G15" i="43"/>
  <c r="F16" i="44"/>
  <c r="H31" i="23"/>
  <c r="Y32" i="23" a="1"/>
  <c r="I25" i="18"/>
  <c r="F31" i="23"/>
  <c r="F25" i="18"/>
  <c r="L15" i="43"/>
  <c r="Q15" i="43"/>
  <c r="I16" i="44"/>
  <c r="K16" i="44"/>
  <c r="U16" i="44"/>
  <c r="R15" i="43"/>
  <c r="S32" i="23"/>
  <c r="H26" i="3"/>
  <c r="G26" i="3"/>
  <c r="G32" i="23"/>
  <c r="M16" i="44"/>
  <c r="U25" i="18"/>
  <c r="U26" i="3"/>
  <c r="N16" i="44"/>
  <c r="Q25" i="18"/>
  <c r="T16" i="44"/>
  <c r="Q16" i="44"/>
  <c r="W32" i="23"/>
  <c r="O16" i="44"/>
  <c r="BU111" i="48" l="1"/>
  <c r="AT27" i="48"/>
  <c r="BI27" i="48"/>
  <c r="BF27" i="48"/>
  <c r="BE27" i="48"/>
  <c r="BA27" i="48"/>
  <c r="AX27" i="48"/>
  <c r="AW27" i="48"/>
  <c r="AS27" i="48"/>
  <c r="AO27" i="48"/>
  <c r="AP27" i="48"/>
  <c r="X28" i="48"/>
  <c r="W28" i="48"/>
  <c r="T28" i="48"/>
  <c r="S28" i="48"/>
  <c r="P28" i="48"/>
  <c r="O28" i="48"/>
  <c r="K28" i="48"/>
  <c r="L28" i="48"/>
  <c r="S106" i="45"/>
  <c r="AG107" i="45"/>
  <c r="M106" i="45"/>
  <c r="O107" i="45"/>
  <c r="AS107" i="45"/>
  <c r="BW107" i="45"/>
  <c r="AC106" i="45"/>
  <c r="BE106" i="45"/>
  <c r="BB107" i="45"/>
  <c r="AT107" i="45"/>
  <c r="AA106" i="45"/>
  <c r="BC106" i="45"/>
  <c r="AQ107" i="45"/>
  <c r="BI106" i="45"/>
  <c r="E106" i="45"/>
  <c r="C15" i="44"/>
  <c r="B14" i="44"/>
  <c r="D15" i="44"/>
  <c r="C14" i="43"/>
  <c r="D14" i="43"/>
  <c r="BP40" i="22"/>
  <c r="BP41" i="22"/>
  <c r="BS45" i="22"/>
  <c r="BR45" i="22"/>
  <c r="BS46" i="22"/>
  <c r="BR46" i="22"/>
  <c r="BR48" i="22"/>
  <c r="BS48" i="22"/>
  <c r="BS47" i="22"/>
  <c r="BR47" i="22"/>
  <c r="BO49" i="22" s="1"/>
  <c r="BQ49" i="22" s="1"/>
  <c r="BO50" i="22" s="1"/>
  <c r="BQ50" i="22" s="1"/>
  <c r="BQ43" i="30"/>
  <c r="BQ42" i="30"/>
  <c r="AQ48" i="22"/>
  <c r="AP48" i="22"/>
  <c r="AQ44" i="22"/>
  <c r="AP44" i="22"/>
  <c r="AQ45" i="22"/>
  <c r="AP45" i="22"/>
  <c r="AQ47" i="22"/>
  <c r="AP47" i="22"/>
  <c r="AJ48" i="22"/>
  <c r="AI48" i="22"/>
  <c r="AJ44" i="22"/>
  <c r="AI44" i="22"/>
  <c r="AJ47" i="22"/>
  <c r="AI47" i="22"/>
  <c r="AJ45" i="22"/>
  <c r="AI45" i="22"/>
  <c r="AC47" i="22"/>
  <c r="AB47" i="22"/>
  <c r="AC45" i="22"/>
  <c r="AB45" i="22"/>
  <c r="AC48" i="22"/>
  <c r="AB48" i="22"/>
  <c r="AC44" i="22"/>
  <c r="AB44" i="22"/>
  <c r="V47" i="22"/>
  <c r="U47" i="22"/>
  <c r="V48" i="22"/>
  <c r="U48" i="22"/>
  <c r="V45" i="22"/>
  <c r="U45" i="22"/>
  <c r="V44" i="22"/>
  <c r="U44" i="22"/>
  <c r="O45" i="22"/>
  <c r="N45" i="22"/>
  <c r="O48" i="22"/>
  <c r="N48" i="22"/>
  <c r="O47" i="22"/>
  <c r="N47" i="22"/>
  <c r="O44" i="22"/>
  <c r="N44" i="22"/>
  <c r="H45" i="22"/>
  <c r="G45" i="22"/>
  <c r="H48" i="22"/>
  <c r="G48" i="22"/>
  <c r="H47" i="22"/>
  <c r="G47" i="22"/>
  <c r="H44" i="22"/>
  <c r="G44" i="22"/>
  <c r="BA49" i="22"/>
  <c r="BC49" i="22" s="1"/>
  <c r="BA50" i="22"/>
  <c r="BC50" i="22" s="1"/>
  <c r="AT49" i="22"/>
  <c r="AV49" i="22" s="1"/>
  <c r="AT50" i="22"/>
  <c r="AV50" i="22" s="1"/>
  <c r="BL48" i="22"/>
  <c r="BK48" i="22"/>
  <c r="AX44" i="22"/>
  <c r="AW44" i="22"/>
  <c r="AX47" i="22"/>
  <c r="AW47" i="22"/>
  <c r="BL44" i="22"/>
  <c r="BK44" i="22"/>
  <c r="AX45" i="22"/>
  <c r="AW45" i="22"/>
  <c r="AX48" i="22"/>
  <c r="AW48" i="22"/>
  <c r="BL45" i="22"/>
  <c r="BK45" i="22"/>
  <c r="BL47" i="22"/>
  <c r="BK47" i="22"/>
  <c r="BE48" i="22"/>
  <c r="BD48" i="22"/>
  <c r="BE47" i="22"/>
  <c r="BD47" i="22"/>
  <c r="BE44" i="22"/>
  <c r="BD44" i="22"/>
  <c r="BE45" i="22"/>
  <c r="BD45" i="22"/>
  <c r="C25" i="3"/>
  <c r="D25" i="3"/>
  <c r="AS42" i="30"/>
  <c r="E42" i="30"/>
  <c r="L42" i="30"/>
  <c r="S42" i="30"/>
  <c r="AX42" i="30"/>
  <c r="E43" i="30"/>
  <c r="BL43" i="30"/>
  <c r="L43" i="30"/>
  <c r="AE43" i="30"/>
  <c r="AL43" i="30"/>
  <c r="AA43" i="30"/>
  <c r="AA42" i="30"/>
  <c r="BE43" i="30"/>
  <c r="W42" i="30"/>
  <c r="AL42" i="30"/>
  <c r="AX43" i="30"/>
  <c r="BL42" i="30"/>
  <c r="W43" i="30"/>
  <c r="BE42" i="30"/>
  <c r="AE42" i="30"/>
  <c r="S43" i="30"/>
  <c r="AS43" i="30"/>
  <c r="AG41" i="22"/>
  <c r="AU41" i="22"/>
  <c r="L41" i="22"/>
  <c r="BI41" i="22"/>
  <c r="Z41" i="22"/>
  <c r="S41" i="22"/>
  <c r="AN41" i="22"/>
  <c r="E41" i="22"/>
  <c r="BB41" i="22"/>
  <c r="L40" i="22"/>
  <c r="Z40" i="22"/>
  <c r="AU40" i="22"/>
  <c r="AN40" i="22"/>
  <c r="S40" i="22"/>
  <c r="BI40" i="22"/>
  <c r="BB40" i="22"/>
  <c r="AG40" i="22"/>
  <c r="E40" i="22"/>
  <c r="AM49" i="22"/>
  <c r="AO49" i="22" s="1"/>
  <c r="Y49" i="22"/>
  <c r="AA49" i="22" s="1"/>
  <c r="R49" i="22"/>
  <c r="T49" i="22" s="1"/>
  <c r="AF49" i="22"/>
  <c r="AH49" i="22" s="1"/>
  <c r="D49" i="22"/>
  <c r="F49" i="22" s="1"/>
  <c r="BH49" i="22"/>
  <c r="BJ49" i="22" s="1"/>
  <c r="K49" i="22"/>
  <c r="M49" i="22" s="1"/>
  <c r="Y50" i="22"/>
  <c r="AA50" i="22" s="1"/>
  <c r="BH50" i="22"/>
  <c r="BJ50" i="22" s="1"/>
  <c r="K50" i="22"/>
  <c r="M50" i="22" s="1"/>
  <c r="AM50" i="22"/>
  <c r="AO50" i="22" s="1"/>
  <c r="AF50" i="22"/>
  <c r="AH50" i="22" s="1"/>
  <c r="D50" i="22"/>
  <c r="F50" i="22" s="1"/>
  <c r="R50" i="22"/>
  <c r="T50" i="22" s="1"/>
  <c r="C33" i="23"/>
  <c r="B34" i="23"/>
  <c r="D32" i="23"/>
  <c r="B23" i="18"/>
  <c r="D24" i="18"/>
  <c r="C24" i="18"/>
  <c r="B24" i="3"/>
  <c r="F15" i="44"/>
  <c r="L25" i="3"/>
  <c r="T32" i="23"/>
  <c r="R15" i="44"/>
  <c r="H25" i="3"/>
  <c r="J14" i="43"/>
  <c r="T25" i="3"/>
  <c r="F25" i="3"/>
  <c r="J15" i="44"/>
  <c r="E24" i="18"/>
  <c r="Q33" i="23" a="1"/>
  <c r="Y25" i="3"/>
  <c r="G15" i="44"/>
  <c r="T15" i="44"/>
  <c r="I24" i="18"/>
  <c r="O25" i="3"/>
  <c r="H15" i="44"/>
  <c r="S14" i="43"/>
  <c r="U24" i="18"/>
  <c r="U33" i="23"/>
  <c r="Q25" i="3"/>
  <c r="G33" i="23"/>
  <c r="V15" i="44"/>
  <c r="M14" i="43"/>
  <c r="O15" i="44"/>
  <c r="R14" i="43"/>
  <c r="Q24" i="18"/>
  <c r="R24" i="18"/>
  <c r="I14" i="43"/>
  <c r="U15" i="44"/>
  <c r="G14" i="43"/>
  <c r="F32" i="23"/>
  <c r="W24" i="18"/>
  <c r="X25" i="3"/>
  <c r="G24" i="18"/>
  <c r="N32" i="23"/>
  <c r="K24" i="18"/>
  <c r="M33" i="23"/>
  <c r="H32" i="23"/>
  <c r="M15" i="44"/>
  <c r="X32" i="23"/>
  <c r="P25" i="3"/>
  <c r="E25" i="3"/>
  <c r="K25" i="3"/>
  <c r="M25" i="3"/>
  <c r="Y24" i="18"/>
  <c r="X24" i="18"/>
  <c r="J24" i="18"/>
  <c r="Z24" i="18"/>
  <c r="E15" i="44"/>
  <c r="L24" i="18"/>
  <c r="T24" i="18"/>
  <c r="U25" i="3"/>
  <c r="E33" i="23"/>
  <c r="V14" i="43"/>
  <c r="O33" i="23"/>
  <c r="S15" i="44"/>
  <c r="K14" i="43"/>
  <c r="N24" i="18"/>
  <c r="V24" i="18"/>
  <c r="W33" i="23"/>
  <c r="V32" i="23"/>
  <c r="E14" i="43"/>
  <c r="O24" i="18"/>
  <c r="P24" i="18"/>
  <c r="I15" i="44"/>
  <c r="M24" i="18"/>
  <c r="Y33" i="23" a="1"/>
  <c r="K15" i="44"/>
  <c r="H14" i="43"/>
  <c r="L14" i="43"/>
  <c r="G25" i="3"/>
  <c r="R25" i="3"/>
  <c r="H24" i="18"/>
  <c r="S24" i="18"/>
  <c r="Q15" i="44"/>
  <c r="W15" i="44"/>
  <c r="R32" i="23" a="1"/>
  <c r="AA25" i="3"/>
  <c r="Q14" i="43"/>
  <c r="I33" i="23"/>
  <c r="S25" i="3"/>
  <c r="Z15" i="44"/>
  <c r="Y15" i="44"/>
  <c r="F24" i="18"/>
  <c r="Z32" i="23" a="1"/>
  <c r="J32" i="23"/>
  <c r="U14" i="43"/>
  <c r="F14" i="43"/>
  <c r="V25" i="3"/>
  <c r="X15" i="44"/>
  <c r="L15" i="44"/>
  <c r="K33" i="23"/>
  <c r="N25" i="3"/>
  <c r="L32" i="23"/>
  <c r="O14" i="43"/>
  <c r="P14" i="43"/>
  <c r="N15" i="44"/>
  <c r="P32" i="23"/>
  <c r="I25" i="3"/>
  <c r="Z25" i="3"/>
  <c r="W25" i="3"/>
  <c r="P15" i="44"/>
  <c r="N14" i="43"/>
  <c r="T14" i="43"/>
  <c r="S33" i="23"/>
  <c r="J25" i="3"/>
  <c r="AB25" i="3"/>
  <c r="BI28" i="48" l="1"/>
  <c r="BE28" i="48"/>
  <c r="BF28" i="48"/>
  <c r="BA28" i="48"/>
  <c r="AW28" i="48"/>
  <c r="AX28" i="48"/>
  <c r="AT28" i="48"/>
  <c r="AS28" i="48"/>
  <c r="AO28" i="48"/>
  <c r="AP28" i="48"/>
  <c r="X29" i="48"/>
  <c r="W29" i="48"/>
  <c r="T29" i="48"/>
  <c r="S29" i="48"/>
  <c r="O29" i="48"/>
  <c r="P29" i="48"/>
  <c r="K29" i="48"/>
  <c r="L29" i="48"/>
  <c r="E107" i="45"/>
  <c r="BI107" i="45"/>
  <c r="BC107" i="45"/>
  <c r="AA107" i="45"/>
  <c r="BE107" i="45"/>
  <c r="AC107" i="45"/>
  <c r="M107" i="45"/>
  <c r="S107" i="45"/>
  <c r="D14" i="44"/>
  <c r="B13" i="44"/>
  <c r="C14" i="44"/>
  <c r="D13" i="43"/>
  <c r="C13" i="43"/>
  <c r="BP39" i="22"/>
  <c r="BP38" i="22"/>
  <c r="BS50" i="22"/>
  <c r="BR50" i="22"/>
  <c r="BS49" i="22"/>
  <c r="BR49" i="22"/>
  <c r="BO51" i="22" s="1"/>
  <c r="BQ51" i="22" s="1"/>
  <c r="BO52" i="22" s="1"/>
  <c r="BQ52" i="22" s="1"/>
  <c r="BQ41" i="30"/>
  <c r="BQ40" i="30"/>
  <c r="AQ49" i="22"/>
  <c r="AP49" i="22"/>
  <c r="AQ50" i="22"/>
  <c r="AP50" i="22"/>
  <c r="AJ49" i="22"/>
  <c r="AI49" i="22"/>
  <c r="AJ50" i="22"/>
  <c r="AI50" i="22"/>
  <c r="AC49" i="22"/>
  <c r="AB49" i="22"/>
  <c r="AC50" i="22"/>
  <c r="AB50" i="22"/>
  <c r="V50" i="22"/>
  <c r="U50" i="22"/>
  <c r="V49" i="22"/>
  <c r="U49" i="22"/>
  <c r="O50" i="22"/>
  <c r="N50" i="22"/>
  <c r="O49" i="22"/>
  <c r="N49" i="22"/>
  <c r="H50" i="22"/>
  <c r="G50" i="22"/>
  <c r="H49" i="22"/>
  <c r="G49" i="22"/>
  <c r="BA52" i="22"/>
  <c r="BC52" i="22" s="1"/>
  <c r="AT51" i="22"/>
  <c r="AV51" i="22" s="1"/>
  <c r="BA51" i="22"/>
  <c r="BC51" i="22" s="1"/>
  <c r="AT52" i="22"/>
  <c r="AV52" i="22" s="1"/>
  <c r="AX50" i="22"/>
  <c r="AW50" i="22"/>
  <c r="AX49" i="22"/>
  <c r="AW49" i="22"/>
  <c r="BL49" i="22"/>
  <c r="BK49" i="22"/>
  <c r="BL50" i="22"/>
  <c r="BK50" i="22"/>
  <c r="BE50" i="22"/>
  <c r="BD50" i="22"/>
  <c r="BE49" i="22"/>
  <c r="BD49" i="22"/>
  <c r="C24" i="3"/>
  <c r="D24" i="3"/>
  <c r="W41" i="30"/>
  <c r="AS41" i="30"/>
  <c r="L40" i="30"/>
  <c r="AE41" i="30"/>
  <c r="AX41" i="30"/>
  <c r="AX40" i="30"/>
  <c r="AL41" i="30"/>
  <c r="E40" i="30"/>
  <c r="BE41" i="30"/>
  <c r="W40" i="30"/>
  <c r="S41" i="30"/>
  <c r="AA41" i="30"/>
  <c r="BL41" i="30"/>
  <c r="E41" i="30"/>
  <c r="AA40" i="30"/>
  <c r="L41" i="30"/>
  <c r="AS40" i="30"/>
  <c r="BE40" i="30"/>
  <c r="AE40" i="30"/>
  <c r="BL40" i="30"/>
  <c r="S40" i="30"/>
  <c r="AL40" i="30"/>
  <c r="BH51" i="22"/>
  <c r="BJ51" i="22" s="1"/>
  <c r="Y51" i="22"/>
  <c r="AA51" i="22" s="1"/>
  <c r="AM51" i="22"/>
  <c r="AO51" i="22" s="1"/>
  <c r="K51" i="22"/>
  <c r="M51" i="22" s="1"/>
  <c r="AF51" i="22"/>
  <c r="AH51" i="22" s="1"/>
  <c r="D51" i="22"/>
  <c r="F51" i="22" s="1"/>
  <c r="R51" i="22"/>
  <c r="T51" i="22" s="1"/>
  <c r="AG38" i="22"/>
  <c r="BB38" i="22"/>
  <c r="E38" i="22"/>
  <c r="AU38" i="22"/>
  <c r="L38" i="22"/>
  <c r="BI38" i="22"/>
  <c r="Z38" i="22"/>
  <c r="AN38" i="22"/>
  <c r="S38" i="22"/>
  <c r="E39" i="22"/>
  <c r="BI39" i="22"/>
  <c r="BB39" i="22"/>
  <c r="AU39" i="22"/>
  <c r="S39" i="22"/>
  <c r="L39" i="22"/>
  <c r="Z39" i="22"/>
  <c r="AN39" i="22"/>
  <c r="AG39" i="22"/>
  <c r="D52" i="22"/>
  <c r="F52" i="22" s="1"/>
  <c r="BH52" i="22"/>
  <c r="BJ52" i="22" s="1"/>
  <c r="R52" i="22"/>
  <c r="T52" i="22" s="1"/>
  <c r="AM52" i="22"/>
  <c r="AO52" i="22" s="1"/>
  <c r="AF52" i="22"/>
  <c r="AH52" i="22" s="1"/>
  <c r="Y52" i="22"/>
  <c r="AA52" i="22" s="1"/>
  <c r="K52" i="22"/>
  <c r="M52" i="22" s="1"/>
  <c r="B22" i="18"/>
  <c r="C23" i="18"/>
  <c r="D23" i="18"/>
  <c r="C34" i="23"/>
  <c r="B35" i="23"/>
  <c r="D33" i="23"/>
  <c r="B23" i="3"/>
  <c r="U13" i="43"/>
  <c r="O24" i="3"/>
  <c r="I13" i="43"/>
  <c r="Z24" i="3"/>
  <c r="K34" i="23"/>
  <c r="F33" i="23"/>
  <c r="H23" i="18"/>
  <c r="O34" i="23"/>
  <c r="Y14" i="44"/>
  <c r="E14" i="44"/>
  <c r="S34" i="23"/>
  <c r="V23" i="18"/>
  <c r="Q24" i="3"/>
  <c r="F24" i="3"/>
  <c r="AA24" i="3"/>
  <c r="R23" i="18"/>
  <c r="G14" i="44"/>
  <c r="Q13" i="43"/>
  <c r="M13" i="43"/>
  <c r="J13" i="43"/>
  <c r="V13" i="43"/>
  <c r="V24" i="3"/>
  <c r="J23" i="18"/>
  <c r="V33" i="23"/>
  <c r="E34" i="23"/>
  <c r="S24" i="3"/>
  <c r="Q14" i="44"/>
  <c r="R24" i="3"/>
  <c r="T24" i="3"/>
  <c r="M34" i="23"/>
  <c r="N14" i="44"/>
  <c r="Z23" i="18"/>
  <c r="H14" i="44"/>
  <c r="P23" i="18"/>
  <c r="F14" i="44"/>
  <c r="P14" i="44"/>
  <c r="Q34" i="23" a="1"/>
  <c r="U23" i="18"/>
  <c r="O23" i="18"/>
  <c r="I34" i="23"/>
  <c r="S13" i="43"/>
  <c r="X33" i="23"/>
  <c r="R14" i="44"/>
  <c r="N23" i="18"/>
  <c r="G13" i="43"/>
  <c r="T14" i="44"/>
  <c r="Z33" i="23" a="1"/>
  <c r="W14" i="44"/>
  <c r="L14" i="44"/>
  <c r="E13" i="43"/>
  <c r="J24" i="3"/>
  <c r="I14" i="44"/>
  <c r="W23" i="18"/>
  <c r="AB24" i="3"/>
  <c r="R33" i="23" a="1"/>
  <c r="P13" i="43"/>
  <c r="X14" i="44"/>
  <c r="S14" i="44"/>
  <c r="V14" i="44"/>
  <c r="X23" i="18"/>
  <c r="U24" i="3"/>
  <c r="X24" i="3"/>
  <c r="L33" i="23"/>
  <c r="P33" i="23"/>
  <c r="S23" i="18"/>
  <c r="F23" i="18"/>
  <c r="G23" i="18"/>
  <c r="N24" i="3"/>
  <c r="L24" i="3"/>
  <c r="N33" i="23"/>
  <c r="W24" i="3"/>
  <c r="I24" i="3"/>
  <c r="F13" i="43"/>
  <c r="O13" i="43"/>
  <c r="J33" i="23"/>
  <c r="K23" i="18"/>
  <c r="E24" i="3"/>
  <c r="H33" i="23"/>
  <c r="Y24" i="3"/>
  <c r="H13" i="43"/>
  <c r="H24" i="3"/>
  <c r="Q23" i="18"/>
  <c r="U34" i="23"/>
  <c r="L13" i="43"/>
  <c r="R13" i="43"/>
  <c r="W34" i="23"/>
  <c r="K14" i="44"/>
  <c r="E23" i="18"/>
  <c r="J14" i="44"/>
  <c r="M23" i="18"/>
  <c r="Z14" i="44"/>
  <c r="P24" i="3"/>
  <c r="K24" i="3"/>
  <c r="T23" i="18"/>
  <c r="M14" i="44"/>
  <c r="K13" i="43"/>
  <c r="T13" i="43"/>
  <c r="I23" i="18"/>
  <c r="Y23" i="18"/>
  <c r="M24" i="3"/>
  <c r="U14" i="44"/>
  <c r="O14" i="44"/>
  <c r="Y34" i="23" a="1"/>
  <c r="L23" i="18"/>
  <c r="T33" i="23"/>
  <c r="G24" i="3"/>
  <c r="G34" i="23"/>
  <c r="N13" i="43"/>
  <c r="F98" i="2" l="1"/>
  <c r="H98" i="2"/>
  <c r="D11" i="48"/>
  <c r="BI29" i="48"/>
  <c r="BF29" i="48"/>
  <c r="BE29" i="48"/>
  <c r="BA29" i="48"/>
  <c r="AX29" i="48"/>
  <c r="AW29" i="48"/>
  <c r="AS29" i="48"/>
  <c r="AT29" i="48"/>
  <c r="AO29" i="48"/>
  <c r="AP29" i="48"/>
  <c r="W30" i="48"/>
  <c r="X30" i="48"/>
  <c r="T30" i="48"/>
  <c r="S30" i="48"/>
  <c r="O30" i="48"/>
  <c r="P30" i="48"/>
  <c r="K30" i="48"/>
  <c r="L30" i="48"/>
  <c r="C13" i="44"/>
  <c r="B12" i="44"/>
  <c r="D13" i="44"/>
  <c r="C12" i="43"/>
  <c r="D12" i="43"/>
  <c r="F104" i="2"/>
  <c r="H104" i="2"/>
  <c r="BP36" i="22"/>
  <c r="BP37" i="22"/>
  <c r="BR52" i="22"/>
  <c r="BS52" i="22"/>
  <c r="BS51" i="22"/>
  <c r="BR51" i="22"/>
  <c r="BO53" i="22" s="1"/>
  <c r="BQ53" i="22" s="1"/>
  <c r="BO54" i="22" s="1"/>
  <c r="BQ54" i="22" s="1"/>
  <c r="BQ39" i="30"/>
  <c r="BQ38" i="30"/>
  <c r="AQ51" i="22"/>
  <c r="AP51" i="22"/>
  <c r="AQ52" i="22"/>
  <c r="AP52" i="22"/>
  <c r="AJ52" i="22"/>
  <c r="AI52" i="22"/>
  <c r="AJ51" i="22"/>
  <c r="AI51" i="22"/>
  <c r="AC51" i="22"/>
  <c r="AB51" i="22"/>
  <c r="AC52" i="22"/>
  <c r="AB52" i="22"/>
  <c r="V51" i="22"/>
  <c r="U51" i="22"/>
  <c r="V52" i="22"/>
  <c r="U52" i="22"/>
  <c r="O52" i="22"/>
  <c r="N52" i="22"/>
  <c r="O51" i="22"/>
  <c r="N51" i="22"/>
  <c r="H52" i="22"/>
  <c r="G52" i="22"/>
  <c r="H51" i="22"/>
  <c r="G51" i="22"/>
  <c r="BA53" i="22"/>
  <c r="BC53" i="22" s="1"/>
  <c r="AT54" i="22"/>
  <c r="AV54" i="22" s="1"/>
  <c r="AT53" i="22"/>
  <c r="AV53" i="22" s="1"/>
  <c r="BA54" i="22"/>
  <c r="BC54" i="22" s="1"/>
  <c r="BL52" i="22"/>
  <c r="BK52" i="22"/>
  <c r="AX51" i="22"/>
  <c r="AW51" i="22"/>
  <c r="AX52" i="22"/>
  <c r="AW52" i="22"/>
  <c r="BL51" i="22"/>
  <c r="BK51" i="22"/>
  <c r="BE52" i="22"/>
  <c r="BD52" i="22"/>
  <c r="BE51" i="22"/>
  <c r="BD51" i="22"/>
  <c r="F84" i="2"/>
  <c r="P84" i="2"/>
  <c r="H91" i="2"/>
  <c r="N98" i="2"/>
  <c r="N84" i="2"/>
  <c r="L91" i="2"/>
  <c r="F91" i="2"/>
  <c r="J84" i="2"/>
  <c r="N91" i="2"/>
  <c r="L84" i="2"/>
  <c r="H84" i="2"/>
  <c r="P91" i="2"/>
  <c r="L98" i="2"/>
  <c r="J98" i="2"/>
  <c r="J91" i="2"/>
  <c r="P98" i="2"/>
  <c r="D23" i="3"/>
  <c r="C23" i="3"/>
  <c r="AA38" i="30"/>
  <c r="BL39" i="30"/>
  <c r="AX39" i="30"/>
  <c r="AE38" i="30"/>
  <c r="AE39" i="30"/>
  <c r="AL39" i="30"/>
  <c r="AL38" i="30"/>
  <c r="E39" i="30"/>
  <c r="AS39" i="30"/>
  <c r="L39" i="30"/>
  <c r="W39" i="30"/>
  <c r="BL38" i="30"/>
  <c r="AA39" i="30"/>
  <c r="S38" i="30"/>
  <c r="AX38" i="30"/>
  <c r="AS38" i="30"/>
  <c r="BE38" i="30"/>
  <c r="W38" i="30"/>
  <c r="L38" i="30"/>
  <c r="S39" i="30"/>
  <c r="E38" i="30"/>
  <c r="BE39" i="30"/>
  <c r="Y54" i="22"/>
  <c r="AA54" i="22" s="1"/>
  <c r="R54" i="22"/>
  <c r="T54" i="22" s="1"/>
  <c r="K54" i="22"/>
  <c r="M54" i="22" s="1"/>
  <c r="D54" i="22"/>
  <c r="F54" i="22" s="1"/>
  <c r="BH54" i="22"/>
  <c r="BJ54" i="22" s="1"/>
  <c r="AM54" i="22"/>
  <c r="AO54" i="22" s="1"/>
  <c r="AF54" i="22"/>
  <c r="AH54" i="22" s="1"/>
  <c r="E37" i="22"/>
  <c r="AG37" i="22"/>
  <c r="S37" i="22"/>
  <c r="L37" i="22"/>
  <c r="BB37" i="22"/>
  <c r="Z37" i="22"/>
  <c r="AU37" i="22"/>
  <c r="BI37" i="22"/>
  <c r="AN37" i="22"/>
  <c r="Y53" i="22"/>
  <c r="AA53" i="22" s="1"/>
  <c r="AF53" i="22"/>
  <c r="AH53" i="22" s="1"/>
  <c r="AM53" i="22"/>
  <c r="AO53" i="22" s="1"/>
  <c r="BH53" i="22"/>
  <c r="BJ53" i="22" s="1"/>
  <c r="D53" i="22"/>
  <c r="F53" i="22" s="1"/>
  <c r="R53" i="22"/>
  <c r="T53" i="22" s="1"/>
  <c r="K53" i="22"/>
  <c r="M53" i="22" s="1"/>
  <c r="AU36" i="22"/>
  <c r="BB36" i="22"/>
  <c r="Z36" i="22"/>
  <c r="AG36" i="22"/>
  <c r="E36" i="22"/>
  <c r="BI36" i="22"/>
  <c r="L36" i="22"/>
  <c r="AN36" i="22"/>
  <c r="S36" i="22"/>
  <c r="D34" i="23"/>
  <c r="B36" i="23"/>
  <c r="C35" i="23"/>
  <c r="B21" i="18"/>
  <c r="C22" i="18"/>
  <c r="D22" i="18"/>
  <c r="B22" i="3"/>
  <c r="H11" i="2" s="1"/>
  <c r="R23" i="3"/>
  <c r="R13" i="44"/>
  <c r="S13" i="44"/>
  <c r="I12" i="43"/>
  <c r="T23" i="3"/>
  <c r="I22" i="18"/>
  <c r="S23" i="3"/>
  <c r="AB23" i="3"/>
  <c r="W13" i="44"/>
  <c r="Q23" i="3"/>
  <c r="J13" i="44"/>
  <c r="X22" i="18"/>
  <c r="W22" i="18"/>
  <c r="J22" i="18"/>
  <c r="L34" i="23"/>
  <c r="Y13" i="44"/>
  <c r="H22" i="18"/>
  <c r="P13" i="44"/>
  <c r="Q12" i="43"/>
  <c r="E35" i="23"/>
  <c r="Y35" i="23" a="1"/>
  <c r="Z34" i="23" a="1"/>
  <c r="N12" i="43"/>
  <c r="L12" i="43"/>
  <c r="P22" i="18"/>
  <c r="V23" i="3"/>
  <c r="F23" i="3"/>
  <c r="U35" i="23"/>
  <c r="W35" i="23"/>
  <c r="X13" i="44"/>
  <c r="Q13" i="44"/>
  <c r="V34" i="23"/>
  <c r="Z22" i="18"/>
  <c r="T12" i="43"/>
  <c r="I13" i="44"/>
  <c r="F34" i="23"/>
  <c r="U13" i="44"/>
  <c r="R34" i="23" a="1"/>
  <c r="U22" i="18"/>
  <c r="G23" i="3"/>
  <c r="J23" i="3"/>
  <c r="Z23" i="3"/>
  <c r="S12" i="43"/>
  <c r="X23" i="3"/>
  <c r="N22" i="18"/>
  <c r="J34" i="23"/>
  <c r="K35" i="23"/>
  <c r="V12" i="43"/>
  <c r="M12" i="43"/>
  <c r="N13" i="44"/>
  <c r="K23" i="3"/>
  <c r="X34" i="23"/>
  <c r="T22" i="18"/>
  <c r="S22" i="18"/>
  <c r="Q35" i="23" a="1"/>
  <c r="N23" i="3"/>
  <c r="O12" i="43"/>
  <c r="F12" i="43"/>
  <c r="J12" i="43"/>
  <c r="Y23" i="3"/>
  <c r="M23" i="3"/>
  <c r="R12" i="43"/>
  <c r="L22" i="18"/>
  <c r="AA23" i="3"/>
  <c r="L23" i="3"/>
  <c r="S35" i="23"/>
  <c r="K12" i="43"/>
  <c r="P23" i="3"/>
  <c r="G35" i="23"/>
  <c r="G12" i="43"/>
  <c r="E12" i="43"/>
  <c r="V22" i="18"/>
  <c r="O23" i="3"/>
  <c r="K13" i="44"/>
  <c r="H12" i="43"/>
  <c r="F13" i="44"/>
  <c r="U12" i="43"/>
  <c r="Y22" i="18"/>
  <c r="U23" i="3"/>
  <c r="W23" i="3"/>
  <c r="M35" i="23"/>
  <c r="I23" i="3"/>
  <c r="E23" i="3"/>
  <c r="T13" i="44"/>
  <c r="M22" i="18"/>
  <c r="P12" i="43"/>
  <c r="Q22" i="18"/>
  <c r="G13" i="44"/>
  <c r="O35" i="23"/>
  <c r="Z13" i="44"/>
  <c r="E22" i="18"/>
  <c r="I35" i="23"/>
  <c r="K22" i="18"/>
  <c r="O13" i="44"/>
  <c r="E13" i="44"/>
  <c r="R22" i="18"/>
  <c r="H13" i="44"/>
  <c r="H23" i="3"/>
  <c r="G22" i="18"/>
  <c r="L13" i="44"/>
  <c r="T34" i="23"/>
  <c r="V13" i="44"/>
  <c r="P34" i="23"/>
  <c r="O22" i="18"/>
  <c r="M13" i="44"/>
  <c r="N34" i="23"/>
  <c r="F22" i="18"/>
  <c r="H34" i="23"/>
  <c r="F110" i="2" l="1"/>
  <c r="D10" i="48"/>
  <c r="BI30" i="48"/>
  <c r="BE30" i="48"/>
  <c r="BF30" i="48"/>
  <c r="BA30" i="48"/>
  <c r="AW30" i="48"/>
  <c r="AX30" i="48"/>
  <c r="AS30" i="48"/>
  <c r="AT30" i="48"/>
  <c r="AO30" i="48"/>
  <c r="AP30" i="48"/>
  <c r="W31" i="48"/>
  <c r="X31" i="48"/>
  <c r="T31" i="48"/>
  <c r="S31" i="48"/>
  <c r="O31" i="48"/>
  <c r="P31" i="48"/>
  <c r="L31" i="48"/>
  <c r="K31" i="48"/>
  <c r="D12" i="44"/>
  <c r="B11" i="44"/>
  <c r="C12" i="44"/>
  <c r="C11" i="43"/>
  <c r="D11" i="43"/>
  <c r="BP35" i="22"/>
  <c r="BP34" i="22"/>
  <c r="BR54" i="22"/>
  <c r="BS54" i="22"/>
  <c r="BS53" i="22"/>
  <c r="BR53" i="22"/>
  <c r="BO55" i="22" s="1"/>
  <c r="BQ55" i="22" s="1"/>
  <c r="BO56" i="22" s="1"/>
  <c r="BQ56" i="22" s="1"/>
  <c r="F37" i="2"/>
  <c r="H37" i="2"/>
  <c r="BQ37" i="30"/>
  <c r="BQ36" i="30"/>
  <c r="AQ54" i="22"/>
  <c r="AP54" i="22"/>
  <c r="AQ53" i="22"/>
  <c r="AP53" i="22"/>
  <c r="AJ54" i="22"/>
  <c r="AI54" i="22"/>
  <c r="AJ53" i="22"/>
  <c r="AI53" i="22"/>
  <c r="AC53" i="22"/>
  <c r="AB53" i="22"/>
  <c r="AC54" i="22"/>
  <c r="AB54" i="22"/>
  <c r="V53" i="22"/>
  <c r="U53" i="22"/>
  <c r="V54" i="22"/>
  <c r="U54" i="22"/>
  <c r="O53" i="22"/>
  <c r="N53" i="22"/>
  <c r="O54" i="22"/>
  <c r="N54" i="22"/>
  <c r="H53" i="22"/>
  <c r="G53" i="22"/>
  <c r="H54" i="22"/>
  <c r="G54" i="22"/>
  <c r="AT56" i="22"/>
  <c r="AV56" i="22" s="1"/>
  <c r="BA56" i="22"/>
  <c r="BC56" i="22" s="1"/>
  <c r="BA55" i="22"/>
  <c r="BC55" i="22" s="1"/>
  <c r="AT55" i="22"/>
  <c r="AV55" i="22" s="1"/>
  <c r="AX53" i="22"/>
  <c r="AW53" i="22"/>
  <c r="BL53" i="22"/>
  <c r="BK53" i="22"/>
  <c r="BL54" i="22"/>
  <c r="BK54" i="22"/>
  <c r="AX54" i="22"/>
  <c r="AW54" i="22"/>
  <c r="BE53" i="22"/>
  <c r="BD53" i="22"/>
  <c r="BE54" i="22"/>
  <c r="BD54" i="22"/>
  <c r="H110" i="2"/>
  <c r="C22" i="3"/>
  <c r="D22" i="3"/>
  <c r="BL37" i="30"/>
  <c r="AS37" i="30"/>
  <c r="AA37" i="30"/>
  <c r="E36" i="30"/>
  <c r="L36" i="30"/>
  <c r="AE36" i="30"/>
  <c r="BL36" i="30"/>
  <c r="W37" i="30"/>
  <c r="AL37" i="30"/>
  <c r="S37" i="30"/>
  <c r="E37" i="30"/>
  <c r="AL36" i="30"/>
  <c r="L37" i="30"/>
  <c r="AE37" i="30"/>
  <c r="BE37" i="30"/>
  <c r="AS36" i="30"/>
  <c r="W36" i="30"/>
  <c r="BE36" i="30"/>
  <c r="AX36" i="30"/>
  <c r="S36" i="30"/>
  <c r="AX37" i="30"/>
  <c r="AA36" i="30"/>
  <c r="L11" i="2"/>
  <c r="F11" i="2"/>
  <c r="AN35" i="22"/>
  <c r="Z35" i="22"/>
  <c r="L35" i="22"/>
  <c r="BI35" i="22"/>
  <c r="AU35" i="22"/>
  <c r="E35" i="22"/>
  <c r="AG35" i="22"/>
  <c r="S35" i="22"/>
  <c r="BB35" i="22"/>
  <c r="Z34" i="22"/>
  <c r="L34" i="22"/>
  <c r="AN34" i="22"/>
  <c r="E34" i="22"/>
  <c r="AG34" i="22"/>
  <c r="S34" i="22"/>
  <c r="BI34" i="22"/>
  <c r="BB34" i="22"/>
  <c r="AU34" i="22"/>
  <c r="R56" i="22"/>
  <c r="T56" i="22" s="1"/>
  <c r="AF56" i="22"/>
  <c r="AH56" i="22" s="1"/>
  <c r="AM56" i="22"/>
  <c r="AO56" i="22" s="1"/>
  <c r="K56" i="22"/>
  <c r="M56" i="22" s="1"/>
  <c r="BH56" i="22"/>
  <c r="BJ56" i="22" s="1"/>
  <c r="D56" i="22"/>
  <c r="F56" i="22" s="1"/>
  <c r="Y56" i="22"/>
  <c r="AA56" i="22" s="1"/>
  <c r="AF55" i="22"/>
  <c r="AH55" i="22" s="1"/>
  <c r="BH55" i="22"/>
  <c r="BJ55" i="22" s="1"/>
  <c r="K55" i="22"/>
  <c r="M55" i="22" s="1"/>
  <c r="Y55" i="22"/>
  <c r="AA55" i="22" s="1"/>
  <c r="R55" i="22"/>
  <c r="T55" i="22" s="1"/>
  <c r="D55" i="22"/>
  <c r="F55" i="22" s="1"/>
  <c r="AM55" i="22"/>
  <c r="AO55" i="22" s="1"/>
  <c r="B20" i="18"/>
  <c r="D21" i="18"/>
  <c r="C21" i="18"/>
  <c r="D35" i="23"/>
  <c r="B37" i="23"/>
  <c r="C36" i="23"/>
  <c r="H17" i="2"/>
  <c r="F31" i="2"/>
  <c r="P31" i="2"/>
  <c r="B21" i="3"/>
  <c r="N24" i="2"/>
  <c r="J17" i="2"/>
  <c r="J31" i="2"/>
  <c r="N31" i="2"/>
  <c r="H24" i="2"/>
  <c r="L31" i="2"/>
  <c r="F17" i="2"/>
  <c r="P24" i="2"/>
  <c r="F24" i="2"/>
  <c r="J24" i="2"/>
  <c r="J11" i="2"/>
  <c r="L24" i="2"/>
  <c r="H31" i="2"/>
  <c r="P11" i="2"/>
  <c r="N11" i="2"/>
  <c r="L17" i="2"/>
  <c r="V35" i="23"/>
  <c r="M36" i="23"/>
  <c r="Q22" i="3"/>
  <c r="I11" i="43"/>
  <c r="W22" i="3"/>
  <c r="L11" i="43"/>
  <c r="K21" i="18"/>
  <c r="P35" i="23"/>
  <c r="Q21" i="18"/>
  <c r="E11" i="43"/>
  <c r="K11" i="43"/>
  <c r="K22" i="3"/>
  <c r="Z35" i="23" a="1"/>
  <c r="R12" i="44"/>
  <c r="L35" i="23"/>
  <c r="O11" i="43"/>
  <c r="W36" i="23"/>
  <c r="T12" i="44"/>
  <c r="S11" i="43"/>
  <c r="P22" i="3"/>
  <c r="V21" i="18"/>
  <c r="AB22" i="3"/>
  <c r="V12" i="44"/>
  <c r="I22" i="3"/>
  <c r="G36" i="23"/>
  <c r="O22" i="3"/>
  <c r="P21" i="18"/>
  <c r="M12" i="44"/>
  <c r="M11" i="43"/>
  <c r="J11" i="43"/>
  <c r="M21" i="18"/>
  <c r="AA22" i="3"/>
  <c r="R21" i="18"/>
  <c r="F21" i="18"/>
  <c r="F35" i="23"/>
  <c r="L12" i="44"/>
  <c r="J21" i="18"/>
  <c r="Q12" i="44"/>
  <c r="U22" i="3"/>
  <c r="E36" i="23"/>
  <c r="Y36" i="23" a="1"/>
  <c r="V11" i="43"/>
  <c r="L21" i="18"/>
  <c r="N21" i="18"/>
  <c r="Y22" i="3"/>
  <c r="P12" i="44"/>
  <c r="I12" i="44"/>
  <c r="N12" i="44"/>
  <c r="Z21" i="18"/>
  <c r="P11" i="43"/>
  <c r="H22" i="3"/>
  <c r="W12" i="44"/>
  <c r="G12" i="44"/>
  <c r="I36" i="23"/>
  <c r="Y21" i="18"/>
  <c r="S12" i="44"/>
  <c r="S21" i="18"/>
  <c r="L22" i="3"/>
  <c r="V22" i="3"/>
  <c r="Q11" i="43"/>
  <c r="S22" i="3"/>
  <c r="I21" i="18"/>
  <c r="T22" i="3"/>
  <c r="G21" i="18"/>
  <c r="T21" i="18"/>
  <c r="T11" i="43"/>
  <c r="R22" i="3"/>
  <c r="R11" i="43"/>
  <c r="F11" i="43"/>
  <c r="U21" i="18"/>
  <c r="Y12" i="44"/>
  <c r="E22" i="3"/>
  <c r="X12" i="44"/>
  <c r="H11" i="43"/>
  <c r="Q36" i="23" a="1"/>
  <c r="N11" i="43"/>
  <c r="E12" i="44"/>
  <c r="R35" i="23" a="1"/>
  <c r="M22" i="3"/>
  <c r="X22" i="3"/>
  <c r="H21" i="18"/>
  <c r="U11" i="43"/>
  <c r="X35" i="23"/>
  <c r="K36" i="23"/>
  <c r="E21" i="18"/>
  <c r="H12" i="44"/>
  <c r="X21" i="18"/>
  <c r="S36" i="23"/>
  <c r="Z12" i="44"/>
  <c r="K12" i="44"/>
  <c r="J35" i="23"/>
  <c r="F12" i="44"/>
  <c r="G11" i="43"/>
  <c r="N22" i="3"/>
  <c r="J22" i="3"/>
  <c r="J12" i="44"/>
  <c r="U12" i="44"/>
  <c r="Z22" i="3"/>
  <c r="U36" i="23"/>
  <c r="H35" i="23"/>
  <c r="N35" i="23"/>
  <c r="F22" i="3"/>
  <c r="O21" i="18"/>
  <c r="G22" i="3"/>
  <c r="W21" i="18"/>
  <c r="O36" i="23"/>
  <c r="T35" i="23"/>
  <c r="O12" i="44"/>
  <c r="E35" i="30" l="1"/>
  <c r="D9" i="48"/>
  <c r="BI31" i="48"/>
  <c r="BE31" i="48"/>
  <c r="BF31" i="48"/>
  <c r="BA31" i="48"/>
  <c r="AX31" i="48"/>
  <c r="AW31" i="48"/>
  <c r="AS31" i="48"/>
  <c r="AT31" i="48"/>
  <c r="AO31" i="48"/>
  <c r="AP31" i="48"/>
  <c r="W32" i="48"/>
  <c r="X32" i="48"/>
  <c r="T32" i="48"/>
  <c r="S32" i="48"/>
  <c r="O32" i="48"/>
  <c r="P32" i="48"/>
  <c r="K32" i="48"/>
  <c r="L32" i="48"/>
  <c r="C11" i="44"/>
  <c r="D11" i="44"/>
  <c r="B10" i="44"/>
  <c r="C10" i="43"/>
  <c r="D10" i="43"/>
  <c r="C7" i="43"/>
  <c r="D7" i="43"/>
  <c r="BP33" i="22"/>
  <c r="BP32" i="22"/>
  <c r="BS56" i="22"/>
  <c r="BR56" i="22"/>
  <c r="BS55" i="22"/>
  <c r="BR55" i="22"/>
  <c r="BO57" i="22" s="1"/>
  <c r="BQ57" i="22" s="1"/>
  <c r="BO58" i="22" s="1"/>
  <c r="BQ58" i="22" s="1"/>
  <c r="BQ35" i="30"/>
  <c r="BQ34" i="30"/>
  <c r="AQ55" i="22"/>
  <c r="AP55" i="22"/>
  <c r="AQ56" i="22"/>
  <c r="AP56" i="22"/>
  <c r="AJ55" i="22"/>
  <c r="AI55" i="22"/>
  <c r="AJ56" i="22"/>
  <c r="AI56" i="22"/>
  <c r="AC55" i="22"/>
  <c r="AB55" i="22"/>
  <c r="AC56" i="22"/>
  <c r="AB56" i="22"/>
  <c r="V55" i="22"/>
  <c r="U55" i="22"/>
  <c r="V56" i="22"/>
  <c r="U56" i="22"/>
  <c r="O55" i="22"/>
  <c r="N55" i="22"/>
  <c r="O56" i="22"/>
  <c r="N56" i="22"/>
  <c r="H55" i="22"/>
  <c r="G55" i="22"/>
  <c r="H56" i="22"/>
  <c r="G56" i="22"/>
  <c r="BA57" i="22"/>
  <c r="BC57" i="22" s="1"/>
  <c r="BA58" i="22"/>
  <c r="BC58" i="22" s="1"/>
  <c r="AT57" i="22"/>
  <c r="AV57" i="22" s="1"/>
  <c r="AT58" i="22"/>
  <c r="AV58" i="22" s="1"/>
  <c r="AX55" i="22"/>
  <c r="AW55" i="22"/>
  <c r="BL56" i="22"/>
  <c r="BK56" i="22"/>
  <c r="BL55" i="22"/>
  <c r="BK55" i="22"/>
  <c r="AX56" i="22"/>
  <c r="AW56" i="22"/>
  <c r="BE56" i="22"/>
  <c r="BD56" i="22"/>
  <c r="BE55" i="22"/>
  <c r="BD55" i="22"/>
  <c r="C21" i="3"/>
  <c r="D21" i="3"/>
  <c r="W34" i="30"/>
  <c r="BL35" i="30"/>
  <c r="AA35" i="30"/>
  <c r="AS35" i="30"/>
  <c r="S35" i="30"/>
  <c r="AE35" i="30"/>
  <c r="AX34" i="30"/>
  <c r="W35" i="30"/>
  <c r="L35" i="30"/>
  <c r="E34" i="30"/>
  <c r="AL35" i="30"/>
  <c r="AL34" i="30"/>
  <c r="L34" i="30"/>
  <c r="S34" i="30"/>
  <c r="AA34" i="30"/>
  <c r="AE34" i="30"/>
  <c r="BL34" i="30"/>
  <c r="BE35" i="30"/>
  <c r="AX35" i="30"/>
  <c r="BE34" i="30"/>
  <c r="AS34" i="30"/>
  <c r="H44" i="2"/>
  <c r="L44" i="2"/>
  <c r="J44" i="2"/>
  <c r="K57" i="22"/>
  <c r="M57" i="22" s="1"/>
  <c r="AM57" i="22"/>
  <c r="AO57" i="22" s="1"/>
  <c r="BH57" i="22"/>
  <c r="BJ57" i="22" s="1"/>
  <c r="AF57" i="22"/>
  <c r="AH57" i="22" s="1"/>
  <c r="Y57" i="22"/>
  <c r="AA57" i="22" s="1"/>
  <c r="D57" i="22"/>
  <c r="F57" i="22" s="1"/>
  <c r="R57" i="22"/>
  <c r="T57" i="22" s="1"/>
  <c r="BI32" i="22"/>
  <c r="S32" i="22"/>
  <c r="AU32" i="22"/>
  <c r="L32" i="22"/>
  <c r="Z32" i="22"/>
  <c r="BB32" i="22"/>
  <c r="AG32" i="22"/>
  <c r="E32" i="22"/>
  <c r="AN32" i="22"/>
  <c r="Y58" i="22"/>
  <c r="AA58" i="22" s="1"/>
  <c r="AM58" i="22"/>
  <c r="AO58" i="22" s="1"/>
  <c r="K58" i="22"/>
  <c r="M58" i="22" s="1"/>
  <c r="D58" i="22"/>
  <c r="F58" i="22" s="1"/>
  <c r="BH58" i="22"/>
  <c r="BJ58" i="22" s="1"/>
  <c r="AF58" i="22"/>
  <c r="AH58" i="22" s="1"/>
  <c r="R58" i="22"/>
  <c r="T58" i="22" s="1"/>
  <c r="L33" i="22"/>
  <c r="E33" i="22"/>
  <c r="AN33" i="22"/>
  <c r="AU33" i="22"/>
  <c r="BI33" i="22"/>
  <c r="AG33" i="22"/>
  <c r="S33" i="22"/>
  <c r="Z33" i="22"/>
  <c r="BB33" i="22"/>
  <c r="D36" i="23"/>
  <c r="C37" i="23"/>
  <c r="B38" i="23"/>
  <c r="D20" i="18"/>
  <c r="C20" i="18"/>
  <c r="B19" i="18"/>
  <c r="F44" i="2"/>
  <c r="B20" i="3"/>
  <c r="Z11" i="44"/>
  <c r="V11" i="44"/>
  <c r="H21" i="3"/>
  <c r="H10" i="43"/>
  <c r="N21" i="3"/>
  <c r="O21" i="3"/>
  <c r="X36" i="23"/>
  <c r="K11" i="44"/>
  <c r="Q10" i="43"/>
  <c r="F21" i="3"/>
  <c r="P10" i="43"/>
  <c r="R36" i="23" a="1"/>
  <c r="G20" i="18"/>
  <c r="N36" i="23"/>
  <c r="N7" i="43"/>
  <c r="Q37" i="23" a="1"/>
  <c r="J36" i="23"/>
  <c r="P7" i="43"/>
  <c r="J7" i="43"/>
  <c r="R11" i="44"/>
  <c r="O7" i="43"/>
  <c r="H36" i="23"/>
  <c r="L10" i="43"/>
  <c r="M21" i="3"/>
  <c r="U20" i="18"/>
  <c r="I7" i="43"/>
  <c r="M11" i="44"/>
  <c r="G21" i="3"/>
  <c r="Z36" i="23" a="1"/>
  <c r="E10" i="43"/>
  <c r="O11" i="44"/>
  <c r="Q11" i="44"/>
  <c r="AA21" i="3"/>
  <c r="R21" i="3"/>
  <c r="O37" i="23"/>
  <c r="I11" i="44"/>
  <c r="M7" i="43"/>
  <c r="E37" i="23"/>
  <c r="T21" i="3"/>
  <c r="H11" i="44"/>
  <c r="F36" i="23"/>
  <c r="I21" i="3"/>
  <c r="S21" i="3"/>
  <c r="J20" i="18"/>
  <c r="P20" i="18"/>
  <c r="O20" i="18"/>
  <c r="R7" i="43"/>
  <c r="V21" i="3"/>
  <c r="E21" i="3"/>
  <c r="T11" i="44"/>
  <c r="U21" i="3"/>
  <c r="G7" i="43"/>
  <c r="Z21" i="3"/>
  <c r="I37" i="23"/>
  <c r="T7" i="43"/>
  <c r="J21" i="3"/>
  <c r="W21" i="3"/>
  <c r="L21" i="3"/>
  <c r="X21" i="3"/>
  <c r="H20" i="18"/>
  <c r="U10" i="43"/>
  <c r="P36" i="23"/>
  <c r="V10" i="43"/>
  <c r="F11" i="44"/>
  <c r="F20" i="18"/>
  <c r="T20" i="18"/>
  <c r="P21" i="3"/>
  <c r="X11" i="44"/>
  <c r="Q21" i="3"/>
  <c r="T10" i="43"/>
  <c r="Y21" i="3"/>
  <c r="H7" i="43"/>
  <c r="S7" i="43"/>
  <c r="R20" i="18"/>
  <c r="J11" i="44"/>
  <c r="U7" i="43"/>
  <c r="W37" i="23"/>
  <c r="E20" i="18"/>
  <c r="Q7" i="43"/>
  <c r="K10" i="43"/>
  <c r="W11" i="44"/>
  <c r="E7" i="43"/>
  <c r="K37" i="23"/>
  <c r="V20" i="18"/>
  <c r="Z20" i="18"/>
  <c r="P11" i="44"/>
  <c r="R10" i="43"/>
  <c r="J10" i="43"/>
  <c r="T36" i="23"/>
  <c r="Q20" i="18"/>
  <c r="M20" i="18"/>
  <c r="I20" i="18"/>
  <c r="L11" i="44"/>
  <c r="M37" i="23"/>
  <c r="N10" i="43"/>
  <c r="O10" i="43"/>
  <c r="L7" i="43"/>
  <c r="Y37" i="23" a="1"/>
  <c r="U37" i="23"/>
  <c r="F7" i="43"/>
  <c r="AB21" i="3"/>
  <c r="S11" i="44"/>
  <c r="S37" i="23"/>
  <c r="N11" i="44"/>
  <c r="F10" i="43"/>
  <c r="M10" i="43"/>
  <c r="L20" i="18"/>
  <c r="K7" i="43"/>
  <c r="K21" i="3"/>
  <c r="S10" i="43"/>
  <c r="G37" i="23"/>
  <c r="K20" i="18"/>
  <c r="E11" i="44"/>
  <c r="V7" i="43"/>
  <c r="X20" i="18"/>
  <c r="Y20" i="18"/>
  <c r="U11" i="44"/>
  <c r="G10" i="43"/>
  <c r="W20" i="18"/>
  <c r="G11" i="44"/>
  <c r="V36" i="23"/>
  <c r="I10" i="43"/>
  <c r="Y11" i="44"/>
  <c r="N20" i="18"/>
  <c r="L36" i="23"/>
  <c r="S20" i="18"/>
  <c r="BI32" i="48" l="1"/>
  <c r="BE32" i="48"/>
  <c r="BF32" i="48"/>
  <c r="BA32" i="48"/>
  <c r="AW32" i="48"/>
  <c r="AX32" i="48"/>
  <c r="AS32" i="48"/>
  <c r="AT32" i="48"/>
  <c r="AO32" i="48"/>
  <c r="AP32" i="48"/>
  <c r="W33" i="48"/>
  <c r="X33" i="48"/>
  <c r="T33" i="48"/>
  <c r="S33" i="48"/>
  <c r="P33" i="48"/>
  <c r="O33" i="48"/>
  <c r="K33" i="48"/>
  <c r="L33" i="48"/>
  <c r="B9" i="44"/>
  <c r="C10" i="44"/>
  <c r="D10" i="44"/>
  <c r="C9" i="43"/>
  <c r="D9" i="43"/>
  <c r="BP31" i="22"/>
  <c r="BP30" i="22"/>
  <c r="BS57" i="22"/>
  <c r="BR57" i="22"/>
  <c r="BR58" i="22"/>
  <c r="BS58" i="22"/>
  <c r="BO59" i="22" s="1"/>
  <c r="BQ59" i="22" s="1"/>
  <c r="BO60" i="22" s="1"/>
  <c r="BQ60" i="22" s="1"/>
  <c r="BQ33" i="30"/>
  <c r="BQ32" i="30"/>
  <c r="AQ57" i="22"/>
  <c r="AP57" i="22"/>
  <c r="AQ58" i="22"/>
  <c r="AP58" i="22"/>
  <c r="AJ57" i="22"/>
  <c r="AI57" i="22"/>
  <c r="AJ58" i="22"/>
  <c r="AI58" i="22"/>
  <c r="AC58" i="22"/>
  <c r="AB58" i="22"/>
  <c r="AC57" i="22"/>
  <c r="AB57" i="22"/>
  <c r="V58" i="22"/>
  <c r="U58" i="22"/>
  <c r="V57" i="22"/>
  <c r="U57" i="22"/>
  <c r="O58" i="22"/>
  <c r="N58" i="22"/>
  <c r="O57" i="22"/>
  <c r="N57" i="22"/>
  <c r="H58" i="22"/>
  <c r="G58" i="22"/>
  <c r="H57" i="22"/>
  <c r="G57" i="22"/>
  <c r="BA59" i="22"/>
  <c r="BC59" i="22" s="1"/>
  <c r="AT59" i="22"/>
  <c r="AV59" i="22" s="1"/>
  <c r="BA60" i="22"/>
  <c r="BC60" i="22" s="1"/>
  <c r="AT60" i="22"/>
  <c r="AV60" i="22" s="1"/>
  <c r="BL57" i="22"/>
  <c r="BK57" i="22"/>
  <c r="BL58" i="22"/>
  <c r="BK58" i="22"/>
  <c r="AX57" i="22"/>
  <c r="AW57" i="22"/>
  <c r="AX58" i="22"/>
  <c r="AW58" i="22"/>
  <c r="BE58" i="22"/>
  <c r="BD58" i="22"/>
  <c r="BE57" i="22"/>
  <c r="BD57" i="22"/>
  <c r="C20" i="3"/>
  <c r="D20" i="3"/>
  <c r="AL33" i="30"/>
  <c r="AX32" i="30"/>
  <c r="W32" i="30"/>
  <c r="BE32" i="30"/>
  <c r="L33" i="30"/>
  <c r="AS33" i="30"/>
  <c r="BL32" i="30"/>
  <c r="E33" i="30"/>
  <c r="AE33" i="30"/>
  <c r="L32" i="30"/>
  <c r="AE32" i="30"/>
  <c r="AX33" i="30"/>
  <c r="E32" i="30"/>
  <c r="S32" i="30"/>
  <c r="BL33" i="30"/>
  <c r="AA32" i="30"/>
  <c r="AL32" i="30"/>
  <c r="AA33" i="30"/>
  <c r="S33" i="30"/>
  <c r="W33" i="30"/>
  <c r="AS32" i="30"/>
  <c r="BE33" i="30"/>
  <c r="AF60" i="22"/>
  <c r="AH60" i="22" s="1"/>
  <c r="BH60" i="22"/>
  <c r="BJ60" i="22" s="1"/>
  <c r="R60" i="22"/>
  <c r="T60" i="22" s="1"/>
  <c r="AM60" i="22"/>
  <c r="AO60" i="22" s="1"/>
  <c r="D60" i="22"/>
  <c r="F60" i="22" s="1"/>
  <c r="K60" i="22"/>
  <c r="M60" i="22" s="1"/>
  <c r="Y60" i="22"/>
  <c r="AA60" i="22" s="1"/>
  <c r="AN30" i="22"/>
  <c r="L30" i="22"/>
  <c r="Z30" i="22"/>
  <c r="S30" i="22"/>
  <c r="E30" i="22"/>
  <c r="BB30" i="22"/>
  <c r="BI30" i="22"/>
  <c r="AG30" i="22"/>
  <c r="AU30" i="22"/>
  <c r="S31" i="22"/>
  <c r="Z31" i="22"/>
  <c r="BB31" i="22"/>
  <c r="L31" i="22"/>
  <c r="AG31" i="22"/>
  <c r="BI31" i="22"/>
  <c r="E31" i="22"/>
  <c r="AN31" i="22"/>
  <c r="AU31" i="22"/>
  <c r="AM59" i="22"/>
  <c r="AO59" i="22" s="1"/>
  <c r="K59" i="22"/>
  <c r="M59" i="22" s="1"/>
  <c r="D59" i="22"/>
  <c r="F59" i="22" s="1"/>
  <c r="BH59" i="22"/>
  <c r="BJ59" i="22" s="1"/>
  <c r="R59" i="22"/>
  <c r="T59" i="22" s="1"/>
  <c r="Y59" i="22"/>
  <c r="AA59" i="22" s="1"/>
  <c r="AF59" i="22"/>
  <c r="AH59" i="22" s="1"/>
  <c r="C38" i="23"/>
  <c r="B39" i="23"/>
  <c r="C39" i="23" s="1"/>
  <c r="D19" i="18"/>
  <c r="C19" i="18"/>
  <c r="B18" i="18"/>
  <c r="D37" i="23"/>
  <c r="B19" i="3"/>
  <c r="E38" i="23"/>
  <c r="W38" i="23"/>
  <c r="P9" i="43"/>
  <c r="I39" i="23"/>
  <c r="I19" i="18"/>
  <c r="I38" i="23"/>
  <c r="E9" i="43"/>
  <c r="F10" i="44"/>
  <c r="P20" i="3"/>
  <c r="R19" i="18"/>
  <c r="T9" i="43"/>
  <c r="H19" i="18"/>
  <c r="V10" i="44"/>
  <c r="N10" i="44"/>
  <c r="V20" i="3"/>
  <c r="Y19" i="18"/>
  <c r="Z20" i="3"/>
  <c r="M39" i="23"/>
  <c r="G9" i="43"/>
  <c r="F9" i="43"/>
  <c r="T37" i="23"/>
  <c r="E39" i="23"/>
  <c r="P10" i="44"/>
  <c r="R9" i="43"/>
  <c r="U39" i="23"/>
  <c r="M19" i="18"/>
  <c r="H10" i="44"/>
  <c r="L9" i="43"/>
  <c r="AA20" i="3"/>
  <c r="Y10" i="44"/>
  <c r="G38" i="23"/>
  <c r="I10" i="44"/>
  <c r="K20" i="3"/>
  <c r="I9" i="43"/>
  <c r="V9" i="43"/>
  <c r="J20" i="3"/>
  <c r="R37" i="23" a="1"/>
  <c r="Z10" i="44"/>
  <c r="W10" i="44"/>
  <c r="W39" i="23"/>
  <c r="O39" i="23"/>
  <c r="O10" i="44"/>
  <c r="O38" i="23"/>
  <c r="R10" i="44"/>
  <c r="H20" i="3"/>
  <c r="O19" i="18"/>
  <c r="L19" i="18"/>
  <c r="E20" i="3"/>
  <c r="Y20" i="3"/>
  <c r="Q38" i="23" a="1"/>
  <c r="T20" i="3"/>
  <c r="R20" i="3"/>
  <c r="O20" i="3"/>
  <c r="Q20" i="3"/>
  <c r="S9" i="43"/>
  <c r="M10" i="44"/>
  <c r="Q9" i="43"/>
  <c r="X19" i="18"/>
  <c r="E10" i="44"/>
  <c r="M9" i="43"/>
  <c r="X20" i="3"/>
  <c r="AB20" i="3"/>
  <c r="P37" i="23"/>
  <c r="G10" i="44"/>
  <c r="Z37" i="23" a="1"/>
  <c r="V37" i="23"/>
  <c r="U38" i="23"/>
  <c r="S20" i="3"/>
  <c r="M38" i="23"/>
  <c r="N9" i="43"/>
  <c r="G19" i="18"/>
  <c r="L37" i="23"/>
  <c r="N20" i="3"/>
  <c r="K38" i="23"/>
  <c r="J9" i="43"/>
  <c r="F19" i="18"/>
  <c r="G39" i="23"/>
  <c r="E19" i="18"/>
  <c r="I20" i="3"/>
  <c r="N37" i="23"/>
  <c r="Z19" i="18"/>
  <c r="Q10" i="44"/>
  <c r="S19" i="18"/>
  <c r="Q19" i="18"/>
  <c r="H37" i="23"/>
  <c r="K19" i="18"/>
  <c r="S39" i="23"/>
  <c r="L10" i="44"/>
  <c r="U10" i="44"/>
  <c r="F37" i="23"/>
  <c r="W19" i="18"/>
  <c r="X37" i="23"/>
  <c r="U9" i="43"/>
  <c r="J37" i="23"/>
  <c r="K9" i="43"/>
  <c r="J10" i="44"/>
  <c r="O9" i="43"/>
  <c r="S38" i="23"/>
  <c r="X10" i="44"/>
  <c r="U20" i="3"/>
  <c r="H9" i="43"/>
  <c r="M20" i="3"/>
  <c r="N19" i="18"/>
  <c r="S10" i="44"/>
  <c r="U19" i="18"/>
  <c r="F20" i="3"/>
  <c r="T10" i="44"/>
  <c r="P19" i="18"/>
  <c r="K10" i="44"/>
  <c r="J19" i="18"/>
  <c r="Y38" i="23" a="1"/>
  <c r="L20" i="3"/>
  <c r="T19" i="18"/>
  <c r="W20" i="3"/>
  <c r="V19" i="18"/>
  <c r="G20" i="3"/>
  <c r="K39" i="23"/>
  <c r="BI33" i="48" l="1"/>
  <c r="BF33" i="48"/>
  <c r="BE33" i="48"/>
  <c r="BA33" i="48"/>
  <c r="AX33" i="48"/>
  <c r="AW33" i="48"/>
  <c r="AS33" i="48"/>
  <c r="AT33" i="48"/>
  <c r="AO33" i="48"/>
  <c r="AP33" i="48"/>
  <c r="W34" i="48"/>
  <c r="X34" i="48"/>
  <c r="W35" i="48"/>
  <c r="X35" i="48"/>
  <c r="T35" i="48"/>
  <c r="S35" i="48"/>
  <c r="T34" i="48"/>
  <c r="S34" i="48"/>
  <c r="P34" i="48"/>
  <c r="O34" i="48"/>
  <c r="O35" i="48"/>
  <c r="P35" i="48"/>
  <c r="L34" i="48"/>
  <c r="K34" i="48"/>
  <c r="L35" i="48"/>
  <c r="K35" i="48"/>
  <c r="B8" i="44"/>
  <c r="C9" i="44"/>
  <c r="D9" i="44"/>
  <c r="B10" i="42"/>
  <c r="C8" i="43"/>
  <c r="D8" i="43"/>
  <c r="BP29" i="22"/>
  <c r="BP28" i="22"/>
  <c r="BR60" i="22"/>
  <c r="BS60" i="22"/>
  <c r="BR59" i="22"/>
  <c r="BS59" i="22"/>
  <c r="BO61" i="22" s="1"/>
  <c r="BQ61" i="22" s="1"/>
  <c r="BO62" i="22" s="1"/>
  <c r="BQ62" i="22" s="1"/>
  <c r="BQ31" i="30"/>
  <c r="BQ30" i="30"/>
  <c r="AQ60" i="22"/>
  <c r="AP60" i="22"/>
  <c r="AQ59" i="22"/>
  <c r="AP59" i="22"/>
  <c r="AJ59" i="22"/>
  <c r="AI59" i="22"/>
  <c r="AJ60" i="22"/>
  <c r="AI60" i="22"/>
  <c r="AC59" i="22"/>
  <c r="AB59" i="22"/>
  <c r="AC60" i="22"/>
  <c r="AB60" i="22"/>
  <c r="V59" i="22"/>
  <c r="U59" i="22"/>
  <c r="V60" i="22"/>
  <c r="U60" i="22"/>
  <c r="O59" i="22"/>
  <c r="N59" i="22"/>
  <c r="O60" i="22"/>
  <c r="N60" i="22"/>
  <c r="H59" i="22"/>
  <c r="G59" i="22"/>
  <c r="H60" i="22"/>
  <c r="G60" i="22"/>
  <c r="AT61" i="22"/>
  <c r="AV61" i="22" s="1"/>
  <c r="AT62" i="22"/>
  <c r="AV62" i="22" s="1"/>
  <c r="BA62" i="22"/>
  <c r="BC62" i="22" s="1"/>
  <c r="AT64" i="22"/>
  <c r="AV64" i="22" s="1"/>
  <c r="BA64" i="22"/>
  <c r="BC64" i="22" s="1"/>
  <c r="BA61" i="22"/>
  <c r="BC61" i="22" s="1"/>
  <c r="D64" i="22"/>
  <c r="F64" i="22" s="1"/>
  <c r="G64" i="22" s="1"/>
  <c r="AX59" i="22"/>
  <c r="AW59" i="22"/>
  <c r="BL59" i="22"/>
  <c r="BK59" i="22"/>
  <c r="AX60" i="22"/>
  <c r="AW60" i="22"/>
  <c r="BL60" i="22"/>
  <c r="BK60" i="22"/>
  <c r="BE59" i="22"/>
  <c r="BD59" i="22"/>
  <c r="BE60" i="22"/>
  <c r="BD60" i="22"/>
  <c r="D19" i="3"/>
  <c r="C19" i="3"/>
  <c r="AL30" i="30"/>
  <c r="S30" i="30"/>
  <c r="AL31" i="30"/>
  <c r="AE30" i="30"/>
  <c r="AE31" i="30"/>
  <c r="L31" i="30"/>
  <c r="AX31" i="30"/>
  <c r="BL30" i="30"/>
  <c r="W30" i="30"/>
  <c r="AA31" i="30"/>
  <c r="S31" i="30"/>
  <c r="BE31" i="30"/>
  <c r="AS31" i="30"/>
  <c r="W31" i="30"/>
  <c r="E31" i="30"/>
  <c r="BE30" i="30"/>
  <c r="AA30" i="30"/>
  <c r="E30" i="30"/>
  <c r="BL31" i="30"/>
  <c r="L30" i="30"/>
  <c r="AX30" i="30"/>
  <c r="AS30" i="30"/>
  <c r="BI28" i="22"/>
  <c r="AG28" i="22"/>
  <c r="BB28" i="22"/>
  <c r="AN28" i="22"/>
  <c r="Z28" i="22"/>
  <c r="L28" i="22"/>
  <c r="E28" i="22"/>
  <c r="AU28" i="22"/>
  <c r="S28" i="22"/>
  <c r="E29" i="22"/>
  <c r="AG29" i="22"/>
  <c r="S29" i="22"/>
  <c r="AU29" i="22"/>
  <c r="BI29" i="22"/>
  <c r="AN29" i="22"/>
  <c r="BB29" i="22"/>
  <c r="L29" i="22"/>
  <c r="Z29" i="22"/>
  <c r="D61" i="22"/>
  <c r="F61" i="22" s="1"/>
  <c r="BH61" i="22"/>
  <c r="BJ61" i="22" s="1"/>
  <c r="Y61" i="22"/>
  <c r="AA61" i="22" s="1"/>
  <c r="R61" i="22"/>
  <c r="T61" i="22" s="1"/>
  <c r="K61" i="22"/>
  <c r="M61" i="22" s="1"/>
  <c r="AF61" i="22"/>
  <c r="AH61" i="22" s="1"/>
  <c r="AM61" i="22"/>
  <c r="AO61" i="22" s="1"/>
  <c r="BH64" i="22"/>
  <c r="BJ64" i="22" s="1"/>
  <c r="R64" i="22"/>
  <c r="T64" i="22" s="1"/>
  <c r="AM64" i="22"/>
  <c r="AO64" i="22" s="1"/>
  <c r="AF64" i="22"/>
  <c r="AH64" i="22" s="1"/>
  <c r="K64" i="22"/>
  <c r="M64" i="22" s="1"/>
  <c r="Y64" i="22"/>
  <c r="AA64" i="22" s="1"/>
  <c r="BH62" i="22"/>
  <c r="BJ62" i="22" s="1"/>
  <c r="D62" i="22"/>
  <c r="F62" i="22" s="1"/>
  <c r="G62" i="22" s="1"/>
  <c r="R62" i="22"/>
  <c r="T62" i="22" s="1"/>
  <c r="Y62" i="22"/>
  <c r="AA62" i="22" s="1"/>
  <c r="K62" i="22"/>
  <c r="M62" i="22" s="1"/>
  <c r="N62" i="22" s="1"/>
  <c r="AF62" i="22"/>
  <c r="AH62" i="22" s="1"/>
  <c r="AM62" i="22"/>
  <c r="AO62" i="22" s="1"/>
  <c r="D39" i="23"/>
  <c r="C40" i="23"/>
  <c r="B17" i="18"/>
  <c r="B20" i="23"/>
  <c r="C18" i="18"/>
  <c r="D18" i="18"/>
  <c r="D38" i="23"/>
  <c r="B18" i="3"/>
  <c r="J9" i="44"/>
  <c r="O19" i="3"/>
  <c r="Q19" i="3"/>
  <c r="I19" i="3"/>
  <c r="P39" i="23"/>
  <c r="V18" i="18"/>
  <c r="T38" i="23"/>
  <c r="N39" i="23"/>
  <c r="Q8" i="43"/>
  <c r="S8" i="43"/>
  <c r="Z39" i="23" a="1"/>
  <c r="Y40" i="23" a="1"/>
  <c r="N18" i="18"/>
  <c r="S9" i="44"/>
  <c r="Z38" i="23" a="1"/>
  <c r="I8" i="43"/>
  <c r="Y39" i="23" a="1"/>
  <c r="X39" i="23"/>
  <c r="X9" i="44"/>
  <c r="F38" i="23"/>
  <c r="T9" i="44"/>
  <c r="Q40" i="23" a="1"/>
  <c r="W19" i="3"/>
  <c r="J19" i="3"/>
  <c r="T39" i="23"/>
  <c r="P9" i="44"/>
  <c r="R38" i="23" a="1"/>
  <c r="K19" i="3"/>
  <c r="T18" i="18"/>
  <c r="W18" i="18"/>
  <c r="J38" i="23"/>
  <c r="Q18" i="18"/>
  <c r="Z9" i="44"/>
  <c r="L39" i="23"/>
  <c r="G8" i="43"/>
  <c r="K9" i="44"/>
  <c r="V9" i="44"/>
  <c r="H39" i="23"/>
  <c r="K8" i="43"/>
  <c r="M18" i="18"/>
  <c r="Y9" i="44"/>
  <c r="M8" i="43"/>
  <c r="E9" i="44"/>
  <c r="N8" i="43"/>
  <c r="X18" i="18"/>
  <c r="G19" i="3"/>
  <c r="H19" i="3"/>
  <c r="K18" i="18"/>
  <c r="V8" i="43"/>
  <c r="P18" i="18"/>
  <c r="F39" i="23"/>
  <c r="F18" i="18"/>
  <c r="H38" i="23"/>
  <c r="F19" i="3"/>
  <c r="X38" i="23"/>
  <c r="L19" i="3"/>
  <c r="H18" i="18"/>
  <c r="P8" i="43"/>
  <c r="G9" i="44"/>
  <c r="E19" i="3"/>
  <c r="N9" i="44"/>
  <c r="T8" i="43"/>
  <c r="M9" i="44"/>
  <c r="V39" i="23"/>
  <c r="N38" i="23"/>
  <c r="F8" i="43"/>
  <c r="P19" i="3"/>
  <c r="E18" i="18"/>
  <c r="U19" i="3"/>
  <c r="L9" i="44"/>
  <c r="Q39" i="23" a="1"/>
  <c r="M19" i="3"/>
  <c r="Z19" i="3"/>
  <c r="R18" i="18"/>
  <c r="AA19" i="3"/>
  <c r="U18" i="18"/>
  <c r="V38" i="23"/>
  <c r="S19" i="3"/>
  <c r="R8" i="43"/>
  <c r="AB19" i="3"/>
  <c r="I18" i="18"/>
  <c r="I9" i="44"/>
  <c r="G18" i="18"/>
  <c r="T19" i="3"/>
  <c r="R39" i="23" a="1"/>
  <c r="X19" i="3"/>
  <c r="O9" i="44"/>
  <c r="F9" i="44"/>
  <c r="Y19" i="3"/>
  <c r="J8" i="43"/>
  <c r="S18" i="18"/>
  <c r="L18" i="18"/>
  <c r="Z18" i="18"/>
  <c r="Y18" i="18"/>
  <c r="H8" i="43"/>
  <c r="O8" i="43"/>
  <c r="O18" i="18"/>
  <c r="R19" i="3"/>
  <c r="U9" i="44"/>
  <c r="J18" i="18"/>
  <c r="P38" i="23"/>
  <c r="U8" i="43"/>
  <c r="L38" i="23"/>
  <c r="V19" i="3"/>
  <c r="L8" i="43"/>
  <c r="Q9" i="44"/>
  <c r="E8" i="43"/>
  <c r="N19" i="3"/>
  <c r="W9" i="44"/>
  <c r="H9" i="44"/>
  <c r="J39" i="23"/>
  <c r="R9" i="44"/>
  <c r="D6" i="48" l="1"/>
  <c r="B11" i="42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C10" i="42"/>
  <c r="BI34" i="48"/>
  <c r="BI35" i="48"/>
  <c r="BF34" i="48"/>
  <c r="BE34" i="48"/>
  <c r="BE35" i="48"/>
  <c r="BF35" i="48"/>
  <c r="BA35" i="48"/>
  <c r="BA34" i="48"/>
  <c r="AX35" i="48"/>
  <c r="AW35" i="48"/>
  <c r="AW34" i="48"/>
  <c r="AX34" i="48"/>
  <c r="AT34" i="48"/>
  <c r="AS34" i="48"/>
  <c r="AT35" i="48"/>
  <c r="AS35" i="48"/>
  <c r="AP34" i="48"/>
  <c r="AO34" i="48"/>
  <c r="AP35" i="48"/>
  <c r="AO35" i="48"/>
  <c r="B7" i="44"/>
  <c r="C8" i="44"/>
  <c r="D8" i="44"/>
  <c r="BP26" i="22"/>
  <c r="BP27" i="22"/>
  <c r="BR62" i="22"/>
  <c r="BS62" i="22"/>
  <c r="BS61" i="22"/>
  <c r="BR61" i="22"/>
  <c r="BO63" i="22" s="1"/>
  <c r="BQ63" i="22" s="1"/>
  <c r="BO65" i="22" s="1"/>
  <c r="BQ65" i="22" s="1"/>
  <c r="BO64" i="22" s="1"/>
  <c r="BQ64" i="22" s="1"/>
  <c r="BQ29" i="30"/>
  <c r="BQ28" i="30"/>
  <c r="AQ64" i="22"/>
  <c r="AP64" i="22"/>
  <c r="AQ61" i="22"/>
  <c r="AP61" i="22"/>
  <c r="AQ62" i="22"/>
  <c r="AP62" i="22"/>
  <c r="AJ64" i="22"/>
  <c r="AI64" i="22"/>
  <c r="AJ62" i="22"/>
  <c r="AI62" i="22"/>
  <c r="AJ61" i="22"/>
  <c r="AI61" i="22"/>
  <c r="AC62" i="22"/>
  <c r="AB62" i="22"/>
  <c r="AC61" i="22"/>
  <c r="AB61" i="22"/>
  <c r="AC64" i="22"/>
  <c r="AB64" i="22"/>
  <c r="V64" i="22"/>
  <c r="U64" i="22"/>
  <c r="V62" i="22"/>
  <c r="U62" i="22"/>
  <c r="V61" i="22"/>
  <c r="U61" i="22"/>
  <c r="O62" i="22"/>
  <c r="O64" i="22"/>
  <c r="N64" i="22"/>
  <c r="O61" i="22"/>
  <c r="N61" i="22"/>
  <c r="H62" i="22"/>
  <c r="H61" i="22"/>
  <c r="G61" i="22"/>
  <c r="H64" i="22"/>
  <c r="AT63" i="22"/>
  <c r="AV63" i="22" s="1"/>
  <c r="AT65" i="22"/>
  <c r="AV65" i="22" s="1"/>
  <c r="BA63" i="22"/>
  <c r="BC63" i="22" s="1"/>
  <c r="BA65" i="22"/>
  <c r="BC65" i="22" s="1"/>
  <c r="AX64" i="22"/>
  <c r="AW64" i="22"/>
  <c r="BL61" i="22"/>
  <c r="BK61" i="22"/>
  <c r="AX62" i="22"/>
  <c r="AW62" i="22"/>
  <c r="BL62" i="22"/>
  <c r="BK62" i="22"/>
  <c r="BL64" i="22"/>
  <c r="BK64" i="22"/>
  <c r="AX61" i="22"/>
  <c r="AW61" i="22"/>
  <c r="BE62" i="22"/>
  <c r="BD62" i="22"/>
  <c r="BE64" i="22"/>
  <c r="BD64" i="22"/>
  <c r="BE61" i="22"/>
  <c r="BD61" i="22"/>
  <c r="D18" i="3"/>
  <c r="C18" i="3"/>
  <c r="E28" i="30"/>
  <c r="E29" i="30"/>
  <c r="S28" i="30"/>
  <c r="AS28" i="30"/>
  <c r="W29" i="30"/>
  <c r="L29" i="30"/>
  <c r="AE29" i="30"/>
  <c r="AX28" i="30"/>
  <c r="BL29" i="30"/>
  <c r="BE28" i="30"/>
  <c r="S29" i="30"/>
  <c r="BE29" i="30"/>
  <c r="L28" i="30"/>
  <c r="BL28" i="30"/>
  <c r="AL29" i="30"/>
  <c r="AL28" i="30"/>
  <c r="AS29" i="30"/>
  <c r="AA28" i="30"/>
  <c r="AA29" i="30"/>
  <c r="AX29" i="30"/>
  <c r="AE28" i="30"/>
  <c r="W28" i="30"/>
  <c r="Y63" i="22"/>
  <c r="AA63" i="22" s="1"/>
  <c r="K63" i="22"/>
  <c r="M63" i="22" s="1"/>
  <c r="BH63" i="22"/>
  <c r="BJ63" i="22" s="1"/>
  <c r="D63" i="22"/>
  <c r="F63" i="22" s="1"/>
  <c r="G63" i="22" s="1"/>
  <c r="AF63" i="22"/>
  <c r="AH63" i="22" s="1"/>
  <c r="AM63" i="22"/>
  <c r="AO63" i="22" s="1"/>
  <c r="R63" i="22"/>
  <c r="T63" i="22" s="1"/>
  <c r="AG27" i="22"/>
  <c r="AN27" i="22"/>
  <c r="BB27" i="22"/>
  <c r="L27" i="22"/>
  <c r="Z27" i="22"/>
  <c r="AU27" i="22"/>
  <c r="S27" i="22"/>
  <c r="E27" i="22"/>
  <c r="BI27" i="22"/>
  <c r="AG26" i="22"/>
  <c r="BB26" i="22"/>
  <c r="AN26" i="22"/>
  <c r="AU26" i="22"/>
  <c r="BI26" i="22"/>
  <c r="Z26" i="22"/>
  <c r="E26" i="22"/>
  <c r="L26" i="22"/>
  <c r="S26" i="22"/>
  <c r="AF65" i="22"/>
  <c r="AH65" i="22" s="1"/>
  <c r="K65" i="22"/>
  <c r="M65" i="22" s="1"/>
  <c r="Y65" i="22"/>
  <c r="AA65" i="22" s="1"/>
  <c r="AM65" i="22"/>
  <c r="AO65" i="22" s="1"/>
  <c r="D65" i="22"/>
  <c r="F65" i="22" s="1"/>
  <c r="R65" i="22"/>
  <c r="T65" i="22" s="1"/>
  <c r="BH65" i="22"/>
  <c r="BJ65" i="22" s="1"/>
  <c r="C17" i="18"/>
  <c r="D17" i="18"/>
  <c r="B19" i="23"/>
  <c r="C19" i="23" s="1"/>
  <c r="B16" i="18"/>
  <c r="C20" i="23"/>
  <c r="B21" i="23"/>
  <c r="B17" i="3"/>
  <c r="M18" i="3"/>
  <c r="Q8" i="44"/>
  <c r="Q10" i="42"/>
  <c r="N18" i="3"/>
  <c r="L18" i="3"/>
  <c r="F18" i="3"/>
  <c r="M20" i="23"/>
  <c r="K19" i="23"/>
  <c r="G18" i="3"/>
  <c r="Y18" i="3"/>
  <c r="AA18" i="3"/>
  <c r="Q17" i="18"/>
  <c r="U8" i="44"/>
  <c r="G20" i="23"/>
  <c r="W19" i="23"/>
  <c r="S18" i="3"/>
  <c r="G19" i="23"/>
  <c r="P8" i="44"/>
  <c r="J17" i="18"/>
  <c r="U17" i="18"/>
  <c r="V18" i="3"/>
  <c r="L8" i="44"/>
  <c r="W8" i="44"/>
  <c r="E19" i="23"/>
  <c r="E8" i="44"/>
  <c r="N8" i="44"/>
  <c r="U10" i="42"/>
  <c r="AB18" i="3"/>
  <c r="K18" i="3"/>
  <c r="Z18" i="3"/>
  <c r="M10" i="42"/>
  <c r="S17" i="18"/>
  <c r="U18" i="3"/>
  <c r="G17" i="18"/>
  <c r="V17" i="18"/>
  <c r="M8" i="44"/>
  <c r="O8" i="44"/>
  <c r="S8" i="44"/>
  <c r="W20" i="23"/>
  <c r="O19" i="23"/>
  <c r="L17" i="18"/>
  <c r="O20" i="23"/>
  <c r="W18" i="3"/>
  <c r="M19" i="23"/>
  <c r="K8" i="44"/>
  <c r="H8" i="44"/>
  <c r="K10" i="42"/>
  <c r="X18" i="3"/>
  <c r="O18" i="3"/>
  <c r="P18" i="3"/>
  <c r="E20" i="23"/>
  <c r="E18" i="3"/>
  <c r="H18" i="3"/>
  <c r="V8" i="44"/>
  <c r="K20" i="23"/>
  <c r="Z8" i="44"/>
  <c r="O17" i="18"/>
  <c r="S20" i="23"/>
  <c r="R18" i="3"/>
  <c r="F8" i="44"/>
  <c r="I20" i="23"/>
  <c r="R8" i="44"/>
  <c r="O10" i="42"/>
  <c r="T17" i="18"/>
  <c r="H17" i="18"/>
  <c r="Y8" i="44"/>
  <c r="E17" i="18"/>
  <c r="M17" i="18"/>
  <c r="I18" i="3"/>
  <c r="U19" i="23"/>
  <c r="J18" i="3"/>
  <c r="G8" i="44"/>
  <c r="X17" i="18"/>
  <c r="I19" i="23"/>
  <c r="K17" i="18"/>
  <c r="X8" i="44"/>
  <c r="Y17" i="18"/>
  <c r="G10" i="42"/>
  <c r="N17" i="18"/>
  <c r="J8" i="44"/>
  <c r="S10" i="42"/>
  <c r="F17" i="18"/>
  <c r="W17" i="18"/>
  <c r="P17" i="18"/>
  <c r="U20" i="23"/>
  <c r="I17" i="18"/>
  <c r="T8" i="44"/>
  <c r="S19" i="23"/>
  <c r="R17" i="18"/>
  <c r="I8" i="44"/>
  <c r="T18" i="3"/>
  <c r="I10" i="42"/>
  <c r="Q18" i="3"/>
  <c r="Z17" i="18"/>
  <c r="E26" i="30" l="1"/>
  <c r="G6" i="48"/>
  <c r="W16" i="48"/>
  <c r="X16" i="48"/>
  <c r="W15" i="48"/>
  <c r="X15" i="48"/>
  <c r="S15" i="48"/>
  <c r="T15" i="48"/>
  <c r="T16" i="48"/>
  <c r="S16" i="48"/>
  <c r="P15" i="48"/>
  <c r="O15" i="48"/>
  <c r="P16" i="48"/>
  <c r="O16" i="48"/>
  <c r="K15" i="48"/>
  <c r="L15" i="48"/>
  <c r="K16" i="48"/>
  <c r="L16" i="48"/>
  <c r="D7" i="44"/>
  <c r="C7" i="44"/>
  <c r="BP25" i="22"/>
  <c r="BP24" i="22"/>
  <c r="BR64" i="22"/>
  <c r="BS64" i="22"/>
  <c r="BS65" i="22"/>
  <c r="BR65" i="22"/>
  <c r="BS63" i="22"/>
  <c r="BR63" i="22"/>
  <c r="BQ27" i="30"/>
  <c r="BQ26" i="30"/>
  <c r="AQ65" i="22"/>
  <c r="AP65" i="22"/>
  <c r="AQ63" i="22"/>
  <c r="AP63" i="22"/>
  <c r="AJ63" i="22"/>
  <c r="AI63" i="22"/>
  <c r="AJ65" i="22"/>
  <c r="AI65" i="22"/>
  <c r="AC65" i="22"/>
  <c r="AB65" i="22"/>
  <c r="AC63" i="22"/>
  <c r="AB63" i="22"/>
  <c r="V65" i="22"/>
  <c r="U65" i="22"/>
  <c r="V63" i="22"/>
  <c r="U63" i="22"/>
  <c r="O65" i="22"/>
  <c r="N65" i="22"/>
  <c r="O63" i="22"/>
  <c r="N63" i="22"/>
  <c r="H65" i="22"/>
  <c r="G65" i="22"/>
  <c r="H63" i="22"/>
  <c r="BA24" i="22"/>
  <c r="BA26" i="22"/>
  <c r="BC26" i="22" s="1"/>
  <c r="AT24" i="22"/>
  <c r="AT26" i="22"/>
  <c r="AV26" i="22" s="1"/>
  <c r="AX63" i="22"/>
  <c r="AW63" i="22"/>
  <c r="BL65" i="22"/>
  <c r="BK65" i="22"/>
  <c r="AX65" i="22"/>
  <c r="AW65" i="22"/>
  <c r="BL63" i="22"/>
  <c r="BK63" i="22"/>
  <c r="BE65" i="22"/>
  <c r="BD65" i="22"/>
  <c r="BE63" i="22"/>
  <c r="BD63" i="22"/>
  <c r="C17" i="3"/>
  <c r="D17" i="3"/>
  <c r="W26" i="30"/>
  <c r="E27" i="30"/>
  <c r="BE26" i="30"/>
  <c r="BE27" i="30"/>
  <c r="BL27" i="30"/>
  <c r="AX27" i="30"/>
  <c r="AA26" i="30"/>
  <c r="L27" i="30"/>
  <c r="BL26" i="30"/>
  <c r="AL26" i="30"/>
  <c r="S27" i="30"/>
  <c r="AA27" i="30"/>
  <c r="AS27" i="30"/>
  <c r="W27" i="30"/>
  <c r="AE26" i="30"/>
  <c r="AL27" i="30"/>
  <c r="L26" i="30"/>
  <c r="AS26" i="30"/>
  <c r="AX26" i="30"/>
  <c r="AE27" i="30"/>
  <c r="S26" i="30"/>
  <c r="AN25" i="22"/>
  <c r="BI25" i="22"/>
  <c r="AU25" i="22"/>
  <c r="S25" i="22"/>
  <c r="BB25" i="22"/>
  <c r="Z25" i="22"/>
  <c r="E25" i="22"/>
  <c r="AG25" i="22"/>
  <c r="L25" i="22"/>
  <c r="BH24" i="22"/>
  <c r="K24" i="22"/>
  <c r="R24" i="22"/>
  <c r="Y24" i="22"/>
  <c r="D24" i="22"/>
  <c r="AM24" i="22"/>
  <c r="AF24" i="22"/>
  <c r="BH26" i="22"/>
  <c r="BJ26" i="22" s="1"/>
  <c r="D26" i="22"/>
  <c r="F26" i="22" s="1"/>
  <c r="AF26" i="22"/>
  <c r="AH26" i="22" s="1"/>
  <c r="K26" i="22"/>
  <c r="M26" i="22" s="1"/>
  <c r="AM26" i="22"/>
  <c r="AO26" i="22" s="1"/>
  <c r="Y26" i="22"/>
  <c r="AA26" i="22" s="1"/>
  <c r="R26" i="22"/>
  <c r="T26" i="22" s="1"/>
  <c r="BI24" i="22"/>
  <c r="AN24" i="22"/>
  <c r="AG24" i="22"/>
  <c r="BB24" i="22"/>
  <c r="L24" i="22"/>
  <c r="S24" i="22"/>
  <c r="AU24" i="22"/>
  <c r="E24" i="22"/>
  <c r="Z24" i="22"/>
  <c r="B15" i="18"/>
  <c r="D16" i="18"/>
  <c r="C16" i="18"/>
  <c r="B22" i="23"/>
  <c r="C21" i="23"/>
  <c r="D19" i="23"/>
  <c r="D20" i="23"/>
  <c r="B16" i="3"/>
  <c r="W21" i="23"/>
  <c r="L7" i="44"/>
  <c r="T17" i="3"/>
  <c r="Y17" i="3"/>
  <c r="K21" i="23"/>
  <c r="R7" i="44"/>
  <c r="J19" i="23"/>
  <c r="V17" i="3"/>
  <c r="S21" i="23"/>
  <c r="Q16" i="18"/>
  <c r="X19" i="23"/>
  <c r="Y7" i="44"/>
  <c r="S17" i="3"/>
  <c r="J7" i="44"/>
  <c r="Z20" i="23" a="1"/>
  <c r="H7" i="44"/>
  <c r="M21" i="23"/>
  <c r="V19" i="23"/>
  <c r="F20" i="23"/>
  <c r="Q21" i="23" a="1"/>
  <c r="G17" i="3"/>
  <c r="E16" i="18"/>
  <c r="W16" i="18"/>
  <c r="E17" i="3"/>
  <c r="L16" i="18"/>
  <c r="Z16" i="18"/>
  <c r="F19" i="23"/>
  <c r="Y21" i="23" a="1"/>
  <c r="E7" i="44"/>
  <c r="T19" i="23"/>
  <c r="I21" i="23"/>
  <c r="X16" i="18"/>
  <c r="J17" i="3"/>
  <c r="K17" i="3"/>
  <c r="O16" i="18"/>
  <c r="I7" i="44"/>
  <c r="T20" i="23"/>
  <c r="O17" i="3"/>
  <c r="N7" i="44"/>
  <c r="P7" i="44"/>
  <c r="AB17" i="3"/>
  <c r="M16" i="18"/>
  <c r="G21" i="23"/>
  <c r="N19" i="23"/>
  <c r="T7" i="44"/>
  <c r="F7" i="44"/>
  <c r="P19" i="23"/>
  <c r="H16" i="18"/>
  <c r="K7" i="44"/>
  <c r="Z19" i="23" a="1"/>
  <c r="M17" i="3"/>
  <c r="E21" i="23"/>
  <c r="Q20" i="23" a="1"/>
  <c r="U17" i="3"/>
  <c r="X20" i="23"/>
  <c r="R17" i="3"/>
  <c r="W17" i="3"/>
  <c r="O7" i="44"/>
  <c r="I16" i="18"/>
  <c r="N16" i="18"/>
  <c r="AA17" i="3"/>
  <c r="N20" i="23"/>
  <c r="H17" i="3"/>
  <c r="U21" i="23"/>
  <c r="I17" i="3"/>
  <c r="J16" i="18"/>
  <c r="X7" i="44"/>
  <c r="R19" i="23" a="1"/>
  <c r="X17" i="3"/>
  <c r="V20" i="23"/>
  <c r="Z7" i="44"/>
  <c r="G16" i="18"/>
  <c r="P17" i="3"/>
  <c r="Q17" i="3"/>
  <c r="V16" i="18"/>
  <c r="F17" i="3"/>
  <c r="S7" i="44"/>
  <c r="R16" i="18"/>
  <c r="L19" i="23"/>
  <c r="Q7" i="44"/>
  <c r="P16" i="18"/>
  <c r="O21" i="23"/>
  <c r="S16" i="18"/>
  <c r="L20" i="23"/>
  <c r="Y20" i="23" a="1"/>
  <c r="Z17" i="3"/>
  <c r="H19" i="23"/>
  <c r="U16" i="18"/>
  <c r="V7" i="44"/>
  <c r="H20" i="23"/>
  <c r="N17" i="3"/>
  <c r="W7" i="44"/>
  <c r="P20" i="23"/>
  <c r="U7" i="44"/>
  <c r="F16" i="18"/>
  <c r="J20" i="23"/>
  <c r="T16" i="18"/>
  <c r="K16" i="18"/>
  <c r="G7" i="44"/>
  <c r="M7" i="44"/>
  <c r="R20" i="23" a="1"/>
  <c r="L17" i="3"/>
  <c r="Y16" i="18"/>
  <c r="BI15" i="48" l="1"/>
  <c r="BI16" i="48"/>
  <c r="BE15" i="48"/>
  <c r="BF15" i="48"/>
  <c r="BE16" i="48"/>
  <c r="BF16" i="48"/>
  <c r="BA16" i="48"/>
  <c r="BA15" i="48"/>
  <c r="AX16" i="48"/>
  <c r="AW16" i="48"/>
  <c r="AW15" i="48"/>
  <c r="AX15" i="48"/>
  <c r="AT16" i="48"/>
  <c r="AS16" i="48"/>
  <c r="AS15" i="48"/>
  <c r="AT15" i="48"/>
  <c r="AO15" i="48"/>
  <c r="AP15" i="48"/>
  <c r="AP16" i="48"/>
  <c r="AO16" i="48"/>
  <c r="W17" i="48"/>
  <c r="X17" i="48"/>
  <c r="T17" i="48"/>
  <c r="S17" i="48"/>
  <c r="O17" i="48"/>
  <c r="P17" i="48"/>
  <c r="L17" i="48"/>
  <c r="K17" i="48"/>
  <c r="BP23" i="22"/>
  <c r="BP22" i="22"/>
  <c r="BO27" i="22" s="1"/>
  <c r="BQ27" i="22" s="1"/>
  <c r="BO25" i="22" s="1"/>
  <c r="BQ25" i="22" s="1"/>
  <c r="BO28" i="22" s="1"/>
  <c r="BQ28" i="22" s="1"/>
  <c r="BO26" i="22" s="1"/>
  <c r="BQ26" i="22" s="1"/>
  <c r="BQ25" i="30"/>
  <c r="BQ24" i="30"/>
  <c r="AQ26" i="22"/>
  <c r="AP26" i="22"/>
  <c r="AJ26" i="22"/>
  <c r="AI26" i="22"/>
  <c r="AC26" i="22"/>
  <c r="AB26" i="22"/>
  <c r="V26" i="22"/>
  <c r="U26" i="22"/>
  <c r="O26" i="22"/>
  <c r="N26" i="22"/>
  <c r="H26" i="22"/>
  <c r="G26" i="22"/>
  <c r="AT28" i="22"/>
  <c r="AV28" i="22" s="1"/>
  <c r="BA25" i="22"/>
  <c r="BC25" i="22" s="1"/>
  <c r="AT27" i="22"/>
  <c r="AV27" i="22" s="1"/>
  <c r="BA28" i="22"/>
  <c r="BC28" i="22" s="1"/>
  <c r="BA27" i="22"/>
  <c r="BC27" i="22" s="1"/>
  <c r="AT25" i="22"/>
  <c r="AV25" i="22" s="1"/>
  <c r="AX26" i="22"/>
  <c r="AW26" i="22"/>
  <c r="BL26" i="22"/>
  <c r="BK26" i="22"/>
  <c r="BE26" i="22"/>
  <c r="BD26" i="22"/>
  <c r="C16" i="3"/>
  <c r="D16" i="3"/>
  <c r="L25" i="30"/>
  <c r="S24" i="30"/>
  <c r="BE25" i="30"/>
  <c r="AE25" i="30"/>
  <c r="BE24" i="30"/>
  <c r="AE24" i="30"/>
  <c r="AA24" i="30"/>
  <c r="AA25" i="30"/>
  <c r="W24" i="30"/>
  <c r="BL24" i="30"/>
  <c r="AS24" i="30"/>
  <c r="S25" i="30"/>
  <c r="E25" i="30"/>
  <c r="AL24" i="30"/>
  <c r="L24" i="30"/>
  <c r="AX25" i="30"/>
  <c r="AX24" i="30"/>
  <c r="E24" i="30"/>
  <c r="W25" i="30"/>
  <c r="AL25" i="30"/>
  <c r="AS25" i="30"/>
  <c r="BL25" i="30"/>
  <c r="AH24" i="22"/>
  <c r="AO24" i="22"/>
  <c r="T24" i="22"/>
  <c r="AV24" i="22"/>
  <c r="BC24" i="22"/>
  <c r="F24" i="22"/>
  <c r="K28" i="22"/>
  <c r="M28" i="22" s="1"/>
  <c r="D28" i="22"/>
  <c r="F28" i="22" s="1"/>
  <c r="BH28" i="22"/>
  <c r="BJ28" i="22" s="1"/>
  <c r="AF28" i="22"/>
  <c r="AH28" i="22" s="1"/>
  <c r="Y28" i="22"/>
  <c r="AA28" i="22" s="1"/>
  <c r="R28" i="22"/>
  <c r="T28" i="22" s="1"/>
  <c r="AM28" i="22"/>
  <c r="AO28" i="22" s="1"/>
  <c r="BH25" i="22"/>
  <c r="BJ25" i="22" s="1"/>
  <c r="R25" i="22"/>
  <c r="T25" i="22" s="1"/>
  <c r="AF25" i="22"/>
  <c r="AH25" i="22" s="1"/>
  <c r="D25" i="22"/>
  <c r="F25" i="22" s="1"/>
  <c r="K25" i="22"/>
  <c r="M25" i="22" s="1"/>
  <c r="AM25" i="22"/>
  <c r="AO25" i="22" s="1"/>
  <c r="Y25" i="22"/>
  <c r="AA25" i="22" s="1"/>
  <c r="AG22" i="22"/>
  <c r="E22" i="22"/>
  <c r="L22" i="22"/>
  <c r="BI22" i="22"/>
  <c r="BB22" i="22"/>
  <c r="Z22" i="22"/>
  <c r="AU22" i="22"/>
  <c r="S22" i="22"/>
  <c r="AN22" i="22"/>
  <c r="K27" i="22"/>
  <c r="M27" i="22" s="1"/>
  <c r="AM27" i="22"/>
  <c r="AO27" i="22" s="1"/>
  <c r="AF27" i="22"/>
  <c r="AH27" i="22" s="1"/>
  <c r="BH27" i="22"/>
  <c r="BJ27" i="22" s="1"/>
  <c r="Y27" i="22"/>
  <c r="AA27" i="22" s="1"/>
  <c r="R27" i="22"/>
  <c r="T27" i="22" s="1"/>
  <c r="D27" i="22"/>
  <c r="F27" i="22" s="1"/>
  <c r="AU23" i="22"/>
  <c r="AN23" i="22"/>
  <c r="AG23" i="22"/>
  <c r="S23" i="22"/>
  <c r="Z23" i="22"/>
  <c r="BI23" i="22"/>
  <c r="L23" i="22"/>
  <c r="BB23" i="22"/>
  <c r="E23" i="22"/>
  <c r="D21" i="23"/>
  <c r="AA24" i="22"/>
  <c r="M24" i="22"/>
  <c r="BJ24" i="22"/>
  <c r="B23" i="23"/>
  <c r="C22" i="23"/>
  <c r="B14" i="18"/>
  <c r="C15" i="18"/>
  <c r="D15" i="18"/>
  <c r="B15" i="3"/>
  <c r="X15" i="18"/>
  <c r="AB16" i="3"/>
  <c r="M16" i="3"/>
  <c r="H21" i="23"/>
  <c r="O22" i="23"/>
  <c r="F15" i="18"/>
  <c r="G16" i="3"/>
  <c r="N21" i="23"/>
  <c r="Y15" i="18"/>
  <c r="G22" i="23"/>
  <c r="G15" i="18"/>
  <c r="F16" i="3"/>
  <c r="P15" i="18"/>
  <c r="H16" i="3"/>
  <c r="Y22" i="23" a="1"/>
  <c r="T16" i="3"/>
  <c r="T21" i="23"/>
  <c r="J15" i="18"/>
  <c r="Z15" i="18"/>
  <c r="Q16" i="3"/>
  <c r="H15" i="18"/>
  <c r="AA16" i="3"/>
  <c r="S15" i="18"/>
  <c r="W15" i="18"/>
  <c r="W16" i="3"/>
  <c r="P21" i="23"/>
  <c r="O15" i="18"/>
  <c r="U15" i="18"/>
  <c r="K22" i="23"/>
  <c r="X16" i="3"/>
  <c r="W22" i="23"/>
  <c r="T15" i="18"/>
  <c r="I22" i="23"/>
  <c r="S22" i="23"/>
  <c r="K15" i="18"/>
  <c r="I16" i="3"/>
  <c r="L15" i="18"/>
  <c r="F21" i="23"/>
  <c r="E22" i="23"/>
  <c r="Y16" i="3"/>
  <c r="Q22" i="23" a="1"/>
  <c r="Z21" i="23" a="1"/>
  <c r="L21" i="23"/>
  <c r="M22" i="23"/>
  <c r="M15" i="18"/>
  <c r="I15" i="18"/>
  <c r="P16" i="3"/>
  <c r="Q15" i="18"/>
  <c r="L16" i="3"/>
  <c r="X21" i="23"/>
  <c r="N16" i="3"/>
  <c r="R16" i="3"/>
  <c r="Z16" i="3"/>
  <c r="K16" i="3"/>
  <c r="J21" i="23"/>
  <c r="R15" i="18"/>
  <c r="E16" i="3"/>
  <c r="O16" i="3"/>
  <c r="R21" i="23" a="1"/>
  <c r="V15" i="18"/>
  <c r="U16" i="3"/>
  <c r="N15" i="18"/>
  <c r="E15" i="18"/>
  <c r="V21" i="23"/>
  <c r="V16" i="3"/>
  <c r="S16" i="3"/>
  <c r="J16" i="3"/>
  <c r="U22" i="23"/>
  <c r="BI17" i="48" l="1"/>
  <c r="BE17" i="48"/>
  <c r="BF17" i="48"/>
  <c r="BA17" i="48"/>
  <c r="AX17" i="48"/>
  <c r="AW17" i="48"/>
  <c r="AT17" i="48"/>
  <c r="AS17" i="48"/>
  <c r="AO17" i="48"/>
  <c r="AP17" i="48"/>
  <c r="W18" i="48"/>
  <c r="X18" i="48"/>
  <c r="T18" i="48"/>
  <c r="S18" i="48"/>
  <c r="P18" i="48"/>
  <c r="O18" i="48"/>
  <c r="L18" i="48"/>
  <c r="K18" i="48"/>
  <c r="BP20" i="22"/>
  <c r="BP21" i="22"/>
  <c r="BS25" i="22"/>
  <c r="BR25" i="22"/>
  <c r="BS26" i="22"/>
  <c r="BR26" i="22"/>
  <c r="BR28" i="22"/>
  <c r="BS28" i="22"/>
  <c r="BS27" i="22"/>
  <c r="BR27" i="22"/>
  <c r="BO29" i="22" s="1"/>
  <c r="BQ29" i="22" s="1"/>
  <c r="BO30" i="22" s="1"/>
  <c r="BQ30" i="22" s="1"/>
  <c r="BQ23" i="30"/>
  <c r="BQ22" i="30"/>
  <c r="AQ27" i="22"/>
  <c r="AP27" i="22"/>
  <c r="AQ25" i="22"/>
  <c r="AP25" i="22"/>
  <c r="AQ24" i="22"/>
  <c r="AP24" i="22"/>
  <c r="AQ28" i="22"/>
  <c r="AP28" i="22"/>
  <c r="AJ27" i="22"/>
  <c r="AI27" i="22"/>
  <c r="AJ28" i="22"/>
  <c r="AI28" i="22"/>
  <c r="AJ24" i="22"/>
  <c r="AI24" i="22"/>
  <c r="AJ25" i="22"/>
  <c r="AI25" i="22"/>
  <c r="AC24" i="22"/>
  <c r="AB24" i="22"/>
  <c r="AC27" i="22"/>
  <c r="AB27" i="22"/>
  <c r="AC28" i="22"/>
  <c r="AB28" i="22"/>
  <c r="AC25" i="22"/>
  <c r="AB25" i="22"/>
  <c r="V25" i="22"/>
  <c r="U25" i="22"/>
  <c r="V24" i="22"/>
  <c r="U24" i="22"/>
  <c r="V27" i="22"/>
  <c r="U27" i="22"/>
  <c r="V28" i="22"/>
  <c r="U28" i="22"/>
  <c r="O24" i="22"/>
  <c r="N24" i="22"/>
  <c r="O27" i="22"/>
  <c r="N27" i="22"/>
  <c r="O25" i="22"/>
  <c r="N25" i="22"/>
  <c r="O28" i="22"/>
  <c r="N28" i="22"/>
  <c r="H27" i="22"/>
  <c r="G27" i="22"/>
  <c r="H25" i="22"/>
  <c r="G25" i="22"/>
  <c r="H28" i="22"/>
  <c r="G28" i="22"/>
  <c r="H24" i="22"/>
  <c r="G24" i="22"/>
  <c r="AT30" i="22"/>
  <c r="AV30" i="22" s="1"/>
  <c r="BA29" i="22"/>
  <c r="BC29" i="22" s="1"/>
  <c r="AT29" i="22"/>
  <c r="AV29" i="22" s="1"/>
  <c r="BA30" i="22"/>
  <c r="BC30" i="22" s="1"/>
  <c r="BL25" i="22"/>
  <c r="BK25" i="22"/>
  <c r="AX24" i="22"/>
  <c r="AW24" i="22"/>
  <c r="BL27" i="22"/>
  <c r="BK27" i="22"/>
  <c r="BL24" i="22"/>
  <c r="BK24" i="22"/>
  <c r="AX27" i="22"/>
  <c r="AW27" i="22"/>
  <c r="AX25" i="22"/>
  <c r="AW25" i="22"/>
  <c r="BL28" i="22"/>
  <c r="BK28" i="22"/>
  <c r="AX28" i="22"/>
  <c r="AW28" i="22"/>
  <c r="BE28" i="22"/>
  <c r="BD28" i="22"/>
  <c r="BE24" i="22"/>
  <c r="BD24" i="22"/>
  <c r="BE27" i="22"/>
  <c r="BD27" i="22"/>
  <c r="BE25" i="22"/>
  <c r="BD25" i="22"/>
  <c r="D15" i="3"/>
  <c r="C15" i="3"/>
  <c r="AA22" i="30"/>
  <c r="BE22" i="30"/>
  <c r="BL23" i="30"/>
  <c r="L22" i="30"/>
  <c r="AL23" i="30"/>
  <c r="AS22" i="30"/>
  <c r="E23" i="30"/>
  <c r="S22" i="30"/>
  <c r="L23" i="30"/>
  <c r="AS23" i="30"/>
  <c r="AE22" i="30"/>
  <c r="AE23" i="30"/>
  <c r="AL22" i="30"/>
  <c r="W23" i="30"/>
  <c r="W22" i="30"/>
  <c r="BE23" i="30"/>
  <c r="S23" i="30"/>
  <c r="AX23" i="30"/>
  <c r="E22" i="30"/>
  <c r="AX22" i="30"/>
  <c r="AA23" i="30"/>
  <c r="BL22" i="30"/>
  <c r="AU21" i="22"/>
  <c r="AG21" i="22"/>
  <c r="Z21" i="22"/>
  <c r="BI21" i="22"/>
  <c r="E21" i="22"/>
  <c r="S21" i="22"/>
  <c r="L21" i="22"/>
  <c r="BB21" i="22"/>
  <c r="AN21" i="22"/>
  <c r="AG20" i="22"/>
  <c r="Z20" i="22"/>
  <c r="S20" i="22"/>
  <c r="BI20" i="22"/>
  <c r="L20" i="22"/>
  <c r="AU20" i="22"/>
  <c r="AN20" i="22"/>
  <c r="E20" i="22"/>
  <c r="BB20" i="22"/>
  <c r="AM29" i="22"/>
  <c r="AO29" i="22" s="1"/>
  <c r="BH29" i="22"/>
  <c r="BJ29" i="22" s="1"/>
  <c r="AF29" i="22"/>
  <c r="AH29" i="22" s="1"/>
  <c r="D29" i="22"/>
  <c r="F29" i="22" s="1"/>
  <c r="R29" i="22"/>
  <c r="T29" i="22" s="1"/>
  <c r="K29" i="22"/>
  <c r="M29" i="22" s="1"/>
  <c r="Y29" i="22"/>
  <c r="AA29" i="22" s="1"/>
  <c r="BH30" i="22"/>
  <c r="BJ30" i="22" s="1"/>
  <c r="Y30" i="22"/>
  <c r="AA30" i="22" s="1"/>
  <c r="R30" i="22"/>
  <c r="T30" i="22" s="1"/>
  <c r="AF30" i="22"/>
  <c r="AH30" i="22" s="1"/>
  <c r="AM30" i="22"/>
  <c r="AO30" i="22" s="1"/>
  <c r="D30" i="22"/>
  <c r="F30" i="22" s="1"/>
  <c r="K30" i="22"/>
  <c r="M30" i="22" s="1"/>
  <c r="B24" i="23"/>
  <c r="C23" i="23"/>
  <c r="B13" i="18"/>
  <c r="D14" i="18"/>
  <c r="C14" i="18"/>
  <c r="D22" i="23"/>
  <c r="B14" i="3"/>
  <c r="W23" i="23"/>
  <c r="Q15" i="3"/>
  <c r="F22" i="23"/>
  <c r="P15" i="3"/>
  <c r="F14" i="18"/>
  <c r="V15" i="3"/>
  <c r="M15" i="3"/>
  <c r="G23" i="23"/>
  <c r="H22" i="23"/>
  <c r="N14" i="18"/>
  <c r="M23" i="23"/>
  <c r="G14" i="18"/>
  <c r="J15" i="3"/>
  <c r="S14" i="18"/>
  <c r="I15" i="3"/>
  <c r="K14" i="18"/>
  <c r="V14" i="18"/>
  <c r="X15" i="3"/>
  <c r="X22" i="23"/>
  <c r="L22" i="23"/>
  <c r="K23" i="23"/>
  <c r="I14" i="18"/>
  <c r="S23" i="23"/>
  <c r="I23" i="23"/>
  <c r="H15" i="3"/>
  <c r="G15" i="3"/>
  <c r="W14" i="18"/>
  <c r="H14" i="18"/>
  <c r="Y23" i="23" a="1"/>
  <c r="M14" i="18"/>
  <c r="E14" i="18"/>
  <c r="Z22" i="23" a="1"/>
  <c r="P22" i="23"/>
  <c r="Z15" i="3"/>
  <c r="J14" i="18"/>
  <c r="Y14" i="18"/>
  <c r="T14" i="18"/>
  <c r="J22" i="23"/>
  <c r="N15" i="3"/>
  <c r="X14" i="18"/>
  <c r="K15" i="3"/>
  <c r="E15" i="3"/>
  <c r="W15" i="3"/>
  <c r="Z14" i="18"/>
  <c r="AB15" i="3"/>
  <c r="L15" i="3"/>
  <c r="Q14" i="18"/>
  <c r="O23" i="23"/>
  <c r="AA15" i="3"/>
  <c r="N22" i="23"/>
  <c r="T15" i="3"/>
  <c r="L14" i="18"/>
  <c r="U14" i="18"/>
  <c r="Y15" i="3"/>
  <c r="U15" i="3"/>
  <c r="U23" i="23"/>
  <c r="V22" i="23"/>
  <c r="R14" i="18"/>
  <c r="E23" i="23"/>
  <c r="O15" i="3"/>
  <c r="R22" i="23" a="1"/>
  <c r="F15" i="3"/>
  <c r="P14" i="18"/>
  <c r="R15" i="3"/>
  <c r="O14" i="18"/>
  <c r="Q23" i="23" a="1"/>
  <c r="S15" i="3"/>
  <c r="T22" i="23"/>
  <c r="E84" i="2" l="1"/>
  <c r="E85" i="2" s="1"/>
  <c r="F85" i="2" s="1"/>
  <c r="G98" i="2"/>
  <c r="G99" i="2" s="1"/>
  <c r="H99" i="2" s="1"/>
  <c r="BI18" i="48"/>
  <c r="BE18" i="48"/>
  <c r="BF18" i="48"/>
  <c r="BA18" i="48"/>
  <c r="AW18" i="48"/>
  <c r="AX18" i="48"/>
  <c r="AS18" i="48"/>
  <c r="AT18" i="48"/>
  <c r="AP18" i="48"/>
  <c r="AO18" i="48"/>
  <c r="W19" i="48"/>
  <c r="X19" i="48"/>
  <c r="T19" i="48"/>
  <c r="S19" i="48"/>
  <c r="O19" i="48"/>
  <c r="P19" i="48"/>
  <c r="L19" i="48"/>
  <c r="K19" i="48"/>
  <c r="E104" i="2"/>
  <c r="E105" i="2" s="1"/>
  <c r="F105" i="2" s="1"/>
  <c r="G104" i="2"/>
  <c r="G105" i="2" s="1"/>
  <c r="H105" i="2" s="1"/>
  <c r="BP19" i="22"/>
  <c r="BP18" i="22"/>
  <c r="BS30" i="22"/>
  <c r="BR30" i="22"/>
  <c r="BS29" i="22"/>
  <c r="BR29" i="22"/>
  <c r="BO31" i="22" s="1"/>
  <c r="BQ31" i="22" s="1"/>
  <c r="BO32" i="22" s="1"/>
  <c r="BQ32" i="22" s="1"/>
  <c r="BQ21" i="30"/>
  <c r="BQ20" i="30"/>
  <c r="AQ29" i="22"/>
  <c r="AP29" i="22"/>
  <c r="AQ30" i="22"/>
  <c r="AP30" i="22"/>
  <c r="AJ30" i="22"/>
  <c r="AI30" i="22"/>
  <c r="AJ29" i="22"/>
  <c r="AI29" i="22"/>
  <c r="AC30" i="22"/>
  <c r="AB30" i="22"/>
  <c r="AC29" i="22"/>
  <c r="AB29" i="22"/>
  <c r="V30" i="22"/>
  <c r="U30" i="22"/>
  <c r="V29" i="22"/>
  <c r="U29" i="22"/>
  <c r="O30" i="22"/>
  <c r="N30" i="22"/>
  <c r="O29" i="22"/>
  <c r="N29" i="22"/>
  <c r="H30" i="22"/>
  <c r="G30" i="22"/>
  <c r="H29" i="22"/>
  <c r="G29" i="22"/>
  <c r="AT31" i="22"/>
  <c r="AV31" i="22" s="1"/>
  <c r="BA31" i="22"/>
  <c r="BC31" i="22" s="1"/>
  <c r="BA32" i="22"/>
  <c r="BC32" i="22" s="1"/>
  <c r="AT32" i="22"/>
  <c r="AV32" i="22" s="1"/>
  <c r="AX30" i="22"/>
  <c r="AW30" i="22"/>
  <c r="BL29" i="22"/>
  <c r="BK29" i="22"/>
  <c r="BL30" i="22"/>
  <c r="BK30" i="22"/>
  <c r="AX29" i="22"/>
  <c r="AW29" i="22"/>
  <c r="BE30" i="22"/>
  <c r="BD30" i="22"/>
  <c r="BE29" i="22"/>
  <c r="BD29" i="22"/>
  <c r="K84" i="2"/>
  <c r="K85" i="2" s="1"/>
  <c r="L85" i="2" s="1"/>
  <c r="I91" i="2"/>
  <c r="I92" i="2" s="1"/>
  <c r="J92" i="2" s="1"/>
  <c r="I84" i="2"/>
  <c r="I85" i="2" s="1"/>
  <c r="J85" i="2" s="1"/>
  <c r="E91" i="2"/>
  <c r="E92" i="2" s="1"/>
  <c r="F92" i="2" s="1"/>
  <c r="O91" i="2"/>
  <c r="O92" i="2" s="1"/>
  <c r="P92" i="2" s="1"/>
  <c r="K91" i="2"/>
  <c r="K92" i="2" s="1"/>
  <c r="L92" i="2" s="1"/>
  <c r="G84" i="2"/>
  <c r="G85" i="2" s="1"/>
  <c r="H85" i="2" s="1"/>
  <c r="O84" i="2"/>
  <c r="O85" i="2" s="1"/>
  <c r="P85" i="2" s="1"/>
  <c r="M91" i="2"/>
  <c r="M92" i="2" s="1"/>
  <c r="N92" i="2" s="1"/>
  <c r="G91" i="2"/>
  <c r="G92" i="2" s="1"/>
  <c r="H92" i="2" s="1"/>
  <c r="M84" i="2"/>
  <c r="M85" i="2" s="1"/>
  <c r="N85" i="2" s="1"/>
  <c r="O98" i="2"/>
  <c r="O99" i="2" s="1"/>
  <c r="P99" i="2" s="1"/>
  <c r="K98" i="2"/>
  <c r="I98" i="2"/>
  <c r="M98" i="2"/>
  <c r="M99" i="2" s="1"/>
  <c r="N99" i="2" s="1"/>
  <c r="E98" i="2"/>
  <c r="E99" i="2" s="1"/>
  <c r="F99" i="2" s="1"/>
  <c r="D14" i="3"/>
  <c r="C14" i="3"/>
  <c r="AA21" i="30"/>
  <c r="AX20" i="30"/>
  <c r="BE20" i="30"/>
  <c r="S20" i="30"/>
  <c r="BL20" i="30"/>
  <c r="W21" i="30"/>
  <c r="AS20" i="30"/>
  <c r="L20" i="30"/>
  <c r="BE21" i="30"/>
  <c r="W20" i="30"/>
  <c r="AL21" i="30"/>
  <c r="E21" i="30"/>
  <c r="AE20" i="30"/>
  <c r="AL20" i="30"/>
  <c r="E20" i="30"/>
  <c r="AE21" i="30"/>
  <c r="S21" i="30"/>
  <c r="BL21" i="30"/>
  <c r="AS21" i="30"/>
  <c r="AA20" i="30"/>
  <c r="L21" i="30"/>
  <c r="AX21" i="30"/>
  <c r="L19" i="22"/>
  <c r="AG19" i="22"/>
  <c r="Z19" i="22"/>
  <c r="BI19" i="22"/>
  <c r="S19" i="22"/>
  <c r="AN19" i="22"/>
  <c r="BB19" i="22"/>
  <c r="E19" i="22"/>
  <c r="AU19" i="22"/>
  <c r="BH31" i="22"/>
  <c r="BJ31" i="22" s="1"/>
  <c r="AF31" i="22"/>
  <c r="AH31" i="22" s="1"/>
  <c r="K31" i="22"/>
  <c r="M31" i="22" s="1"/>
  <c r="R31" i="22"/>
  <c r="T31" i="22" s="1"/>
  <c r="D31" i="22"/>
  <c r="F31" i="22" s="1"/>
  <c r="AM31" i="22"/>
  <c r="AO31" i="22" s="1"/>
  <c r="Y31" i="22"/>
  <c r="AA31" i="22" s="1"/>
  <c r="Y32" i="22"/>
  <c r="AA32" i="22" s="1"/>
  <c r="K32" i="22"/>
  <c r="M32" i="22" s="1"/>
  <c r="AM32" i="22"/>
  <c r="AO32" i="22" s="1"/>
  <c r="AF32" i="22"/>
  <c r="AH32" i="22" s="1"/>
  <c r="R32" i="22"/>
  <c r="T32" i="22" s="1"/>
  <c r="D32" i="22"/>
  <c r="F32" i="22" s="1"/>
  <c r="BH32" i="22"/>
  <c r="BJ32" i="22" s="1"/>
  <c r="Z18" i="22"/>
  <c r="L18" i="22"/>
  <c r="AU18" i="22"/>
  <c r="AG18" i="22"/>
  <c r="S18" i="22"/>
  <c r="AN18" i="22"/>
  <c r="BI18" i="22"/>
  <c r="BB18" i="22"/>
  <c r="E18" i="22"/>
  <c r="C13" i="18"/>
  <c r="B12" i="18"/>
  <c r="D13" i="18"/>
  <c r="D23" i="23"/>
  <c r="B25" i="23"/>
  <c r="C24" i="23"/>
  <c r="B13" i="3"/>
  <c r="G14" i="3"/>
  <c r="Y13" i="18"/>
  <c r="Y14" i="3"/>
  <c r="X14" i="3"/>
  <c r="O13" i="18"/>
  <c r="T14" i="3"/>
  <c r="I24" i="23"/>
  <c r="Q24" i="23" a="1"/>
  <c r="E24" i="23"/>
  <c r="K13" i="18"/>
  <c r="K14" i="3"/>
  <c r="W24" i="23"/>
  <c r="Q13" i="18"/>
  <c r="Z23" i="23" a="1"/>
  <c r="U24" i="23"/>
  <c r="W13" i="18"/>
  <c r="I14" i="3"/>
  <c r="S13" i="18"/>
  <c r="U14" i="3"/>
  <c r="V23" i="23"/>
  <c r="J13" i="18"/>
  <c r="T13" i="18"/>
  <c r="U13" i="18"/>
  <c r="M13" i="18"/>
  <c r="P13" i="18"/>
  <c r="F13" i="18"/>
  <c r="L14" i="3"/>
  <c r="E14" i="3"/>
  <c r="T23" i="23"/>
  <c r="Y24" i="23" a="1"/>
  <c r="O14" i="3"/>
  <c r="Q14" i="3"/>
  <c r="F14" i="3"/>
  <c r="N14" i="3"/>
  <c r="X23" i="23"/>
  <c r="R14" i="3"/>
  <c r="H13" i="18"/>
  <c r="AB14" i="3"/>
  <c r="H23" i="23"/>
  <c r="Z14" i="3"/>
  <c r="AA14" i="3"/>
  <c r="M14" i="3"/>
  <c r="F23" i="23"/>
  <c r="V14" i="3"/>
  <c r="L23" i="23"/>
  <c r="K24" i="23"/>
  <c r="X13" i="18"/>
  <c r="R23" i="23" a="1"/>
  <c r="J23" i="23"/>
  <c r="P23" i="23"/>
  <c r="W14" i="3"/>
  <c r="V13" i="18"/>
  <c r="H14" i="3"/>
  <c r="P14" i="3"/>
  <c r="Z13" i="18"/>
  <c r="I13" i="18"/>
  <c r="N23" i="23"/>
  <c r="G24" i="23"/>
  <c r="R13" i="18"/>
  <c r="G13" i="18"/>
  <c r="N13" i="18"/>
  <c r="S14" i="3"/>
  <c r="E13" i="18"/>
  <c r="L13" i="18"/>
  <c r="S24" i="23"/>
  <c r="M24" i="23"/>
  <c r="O24" i="23"/>
  <c r="J14" i="3"/>
  <c r="BI19" i="48" l="1"/>
  <c r="BE19" i="48"/>
  <c r="BF19" i="48"/>
  <c r="BA19" i="48"/>
  <c r="AW19" i="48"/>
  <c r="AX19" i="48"/>
  <c r="AS19" i="48"/>
  <c r="AT19" i="48"/>
  <c r="AO19" i="48"/>
  <c r="AP19" i="48"/>
  <c r="W20" i="48"/>
  <c r="X20" i="48"/>
  <c r="T20" i="48"/>
  <c r="S20" i="48"/>
  <c r="P20" i="48"/>
  <c r="O20" i="48"/>
  <c r="K20" i="48"/>
  <c r="L20" i="48"/>
  <c r="BP16" i="22"/>
  <c r="BP17" i="22"/>
  <c r="BS32" i="22"/>
  <c r="BR32" i="22"/>
  <c r="BR31" i="22"/>
  <c r="BS31" i="22"/>
  <c r="BO33" i="22" s="1"/>
  <c r="BQ33" i="22" s="1"/>
  <c r="BO34" i="22" s="1"/>
  <c r="BQ34" i="22" s="1"/>
  <c r="BQ19" i="30"/>
  <c r="BQ18" i="30"/>
  <c r="AQ31" i="22"/>
  <c r="AP31" i="22"/>
  <c r="AQ32" i="22"/>
  <c r="AP32" i="22"/>
  <c r="AJ32" i="22"/>
  <c r="AI32" i="22"/>
  <c r="AJ31" i="22"/>
  <c r="AI31" i="22"/>
  <c r="AC32" i="22"/>
  <c r="AB32" i="22"/>
  <c r="AC31" i="22"/>
  <c r="AB31" i="22"/>
  <c r="V32" i="22"/>
  <c r="U32" i="22"/>
  <c r="V31" i="22"/>
  <c r="U31" i="22"/>
  <c r="O32" i="22"/>
  <c r="N32" i="22"/>
  <c r="O31" i="22"/>
  <c r="N31" i="22"/>
  <c r="H32" i="22"/>
  <c r="G32" i="22"/>
  <c r="H31" i="22"/>
  <c r="G31" i="22"/>
  <c r="AT34" i="22"/>
  <c r="AV34" i="22" s="1"/>
  <c r="BA33" i="22"/>
  <c r="BC33" i="22" s="1"/>
  <c r="BA34" i="22"/>
  <c r="BC34" i="22" s="1"/>
  <c r="AT33" i="22"/>
  <c r="AV33" i="22" s="1"/>
  <c r="BL32" i="22"/>
  <c r="BK32" i="22"/>
  <c r="BL31" i="22"/>
  <c r="BK31" i="22"/>
  <c r="AX32" i="22"/>
  <c r="AW32" i="22"/>
  <c r="AX31" i="22"/>
  <c r="AW31" i="22"/>
  <c r="BE32" i="22"/>
  <c r="BD32" i="22"/>
  <c r="BE31" i="22"/>
  <c r="BD31" i="22"/>
  <c r="E110" i="2"/>
  <c r="I99" i="2"/>
  <c r="J99" i="2" s="1"/>
  <c r="G110" i="2"/>
  <c r="K99" i="2"/>
  <c r="L99" i="2" s="1"/>
  <c r="C13" i="3"/>
  <c r="D13" i="3"/>
  <c r="AE18" i="30"/>
  <c r="W19" i="30"/>
  <c r="AS19" i="30"/>
  <c r="L18" i="30"/>
  <c r="AA18" i="30"/>
  <c r="BL19" i="30"/>
  <c r="S19" i="30"/>
  <c r="AA19" i="30"/>
  <c r="E19" i="30"/>
  <c r="E18" i="30"/>
  <c r="S18" i="30"/>
  <c r="BL18" i="30"/>
  <c r="AE19" i="30"/>
  <c r="W18" i="30"/>
  <c r="AX19" i="30"/>
  <c r="AL19" i="30"/>
  <c r="AX18" i="30"/>
  <c r="BE19" i="30"/>
  <c r="AS18" i="30"/>
  <c r="BE18" i="30"/>
  <c r="L19" i="30"/>
  <c r="AL18" i="30"/>
  <c r="K33" i="22"/>
  <c r="M33" i="22" s="1"/>
  <c r="BH33" i="22"/>
  <c r="BJ33" i="22" s="1"/>
  <c r="D33" i="22"/>
  <c r="F33" i="22" s="1"/>
  <c r="AF33" i="22"/>
  <c r="AH33" i="22" s="1"/>
  <c r="AM33" i="22"/>
  <c r="AO33" i="22" s="1"/>
  <c r="Y33" i="22"/>
  <c r="AA33" i="22" s="1"/>
  <c r="R33" i="22"/>
  <c r="T33" i="22" s="1"/>
  <c r="L17" i="22"/>
  <c r="BB17" i="22"/>
  <c r="S17" i="22"/>
  <c r="AN17" i="22"/>
  <c r="Z17" i="22"/>
  <c r="AG17" i="22"/>
  <c r="AU17" i="22"/>
  <c r="BI17" i="22"/>
  <c r="E17" i="22"/>
  <c r="D34" i="22"/>
  <c r="F34" i="22" s="1"/>
  <c r="AF34" i="22"/>
  <c r="AH34" i="22" s="1"/>
  <c r="AM34" i="22"/>
  <c r="AO34" i="22" s="1"/>
  <c r="Y34" i="22"/>
  <c r="AA34" i="22" s="1"/>
  <c r="K34" i="22"/>
  <c r="M34" i="22" s="1"/>
  <c r="R34" i="22"/>
  <c r="T34" i="22" s="1"/>
  <c r="BH34" i="22"/>
  <c r="BJ34" i="22" s="1"/>
  <c r="S16" i="22"/>
  <c r="BB16" i="22"/>
  <c r="AN16" i="22"/>
  <c r="BI16" i="22"/>
  <c r="E16" i="22"/>
  <c r="Z16" i="22"/>
  <c r="AU16" i="22"/>
  <c r="AG16" i="22"/>
  <c r="L16" i="22"/>
  <c r="B11" i="18"/>
  <c r="D12" i="18"/>
  <c r="C12" i="18"/>
  <c r="D24" i="23"/>
  <c r="B26" i="23"/>
  <c r="C25" i="23"/>
  <c r="B12" i="3"/>
  <c r="K13" i="3"/>
  <c r="H12" i="18"/>
  <c r="F12" i="18"/>
  <c r="Y25" i="23" a="1"/>
  <c r="G25" i="23"/>
  <c r="M25" i="23"/>
  <c r="J12" i="18"/>
  <c r="M12" i="18"/>
  <c r="Z24" i="23" a="1"/>
  <c r="S25" i="23"/>
  <c r="Z12" i="18"/>
  <c r="AA13" i="3"/>
  <c r="U12" i="18"/>
  <c r="T24" i="23"/>
  <c r="W12" i="18"/>
  <c r="U25" i="23"/>
  <c r="W25" i="23"/>
  <c r="L13" i="3"/>
  <c r="X24" i="23"/>
  <c r="P24" i="23"/>
  <c r="Z13" i="3"/>
  <c r="K12" i="18"/>
  <c r="L12" i="18"/>
  <c r="Q12" i="18"/>
  <c r="J13" i="3"/>
  <c r="Q13" i="3"/>
  <c r="I12" i="18"/>
  <c r="I25" i="23"/>
  <c r="I13" i="3"/>
  <c r="X12" i="18"/>
  <c r="U13" i="3"/>
  <c r="E13" i="3"/>
  <c r="S13" i="3"/>
  <c r="T12" i="18"/>
  <c r="O12" i="18"/>
  <c r="Q25" i="23" a="1"/>
  <c r="H24" i="23"/>
  <c r="P13" i="3"/>
  <c r="E25" i="23"/>
  <c r="F13" i="3"/>
  <c r="V24" i="23"/>
  <c r="N12" i="18"/>
  <c r="W13" i="3"/>
  <c r="F24" i="23"/>
  <c r="H13" i="3"/>
  <c r="K25" i="23"/>
  <c r="M13" i="3"/>
  <c r="P12" i="18"/>
  <c r="O13" i="3"/>
  <c r="G13" i="3"/>
  <c r="AB13" i="3"/>
  <c r="V12" i="18"/>
  <c r="Y12" i="18"/>
  <c r="G12" i="18"/>
  <c r="O25" i="23"/>
  <c r="X13" i="3"/>
  <c r="T13" i="3"/>
  <c r="N13" i="3"/>
  <c r="S12" i="18"/>
  <c r="Y13" i="3"/>
  <c r="J24" i="23"/>
  <c r="R12" i="18"/>
  <c r="R13" i="3"/>
  <c r="R24" i="23" a="1"/>
  <c r="N24" i="23"/>
  <c r="L24" i="23"/>
  <c r="E12" i="18"/>
  <c r="V13" i="3"/>
  <c r="BI20" i="48" l="1"/>
  <c r="BE20" i="48"/>
  <c r="BF20" i="48"/>
  <c r="BA20" i="48"/>
  <c r="AW20" i="48"/>
  <c r="AX20" i="48"/>
  <c r="AS20" i="48"/>
  <c r="AT20" i="48"/>
  <c r="AO20" i="48"/>
  <c r="AP20" i="48"/>
  <c r="W21" i="48"/>
  <c r="X21" i="48"/>
  <c r="T21" i="48"/>
  <c r="S21" i="48"/>
  <c r="P21" i="48"/>
  <c r="O21" i="48"/>
  <c r="L21" i="48"/>
  <c r="K21" i="48"/>
  <c r="BP14" i="22"/>
  <c r="BP15" i="22"/>
  <c r="BS33" i="22"/>
  <c r="BR33" i="22"/>
  <c r="BS34" i="22"/>
  <c r="BR34" i="22"/>
  <c r="BO35" i="22" s="1"/>
  <c r="BQ35" i="22" s="1"/>
  <c r="BO36" i="22" s="1"/>
  <c r="BQ36" i="22" s="1"/>
  <c r="BQ17" i="30"/>
  <c r="BQ16" i="30"/>
  <c r="AQ34" i="22"/>
  <c r="AP34" i="22"/>
  <c r="AQ33" i="22"/>
  <c r="AP33" i="22"/>
  <c r="AJ34" i="22"/>
  <c r="AI34" i="22"/>
  <c r="AJ33" i="22"/>
  <c r="AI33" i="22"/>
  <c r="AC34" i="22"/>
  <c r="AB34" i="22"/>
  <c r="AC33" i="22"/>
  <c r="AB33" i="22"/>
  <c r="V34" i="22"/>
  <c r="U34" i="22"/>
  <c r="V33" i="22"/>
  <c r="U33" i="22"/>
  <c r="O34" i="22"/>
  <c r="N34" i="22"/>
  <c r="O33" i="22"/>
  <c r="N33" i="22"/>
  <c r="H34" i="22"/>
  <c r="G34" i="22"/>
  <c r="H33" i="22"/>
  <c r="G33" i="22"/>
  <c r="AT36" i="22"/>
  <c r="AV36" i="22" s="1"/>
  <c r="BA36" i="22"/>
  <c r="BC36" i="22" s="1"/>
  <c r="AT35" i="22"/>
  <c r="AV35" i="22" s="1"/>
  <c r="BA35" i="22"/>
  <c r="BC35" i="22" s="1"/>
  <c r="AX34" i="22"/>
  <c r="AW34" i="22"/>
  <c r="BL34" i="22"/>
  <c r="BK34" i="22"/>
  <c r="BL33" i="22"/>
  <c r="BK33" i="22"/>
  <c r="AX33" i="22"/>
  <c r="AW33" i="22"/>
  <c r="BE34" i="22"/>
  <c r="BD34" i="22"/>
  <c r="BE33" i="22"/>
  <c r="BD33" i="22"/>
  <c r="C12" i="3"/>
  <c r="D12" i="3"/>
  <c r="E16" i="30"/>
  <c r="W16" i="30"/>
  <c r="AE16" i="30"/>
  <c r="S16" i="30"/>
  <c r="BE17" i="30"/>
  <c r="AX16" i="30"/>
  <c r="E17" i="30"/>
  <c r="AL16" i="30"/>
  <c r="W17" i="30"/>
  <c r="L17" i="30"/>
  <c r="BL16" i="30"/>
  <c r="BE16" i="30"/>
  <c r="L16" i="30"/>
  <c r="AL17" i="30"/>
  <c r="AS16" i="30"/>
  <c r="AS17" i="30"/>
  <c r="AE17" i="30"/>
  <c r="BL17" i="30"/>
  <c r="AX17" i="30"/>
  <c r="AA17" i="30"/>
  <c r="S17" i="30"/>
  <c r="AA16" i="30"/>
  <c r="AF35" i="22"/>
  <c r="AH35" i="22" s="1"/>
  <c r="BH35" i="22"/>
  <c r="BJ35" i="22" s="1"/>
  <c r="D35" i="22"/>
  <c r="F35" i="22" s="1"/>
  <c r="K35" i="22"/>
  <c r="M35" i="22" s="1"/>
  <c r="Y35" i="22"/>
  <c r="AA35" i="22" s="1"/>
  <c r="R35" i="22"/>
  <c r="T35" i="22" s="1"/>
  <c r="AM35" i="22"/>
  <c r="AO35" i="22" s="1"/>
  <c r="AU14" i="22"/>
  <c r="BI14" i="22"/>
  <c r="Z14" i="22"/>
  <c r="S14" i="22"/>
  <c r="E14" i="22"/>
  <c r="BB14" i="22"/>
  <c r="AN14" i="22"/>
  <c r="L14" i="22"/>
  <c r="AG14" i="22"/>
  <c r="K36" i="22"/>
  <c r="M36" i="22" s="1"/>
  <c r="Y36" i="22"/>
  <c r="AA36" i="22" s="1"/>
  <c r="AF36" i="22"/>
  <c r="AH36" i="22" s="1"/>
  <c r="BH36" i="22"/>
  <c r="BJ36" i="22" s="1"/>
  <c r="D36" i="22"/>
  <c r="F36" i="22" s="1"/>
  <c r="R36" i="22"/>
  <c r="T36" i="22" s="1"/>
  <c r="AM36" i="22"/>
  <c r="AO36" i="22" s="1"/>
  <c r="AG15" i="22"/>
  <c r="BI15" i="22"/>
  <c r="S15" i="22"/>
  <c r="E15" i="22"/>
  <c r="AN15" i="22"/>
  <c r="AU15" i="22"/>
  <c r="L15" i="22"/>
  <c r="Z15" i="22"/>
  <c r="BB15" i="22"/>
  <c r="D25" i="23"/>
  <c r="C26" i="23"/>
  <c r="B27" i="23"/>
  <c r="D11" i="18"/>
  <c r="C11" i="18"/>
  <c r="B10" i="18"/>
  <c r="B11" i="3"/>
  <c r="R25" i="23" a="1"/>
  <c r="E11" i="18"/>
  <c r="H12" i="3"/>
  <c r="M26" i="23"/>
  <c r="I26" i="23"/>
  <c r="I12" i="3"/>
  <c r="AB12" i="3"/>
  <c r="U11" i="18"/>
  <c r="P12" i="3"/>
  <c r="W26" i="23"/>
  <c r="X25" i="23"/>
  <c r="K11" i="18"/>
  <c r="T12" i="3"/>
  <c r="V12" i="3"/>
  <c r="F25" i="23"/>
  <c r="Q26" i="23" a="1"/>
  <c r="I11" i="18"/>
  <c r="V25" i="23"/>
  <c r="J25" i="23"/>
  <c r="Y11" i="18"/>
  <c r="N25" i="23"/>
  <c r="K26" i="23"/>
  <c r="U26" i="23"/>
  <c r="M11" i="18"/>
  <c r="E12" i="3"/>
  <c r="Z25" i="23" a="1"/>
  <c r="F11" i="18"/>
  <c r="T11" i="18"/>
  <c r="R11" i="18"/>
  <c r="M12" i="3"/>
  <c r="T25" i="23"/>
  <c r="W12" i="3"/>
  <c r="J12" i="3"/>
  <c r="O11" i="18"/>
  <c r="X12" i="3"/>
  <c r="X11" i="18"/>
  <c r="O26" i="23"/>
  <c r="G26" i="23"/>
  <c r="K12" i="3"/>
  <c r="S12" i="3"/>
  <c r="Q12" i="3"/>
  <c r="V11" i="18"/>
  <c r="P11" i="18"/>
  <c r="J11" i="18"/>
  <c r="W11" i="18"/>
  <c r="S11" i="18"/>
  <c r="G12" i="3"/>
  <c r="L12" i="3"/>
  <c r="L25" i="23"/>
  <c r="Z11" i="18"/>
  <c r="Q11" i="18"/>
  <c r="L11" i="18"/>
  <c r="H11" i="18"/>
  <c r="U12" i="3"/>
  <c r="H25" i="23"/>
  <c r="Z12" i="3"/>
  <c r="Y12" i="3"/>
  <c r="G11" i="18"/>
  <c r="Y26" i="23" a="1"/>
  <c r="P25" i="23"/>
  <c r="E26" i="23"/>
  <c r="AA12" i="3"/>
  <c r="F12" i="3"/>
  <c r="S26" i="23"/>
  <c r="N12" i="3"/>
  <c r="O12" i="3"/>
  <c r="N11" i="18"/>
  <c r="R12" i="3"/>
  <c r="BI21" i="48" l="1"/>
  <c r="BE21" i="48"/>
  <c r="BF21" i="48"/>
  <c r="BA21" i="48"/>
  <c r="AX21" i="48"/>
  <c r="AW21" i="48"/>
  <c r="AT21" i="48"/>
  <c r="AS21" i="48"/>
  <c r="AO21" i="48"/>
  <c r="AP21" i="48"/>
  <c r="W22" i="48"/>
  <c r="X22" i="48"/>
  <c r="T22" i="48"/>
  <c r="S22" i="48"/>
  <c r="P22" i="48"/>
  <c r="O22" i="48"/>
  <c r="L22" i="48"/>
  <c r="K22" i="48"/>
  <c r="BP13" i="22"/>
  <c r="BP12" i="22"/>
  <c r="BR36" i="22"/>
  <c r="BS36" i="22"/>
  <c r="BR35" i="22"/>
  <c r="BS35" i="22"/>
  <c r="BO37" i="22" s="1"/>
  <c r="BQ37" i="22" s="1"/>
  <c r="BO38" i="22" s="1"/>
  <c r="BQ38" i="22" s="1"/>
  <c r="BQ15" i="30"/>
  <c r="BR15" i="30" s="1"/>
  <c r="BQ14" i="30"/>
  <c r="AQ35" i="22"/>
  <c r="AP35" i="22"/>
  <c r="AQ36" i="22"/>
  <c r="AP36" i="22"/>
  <c r="AJ36" i="22"/>
  <c r="AI36" i="22"/>
  <c r="AJ35" i="22"/>
  <c r="AI35" i="22"/>
  <c r="AC36" i="22"/>
  <c r="AB36" i="22"/>
  <c r="AC35" i="22"/>
  <c r="AB35" i="22"/>
  <c r="V35" i="22"/>
  <c r="U35" i="22"/>
  <c r="V36" i="22"/>
  <c r="U36" i="22"/>
  <c r="O36" i="22"/>
  <c r="N36" i="22"/>
  <c r="O35" i="22"/>
  <c r="N35" i="22"/>
  <c r="H36" i="22"/>
  <c r="G36" i="22"/>
  <c r="H35" i="22"/>
  <c r="G35" i="22"/>
  <c r="BA37" i="22"/>
  <c r="BC37" i="22" s="1"/>
  <c r="AT37" i="22"/>
  <c r="AV37" i="22" s="1"/>
  <c r="BA38" i="22"/>
  <c r="BC38" i="22" s="1"/>
  <c r="AT38" i="22"/>
  <c r="AV38" i="22" s="1"/>
  <c r="AX36" i="22"/>
  <c r="AW36" i="22"/>
  <c r="AX35" i="22"/>
  <c r="AW35" i="22"/>
  <c r="BL36" i="22"/>
  <c r="BK36" i="22"/>
  <c r="BL35" i="22"/>
  <c r="BK35" i="22"/>
  <c r="BE35" i="22"/>
  <c r="BD35" i="22"/>
  <c r="BE36" i="22"/>
  <c r="BD36" i="22"/>
  <c r="D11" i="3"/>
  <c r="C11" i="3"/>
  <c r="AS15" i="30"/>
  <c r="L14" i="30"/>
  <c r="E14" i="30"/>
  <c r="AA15" i="30"/>
  <c r="AX14" i="30"/>
  <c r="L15" i="30"/>
  <c r="BE14" i="30"/>
  <c r="AE14" i="30"/>
  <c r="AA14" i="30"/>
  <c r="AX15" i="30"/>
  <c r="AL15" i="30"/>
  <c r="W14" i="30"/>
  <c r="BE15" i="30"/>
  <c r="W15" i="30"/>
  <c r="BL15" i="30"/>
  <c r="S14" i="30"/>
  <c r="AS14" i="30"/>
  <c r="E15" i="30"/>
  <c r="AL14" i="30"/>
  <c r="S15" i="30"/>
  <c r="BL14" i="30"/>
  <c r="AE15" i="30"/>
  <c r="E13" i="22"/>
  <c r="AG13" i="22"/>
  <c r="S13" i="22"/>
  <c r="BB13" i="22"/>
  <c r="Z13" i="22"/>
  <c r="AU13" i="22"/>
  <c r="BI13" i="22"/>
  <c r="L13" i="22"/>
  <c r="AN13" i="22"/>
  <c r="AM38" i="22"/>
  <c r="AO38" i="22" s="1"/>
  <c r="BH38" i="22"/>
  <c r="BJ38" i="22" s="1"/>
  <c r="D38" i="22"/>
  <c r="F38" i="22" s="1"/>
  <c r="AF38" i="22"/>
  <c r="AH38" i="22" s="1"/>
  <c r="K38" i="22"/>
  <c r="M38" i="22" s="1"/>
  <c r="R38" i="22"/>
  <c r="T38" i="22" s="1"/>
  <c r="Y38" i="22"/>
  <c r="AA38" i="22" s="1"/>
  <c r="BI12" i="22"/>
  <c r="Z12" i="22"/>
  <c r="S12" i="22"/>
  <c r="E12" i="22"/>
  <c r="BB12" i="22"/>
  <c r="AN12" i="22"/>
  <c r="AU12" i="22"/>
  <c r="AG12" i="22"/>
  <c r="L12" i="22"/>
  <c r="AF37" i="22"/>
  <c r="AH37" i="22" s="1"/>
  <c r="K37" i="22"/>
  <c r="M37" i="22" s="1"/>
  <c r="R37" i="22"/>
  <c r="T37" i="22" s="1"/>
  <c r="AM37" i="22"/>
  <c r="AO37" i="22" s="1"/>
  <c r="Y37" i="22"/>
  <c r="AA37" i="22" s="1"/>
  <c r="D37" i="22"/>
  <c r="F37" i="22" s="1"/>
  <c r="BH37" i="22"/>
  <c r="BJ37" i="22" s="1"/>
  <c r="C27" i="23"/>
  <c r="B28" i="23"/>
  <c r="C28" i="23" s="1"/>
  <c r="D26" i="23"/>
  <c r="D10" i="18"/>
  <c r="C10" i="18"/>
  <c r="B9" i="18"/>
  <c r="B10" i="3"/>
  <c r="J26" i="23"/>
  <c r="T11" i="3"/>
  <c r="E10" i="18"/>
  <c r="U27" i="23"/>
  <c r="G10" i="18"/>
  <c r="K10" i="18"/>
  <c r="V10" i="18"/>
  <c r="V26" i="23"/>
  <c r="L10" i="18"/>
  <c r="F10" i="18"/>
  <c r="W10" i="18"/>
  <c r="G28" i="23"/>
  <c r="I27" i="23"/>
  <c r="J10" i="18"/>
  <c r="Q27" i="23" a="1"/>
  <c r="S28" i="23"/>
  <c r="S27" i="23"/>
  <c r="P11" i="3"/>
  <c r="K27" i="23"/>
  <c r="X10" i="18"/>
  <c r="M10" i="18"/>
  <c r="G11" i="3"/>
  <c r="Q11" i="3"/>
  <c r="K28" i="23"/>
  <c r="O27" i="23"/>
  <c r="G27" i="23"/>
  <c r="O11" i="3"/>
  <c r="X26" i="23"/>
  <c r="U28" i="23"/>
  <c r="U11" i="3"/>
  <c r="W28" i="23"/>
  <c r="M27" i="23"/>
  <c r="X11" i="3"/>
  <c r="P26" i="23"/>
  <c r="T10" i="18"/>
  <c r="Y10" i="18"/>
  <c r="H10" i="18"/>
  <c r="N10" i="18"/>
  <c r="S11" i="3"/>
  <c r="V11" i="3"/>
  <c r="H11" i="3"/>
  <c r="R26" i="23" a="1"/>
  <c r="T26" i="23"/>
  <c r="L26" i="23"/>
  <c r="Y27" i="23" a="1"/>
  <c r="E27" i="23"/>
  <c r="W11" i="3"/>
  <c r="N11" i="3"/>
  <c r="N26" i="23"/>
  <c r="H26" i="23"/>
  <c r="Z26" i="23" a="1"/>
  <c r="K11" i="3"/>
  <c r="R10" i="18"/>
  <c r="F26" i="23"/>
  <c r="Y11" i="3"/>
  <c r="Z11" i="3"/>
  <c r="O10" i="18"/>
  <c r="S10" i="18"/>
  <c r="J11" i="3"/>
  <c r="F11" i="3"/>
  <c r="R11" i="3"/>
  <c r="L11" i="3"/>
  <c r="AB11" i="3"/>
  <c r="I11" i="3"/>
  <c r="AA11" i="3"/>
  <c r="P10" i="18"/>
  <c r="U10" i="18"/>
  <c r="I28" i="23"/>
  <c r="W27" i="23"/>
  <c r="Q10" i="18"/>
  <c r="M28" i="23"/>
  <c r="M11" i="3"/>
  <c r="O28" i="23"/>
  <c r="Z10" i="18"/>
  <c r="I10" i="18"/>
  <c r="E11" i="3"/>
  <c r="E28" i="23"/>
  <c r="BI22" i="48" l="1"/>
  <c r="BE22" i="48"/>
  <c r="BF22" i="48"/>
  <c r="BA22" i="48"/>
  <c r="AX22" i="48"/>
  <c r="AW22" i="48"/>
  <c r="AS22" i="48"/>
  <c r="AT22" i="48"/>
  <c r="AP22" i="48"/>
  <c r="AO22" i="48"/>
  <c r="X23" i="48"/>
  <c r="W23" i="48"/>
  <c r="W24" i="48"/>
  <c r="X24" i="48"/>
  <c r="T24" i="48"/>
  <c r="S24" i="48"/>
  <c r="T23" i="48"/>
  <c r="S23" i="48"/>
  <c r="P23" i="48"/>
  <c r="O23" i="48"/>
  <c r="O24" i="48"/>
  <c r="P24" i="48"/>
  <c r="L24" i="48"/>
  <c r="K24" i="48"/>
  <c r="L23" i="48"/>
  <c r="K23" i="48"/>
  <c r="BP11" i="22"/>
  <c r="BR38" i="22"/>
  <c r="BS38" i="22"/>
  <c r="BS37" i="22"/>
  <c r="BR37" i="22"/>
  <c r="BP10" i="22"/>
  <c r="BO39" i="22" s="1"/>
  <c r="BQ39" i="22" s="1"/>
  <c r="BO40" i="22" s="1"/>
  <c r="BQ40" i="22" s="1"/>
  <c r="BQ13" i="30"/>
  <c r="BQ12" i="30"/>
  <c r="AQ38" i="22"/>
  <c r="AP38" i="22"/>
  <c r="AQ37" i="22"/>
  <c r="AP37" i="22"/>
  <c r="AJ37" i="22"/>
  <c r="AI37" i="22"/>
  <c r="AJ38" i="22"/>
  <c r="AI38" i="22"/>
  <c r="AC37" i="22"/>
  <c r="AB37" i="22"/>
  <c r="AC38" i="22"/>
  <c r="AB38" i="22"/>
  <c r="V37" i="22"/>
  <c r="U37" i="22"/>
  <c r="V38" i="22"/>
  <c r="U38" i="22"/>
  <c r="O37" i="22"/>
  <c r="N37" i="22"/>
  <c r="O38" i="22"/>
  <c r="N38" i="22"/>
  <c r="H37" i="22"/>
  <c r="G37" i="22"/>
  <c r="H38" i="22"/>
  <c r="G38" i="22"/>
  <c r="BA39" i="22"/>
  <c r="BC39" i="22" s="1"/>
  <c r="AT40" i="22"/>
  <c r="AV40" i="22" s="1"/>
  <c r="AT39" i="22"/>
  <c r="AV39" i="22" s="1"/>
  <c r="BA40" i="22"/>
  <c r="BC40" i="22" s="1"/>
  <c r="AT42" i="22"/>
  <c r="AV42" i="22" s="1"/>
  <c r="BA42" i="22"/>
  <c r="BC42" i="22" s="1"/>
  <c r="AX38" i="22"/>
  <c r="AW38" i="22"/>
  <c r="BL38" i="22"/>
  <c r="BK38" i="22"/>
  <c r="AX37" i="22"/>
  <c r="AW37" i="22"/>
  <c r="BL37" i="22"/>
  <c r="BK37" i="22"/>
  <c r="BE37" i="22"/>
  <c r="BD37" i="22"/>
  <c r="BE38" i="22"/>
  <c r="BD38" i="22"/>
  <c r="D10" i="3"/>
  <c r="C10" i="3"/>
  <c r="E13" i="30"/>
  <c r="S12" i="30"/>
  <c r="AA13" i="30"/>
  <c r="L13" i="30"/>
  <c r="S13" i="30"/>
  <c r="AS13" i="30"/>
  <c r="BL13" i="30"/>
  <c r="AE12" i="30"/>
  <c r="AX13" i="30"/>
  <c r="AX12" i="30"/>
  <c r="L12" i="30"/>
  <c r="BE12" i="30"/>
  <c r="AL12" i="30"/>
  <c r="AA12" i="30"/>
  <c r="W12" i="30"/>
  <c r="BE13" i="30"/>
  <c r="AS12" i="30"/>
  <c r="E12" i="30"/>
  <c r="AE13" i="30"/>
  <c r="W13" i="30"/>
  <c r="AL13" i="30"/>
  <c r="BL12" i="30"/>
  <c r="BB11" i="22"/>
  <c r="AU11" i="22"/>
  <c r="AN11" i="22"/>
  <c r="AG11" i="22"/>
  <c r="L11" i="22"/>
  <c r="E11" i="22"/>
  <c r="S11" i="22"/>
  <c r="Z11" i="22"/>
  <c r="BI11" i="22"/>
  <c r="R39" i="22"/>
  <c r="T39" i="22" s="1"/>
  <c r="D39" i="22"/>
  <c r="F39" i="22" s="1"/>
  <c r="K39" i="22"/>
  <c r="M39" i="22" s="1"/>
  <c r="AM39" i="22"/>
  <c r="AO39" i="22" s="1"/>
  <c r="AF39" i="22"/>
  <c r="AH39" i="22" s="1"/>
  <c r="Y39" i="22"/>
  <c r="AA39" i="22" s="1"/>
  <c r="BH39" i="22"/>
  <c r="BJ39" i="22" s="1"/>
  <c r="BH42" i="22"/>
  <c r="BJ42" i="22" s="1"/>
  <c r="R42" i="22"/>
  <c r="T42" i="22" s="1"/>
  <c r="K42" i="22"/>
  <c r="M42" i="22" s="1"/>
  <c r="AM42" i="22"/>
  <c r="AO42" i="22" s="1"/>
  <c r="AF42" i="22"/>
  <c r="AH42" i="22" s="1"/>
  <c r="Y42" i="22"/>
  <c r="AA42" i="22" s="1"/>
  <c r="D42" i="22"/>
  <c r="F42" i="22" s="1"/>
  <c r="AN10" i="22"/>
  <c r="E10" i="22"/>
  <c r="AU10" i="22"/>
  <c r="BI10" i="22"/>
  <c r="S10" i="22"/>
  <c r="AG10" i="22"/>
  <c r="L10" i="22"/>
  <c r="Z10" i="22"/>
  <c r="BB10" i="22"/>
  <c r="D40" i="22"/>
  <c r="F40" i="22" s="1"/>
  <c r="BH40" i="22"/>
  <c r="BJ40" i="22" s="1"/>
  <c r="AF40" i="22"/>
  <c r="AH40" i="22" s="1"/>
  <c r="Y40" i="22"/>
  <c r="AA40" i="22" s="1"/>
  <c r="K40" i="22"/>
  <c r="M40" i="22" s="1"/>
  <c r="AM40" i="22"/>
  <c r="AO40" i="22" s="1"/>
  <c r="R40" i="22"/>
  <c r="T40" i="22" s="1"/>
  <c r="D9" i="18"/>
  <c r="B8" i="18"/>
  <c r="C9" i="18"/>
  <c r="D28" i="23"/>
  <c r="D27" i="23"/>
  <c r="B9" i="3"/>
  <c r="P27" i="23"/>
  <c r="P9" i="18"/>
  <c r="X28" i="23"/>
  <c r="R28" i="23" a="1"/>
  <c r="E9" i="18"/>
  <c r="V10" i="3"/>
  <c r="G10" i="3"/>
  <c r="S9" i="18"/>
  <c r="Y29" i="23" a="1"/>
  <c r="W9" i="18"/>
  <c r="Y28" i="23" a="1"/>
  <c r="Y10" i="3"/>
  <c r="E10" i="3"/>
  <c r="V27" i="23"/>
  <c r="F10" i="3"/>
  <c r="J9" i="18"/>
  <c r="T27" i="23"/>
  <c r="N27" i="23"/>
  <c r="Z27" i="23" a="1"/>
  <c r="H27" i="23"/>
  <c r="F9" i="18"/>
  <c r="M9" i="18"/>
  <c r="Q28" i="23" a="1"/>
  <c r="J28" i="23"/>
  <c r="U9" i="18"/>
  <c r="Q9" i="18"/>
  <c r="G9" i="18"/>
  <c r="J27" i="23"/>
  <c r="L9" i="18"/>
  <c r="L10" i="3"/>
  <c r="X9" i="18"/>
  <c r="T9" i="18"/>
  <c r="F28" i="23"/>
  <c r="T28" i="23"/>
  <c r="H10" i="3"/>
  <c r="Q29" i="23" a="1"/>
  <c r="N28" i="23"/>
  <c r="N9" i="18"/>
  <c r="AB10" i="3"/>
  <c r="R9" i="18"/>
  <c r="H9" i="18"/>
  <c r="R27" i="23" a="1"/>
  <c r="P10" i="3"/>
  <c r="K10" i="3"/>
  <c r="V9" i="18"/>
  <c r="H28" i="23"/>
  <c r="X27" i="23"/>
  <c r="K9" i="18"/>
  <c r="N10" i="3"/>
  <c r="V28" i="23"/>
  <c r="Q10" i="3"/>
  <c r="P28" i="23"/>
  <c r="O10" i="3"/>
  <c r="X10" i="3"/>
  <c r="O9" i="18"/>
  <c r="M10" i="3"/>
  <c r="Y9" i="18"/>
  <c r="AA10" i="3"/>
  <c r="R10" i="3"/>
  <c r="L28" i="23"/>
  <c r="I9" i="18"/>
  <c r="U10" i="3"/>
  <c r="Z10" i="3"/>
  <c r="Z9" i="18"/>
  <c r="W10" i="3"/>
  <c r="T10" i="3"/>
  <c r="F27" i="23"/>
  <c r="J10" i="3"/>
  <c r="L27" i="23"/>
  <c r="I10" i="3"/>
  <c r="S10" i="3"/>
  <c r="Z28" i="23" a="1"/>
  <c r="BI24" i="48" l="1"/>
  <c r="BI23" i="48"/>
  <c r="BE24" i="48"/>
  <c r="BF24" i="48"/>
  <c r="BF23" i="48"/>
  <c r="BE23" i="48"/>
  <c r="BA23" i="48"/>
  <c r="BA24" i="48"/>
  <c r="AX23" i="48"/>
  <c r="AW23" i="48"/>
  <c r="AX24" i="48"/>
  <c r="AW24" i="48"/>
  <c r="AT23" i="48"/>
  <c r="AS23" i="48"/>
  <c r="AS24" i="48"/>
  <c r="AT24" i="48"/>
  <c r="AO24" i="48"/>
  <c r="AP24" i="48"/>
  <c r="AO23" i="48"/>
  <c r="AP23" i="48"/>
  <c r="BP9" i="22"/>
  <c r="BR40" i="22"/>
  <c r="BS40" i="22"/>
  <c r="BS39" i="22"/>
  <c r="BR39" i="22"/>
  <c r="BP8" i="22"/>
  <c r="BO43" i="22" s="1"/>
  <c r="BQ43" i="22" s="1"/>
  <c r="BO41" i="22" s="1"/>
  <c r="BQ41" i="22" s="1"/>
  <c r="BO42" i="22" s="1"/>
  <c r="BQ42" i="22" s="1"/>
  <c r="BO44" i="22" s="1"/>
  <c r="BQ44" i="22" s="1"/>
  <c r="BQ11" i="30"/>
  <c r="BQ10" i="30"/>
  <c r="AQ40" i="22"/>
  <c r="AP40" i="22"/>
  <c r="AQ39" i="22"/>
  <c r="AP39" i="22"/>
  <c r="AQ42" i="22"/>
  <c r="AP42" i="22"/>
  <c r="AJ42" i="22"/>
  <c r="AI42" i="22"/>
  <c r="AJ39" i="22"/>
  <c r="AI39" i="22"/>
  <c r="AJ40" i="22"/>
  <c r="AI40" i="22"/>
  <c r="AC40" i="22"/>
  <c r="AB40" i="22"/>
  <c r="AC42" i="22"/>
  <c r="AB42" i="22"/>
  <c r="AC39" i="22"/>
  <c r="AB39" i="22"/>
  <c r="V40" i="22"/>
  <c r="U40" i="22"/>
  <c r="V42" i="22"/>
  <c r="U42" i="22"/>
  <c r="V39" i="22"/>
  <c r="U39" i="22"/>
  <c r="O40" i="22"/>
  <c r="N40" i="22"/>
  <c r="O42" i="22"/>
  <c r="N42" i="22"/>
  <c r="O39" i="22"/>
  <c r="N39" i="22"/>
  <c r="H40" i="22"/>
  <c r="G40" i="22"/>
  <c r="H42" i="22"/>
  <c r="G42" i="22"/>
  <c r="H39" i="22"/>
  <c r="G39" i="22"/>
  <c r="BA41" i="22"/>
  <c r="BC41" i="22" s="1"/>
  <c r="AT43" i="22"/>
  <c r="AV43" i="22" s="1"/>
  <c r="BA43" i="22"/>
  <c r="BC43" i="22" s="1"/>
  <c r="AT41" i="22"/>
  <c r="AV41" i="22" s="1"/>
  <c r="BL40" i="22"/>
  <c r="BK40" i="22"/>
  <c r="AX40" i="22"/>
  <c r="AW40" i="22"/>
  <c r="AX42" i="22"/>
  <c r="AW42" i="22"/>
  <c r="BL42" i="22"/>
  <c r="BK42" i="22"/>
  <c r="AX39" i="22"/>
  <c r="AW39" i="22"/>
  <c r="BL39" i="22"/>
  <c r="BK39" i="22"/>
  <c r="BE42" i="22"/>
  <c r="BD42" i="22"/>
  <c r="BE39" i="22"/>
  <c r="BD39" i="22"/>
  <c r="BE40" i="22"/>
  <c r="BD40" i="22"/>
  <c r="C9" i="3"/>
  <c r="D9" i="3"/>
  <c r="BL11" i="30"/>
  <c r="BE11" i="30"/>
  <c r="W11" i="30"/>
  <c r="AL11" i="30"/>
  <c r="BL10" i="30"/>
  <c r="L11" i="30"/>
  <c r="W10" i="30"/>
  <c r="AX11" i="30"/>
  <c r="AE11" i="30"/>
  <c r="E10" i="30"/>
  <c r="S10" i="30"/>
  <c r="AA11" i="30"/>
  <c r="L10" i="30"/>
  <c r="BE10" i="30"/>
  <c r="AS11" i="30"/>
  <c r="AL10" i="30"/>
  <c r="AE10" i="30"/>
  <c r="S11" i="30"/>
  <c r="E11" i="30"/>
  <c r="AX10" i="30"/>
  <c r="AS10" i="30"/>
  <c r="AA10" i="30"/>
  <c r="AN8" i="22"/>
  <c r="Z8" i="22"/>
  <c r="L8" i="22"/>
  <c r="AG8" i="22"/>
  <c r="E8" i="22"/>
  <c r="AU8" i="22"/>
  <c r="S8" i="22"/>
  <c r="BI8" i="22"/>
  <c r="BB8" i="22"/>
  <c r="L9" i="22"/>
  <c r="AN9" i="22"/>
  <c r="BB9" i="22"/>
  <c r="Z9" i="22"/>
  <c r="S9" i="22"/>
  <c r="E9" i="22"/>
  <c r="AU9" i="22"/>
  <c r="AG9" i="22"/>
  <c r="BI9" i="22"/>
  <c r="AM41" i="22"/>
  <c r="AO41" i="22" s="1"/>
  <c r="Y41" i="22"/>
  <c r="AA41" i="22" s="1"/>
  <c r="D41" i="22"/>
  <c r="F41" i="22" s="1"/>
  <c r="AF41" i="22"/>
  <c r="AH41" i="22" s="1"/>
  <c r="BH41" i="22"/>
  <c r="BJ41" i="22" s="1"/>
  <c r="R41" i="22"/>
  <c r="T41" i="22" s="1"/>
  <c r="K41" i="22"/>
  <c r="M41" i="22" s="1"/>
  <c r="AF43" i="22"/>
  <c r="AH43" i="22" s="1"/>
  <c r="BH43" i="22"/>
  <c r="BJ43" i="22" s="1"/>
  <c r="AM43" i="22"/>
  <c r="AO43" i="22" s="1"/>
  <c r="Y43" i="22"/>
  <c r="AA43" i="22" s="1"/>
  <c r="D43" i="22"/>
  <c r="F43" i="22" s="1"/>
  <c r="K43" i="22"/>
  <c r="M43" i="22" s="1"/>
  <c r="R43" i="22"/>
  <c r="T43" i="22" s="1"/>
  <c r="B10" i="23"/>
  <c r="B7" i="18"/>
  <c r="C8" i="18"/>
  <c r="D8" i="18"/>
  <c r="B8" i="3"/>
  <c r="T9" i="3"/>
  <c r="K8" i="18"/>
  <c r="O9" i="3"/>
  <c r="Q8" i="18"/>
  <c r="S8" i="18"/>
  <c r="AA9" i="3"/>
  <c r="Z9" i="3"/>
  <c r="N9" i="3"/>
  <c r="J8" i="18"/>
  <c r="R9" i="3"/>
  <c r="X9" i="3"/>
  <c r="L8" i="18"/>
  <c r="Q9" i="3"/>
  <c r="AB9" i="3"/>
  <c r="U9" i="3"/>
  <c r="I8" i="18"/>
  <c r="E8" i="18"/>
  <c r="X8" i="18"/>
  <c r="R8" i="18"/>
  <c r="G8" i="18"/>
  <c r="K9" i="3"/>
  <c r="Y9" i="3"/>
  <c r="S9" i="3"/>
  <c r="Y8" i="18"/>
  <c r="N8" i="18"/>
  <c r="T8" i="18"/>
  <c r="H9" i="3"/>
  <c r="V9" i="3"/>
  <c r="F8" i="18"/>
  <c r="I9" i="3"/>
  <c r="V8" i="18"/>
  <c r="L9" i="3"/>
  <c r="M8" i="18"/>
  <c r="Z8" i="18"/>
  <c r="M9" i="3"/>
  <c r="P8" i="18"/>
  <c r="F9" i="3"/>
  <c r="U8" i="18"/>
  <c r="E9" i="3"/>
  <c r="P9" i="3"/>
  <c r="G9" i="3"/>
  <c r="J9" i="3"/>
  <c r="W8" i="18"/>
  <c r="W9" i="3"/>
  <c r="O8" i="18"/>
  <c r="H8" i="18"/>
  <c r="BP7" i="22" l="1"/>
  <c r="BR44" i="22"/>
  <c r="BS44" i="22"/>
  <c r="BR42" i="22"/>
  <c r="BS42" i="22"/>
  <c r="BS41" i="22"/>
  <c r="BR41" i="22"/>
  <c r="BR43" i="22"/>
  <c r="BS43" i="22"/>
  <c r="BP6" i="22"/>
  <c r="BQ9" i="30"/>
  <c r="BQ8" i="30"/>
  <c r="AQ41" i="22"/>
  <c r="AP41" i="22"/>
  <c r="AQ43" i="22"/>
  <c r="AP43" i="22"/>
  <c r="AJ43" i="22"/>
  <c r="AI43" i="22"/>
  <c r="AJ41" i="22"/>
  <c r="AI41" i="22"/>
  <c r="AC41" i="22"/>
  <c r="AB41" i="22"/>
  <c r="AC43" i="22"/>
  <c r="AB43" i="22"/>
  <c r="V41" i="22"/>
  <c r="U41" i="22"/>
  <c r="V43" i="22"/>
  <c r="U43" i="22"/>
  <c r="O43" i="22"/>
  <c r="N43" i="22"/>
  <c r="O41" i="22"/>
  <c r="N41" i="22"/>
  <c r="H43" i="22"/>
  <c r="G43" i="22"/>
  <c r="H41" i="22"/>
  <c r="G41" i="22"/>
  <c r="BL41" i="22"/>
  <c r="BK41" i="22"/>
  <c r="AX43" i="22"/>
  <c r="AW43" i="22"/>
  <c r="BL43" i="22"/>
  <c r="BK43" i="22"/>
  <c r="AX41" i="22"/>
  <c r="AW41" i="22"/>
  <c r="BE41" i="22"/>
  <c r="BD41" i="22"/>
  <c r="BE43" i="22"/>
  <c r="BD43" i="22"/>
  <c r="C8" i="3"/>
  <c r="D8" i="3"/>
  <c r="AL8" i="30"/>
  <c r="BE9" i="30"/>
  <c r="E9" i="30"/>
  <c r="L9" i="30"/>
  <c r="L7" i="30"/>
  <c r="AE9" i="30"/>
  <c r="W8" i="30"/>
  <c r="AX9" i="30"/>
  <c r="AE8" i="30"/>
  <c r="E8" i="30"/>
  <c r="S9" i="30"/>
  <c r="AL9" i="30"/>
  <c r="BL8" i="30"/>
  <c r="AA8" i="30"/>
  <c r="BE8" i="30"/>
  <c r="S8" i="30"/>
  <c r="AS8" i="30"/>
  <c r="AA9" i="30"/>
  <c r="W9" i="30"/>
  <c r="AS9" i="30"/>
  <c r="L8" i="30"/>
  <c r="BL9" i="30"/>
  <c r="AX8" i="30"/>
  <c r="E7" i="22"/>
  <c r="BB7" i="22"/>
  <c r="AU7" i="22"/>
  <c r="Z7" i="22"/>
  <c r="AN7" i="22"/>
  <c r="S7" i="22"/>
  <c r="AG7" i="22"/>
  <c r="BI7" i="22"/>
  <c r="L7" i="22"/>
  <c r="S6" i="22"/>
  <c r="L6" i="22"/>
  <c r="BB6" i="22"/>
  <c r="AN6" i="22"/>
  <c r="E6" i="22"/>
  <c r="BI6" i="22"/>
  <c r="Z6" i="22"/>
  <c r="AU6" i="22"/>
  <c r="AG6" i="22"/>
  <c r="B9" i="23"/>
  <c r="C9" i="23" s="1"/>
  <c r="C7" i="18"/>
  <c r="D7" i="18"/>
  <c r="B11" i="23"/>
  <c r="C10" i="23"/>
  <c r="B7" i="3"/>
  <c r="B4" i="22" s="1"/>
  <c r="I10" i="23"/>
  <c r="G7" i="18"/>
  <c r="K10" i="23"/>
  <c r="T7" i="18"/>
  <c r="E7" i="18"/>
  <c r="M9" i="23"/>
  <c r="G9" i="23"/>
  <c r="R7" i="18"/>
  <c r="W8" i="3"/>
  <c r="U8" i="3"/>
  <c r="L8" i="3"/>
  <c r="L7" i="18"/>
  <c r="AA8" i="3"/>
  <c r="I9" i="23"/>
  <c r="S10" i="23"/>
  <c r="Z8" i="3"/>
  <c r="F8" i="3"/>
  <c r="G10" i="23"/>
  <c r="T8" i="3"/>
  <c r="S8" i="3"/>
  <c r="M10" i="23"/>
  <c r="W10" i="23"/>
  <c r="V7" i="18"/>
  <c r="X7" i="18"/>
  <c r="S9" i="23"/>
  <c r="K9" i="23"/>
  <c r="F7" i="18"/>
  <c r="E9" i="23"/>
  <c r="P8" i="3"/>
  <c r="R8" i="3"/>
  <c r="I8" i="3"/>
  <c r="N8" i="3"/>
  <c r="H8" i="3"/>
  <c r="H7" i="18"/>
  <c r="O9" i="23"/>
  <c r="U10" i="23"/>
  <c r="J8" i="3"/>
  <c r="AB8" i="3"/>
  <c r="E10" i="23"/>
  <c r="M8" i="3"/>
  <c r="Q7" i="18"/>
  <c r="U9" i="23"/>
  <c r="P7" i="18"/>
  <c r="O10" i="23"/>
  <c r="G8" i="3"/>
  <c r="J7" i="18"/>
  <c r="U7" i="18"/>
  <c r="K7" i="18"/>
  <c r="Q8" i="3"/>
  <c r="Y7" i="18"/>
  <c r="O8" i="3"/>
  <c r="N7" i="18"/>
  <c r="W7" i="18"/>
  <c r="O7" i="18"/>
  <c r="Y8" i="3"/>
  <c r="I7" i="18"/>
  <c r="K8" i="3"/>
  <c r="X8" i="3"/>
  <c r="E8" i="3"/>
  <c r="Z7" i="18"/>
  <c r="S7" i="18"/>
  <c r="M7" i="18"/>
  <c r="W9" i="23"/>
  <c r="V8" i="3"/>
  <c r="W6" i="48" l="1"/>
  <c r="X6" i="48"/>
  <c r="X5" i="48"/>
  <c r="W5" i="48"/>
  <c r="T6" i="48"/>
  <c r="S6" i="48"/>
  <c r="S5" i="48"/>
  <c r="T5" i="48"/>
  <c r="O6" i="48"/>
  <c r="P6" i="48"/>
  <c r="O5" i="48"/>
  <c r="P5" i="48"/>
  <c r="K5" i="48"/>
  <c r="L5" i="48"/>
  <c r="K6" i="48"/>
  <c r="L6" i="48"/>
  <c r="BP5" i="22"/>
  <c r="BP4" i="22"/>
  <c r="BQ4" i="22" s="1"/>
  <c r="BQ7" i="30"/>
  <c r="BQ6" i="30"/>
  <c r="D4" i="22"/>
  <c r="AT4" i="22"/>
  <c r="BA6" i="22"/>
  <c r="BC6" i="22" s="1"/>
  <c r="BA4" i="22"/>
  <c r="AT6" i="22"/>
  <c r="AV6" i="22" s="1"/>
  <c r="C5" i="22"/>
  <c r="B6" i="22"/>
  <c r="C4" i="22"/>
  <c r="C7" i="3"/>
  <c r="D7" i="3"/>
  <c r="B4" i="30"/>
  <c r="B6" i="30" s="1"/>
  <c r="AS7" i="30"/>
  <c r="AA6" i="30"/>
  <c r="AX6" i="30"/>
  <c r="AX7" i="30"/>
  <c r="BE6" i="30"/>
  <c r="BE7" i="30"/>
  <c r="AE6" i="30"/>
  <c r="S7" i="30"/>
  <c r="AS6" i="30"/>
  <c r="AL6" i="30"/>
  <c r="W6" i="30"/>
  <c r="AA7" i="30"/>
  <c r="E7" i="30"/>
  <c r="L6" i="30"/>
  <c r="E6" i="30"/>
  <c r="BL6" i="30"/>
  <c r="S6" i="30"/>
  <c r="BL7" i="30"/>
  <c r="AE7" i="30"/>
  <c r="W7" i="30"/>
  <c r="AL7" i="30"/>
  <c r="D6" i="22"/>
  <c r="F6" i="22" s="1"/>
  <c r="Y6" i="22"/>
  <c r="AA6" i="22" s="1"/>
  <c r="AM6" i="22"/>
  <c r="AO6" i="22" s="1"/>
  <c r="AF6" i="22"/>
  <c r="AH6" i="22" s="1"/>
  <c r="K6" i="22"/>
  <c r="M6" i="22" s="1"/>
  <c r="BH6" i="22"/>
  <c r="BJ6" i="22" s="1"/>
  <c r="R6" i="22"/>
  <c r="T6" i="22" s="1"/>
  <c r="AU4" i="22"/>
  <c r="BB4" i="22"/>
  <c r="AG4" i="22"/>
  <c r="BI4" i="22"/>
  <c r="AN4" i="22"/>
  <c r="S4" i="22"/>
  <c r="E4" i="22"/>
  <c r="L4" i="22"/>
  <c r="Z4" i="22"/>
  <c r="AF4" i="22"/>
  <c r="BH4" i="22"/>
  <c r="Y4" i="22"/>
  <c r="R4" i="22"/>
  <c r="K4" i="22"/>
  <c r="AM4" i="22"/>
  <c r="BB5" i="22"/>
  <c r="S5" i="22"/>
  <c r="L5" i="22"/>
  <c r="AN5" i="22"/>
  <c r="AG5" i="22"/>
  <c r="BI5" i="22"/>
  <c r="AU5" i="22"/>
  <c r="Z5" i="22"/>
  <c r="E5" i="22"/>
  <c r="D10" i="23"/>
  <c r="C11" i="23"/>
  <c r="B12" i="23"/>
  <c r="D9" i="23"/>
  <c r="B15" i="11"/>
  <c r="G11" i="23"/>
  <c r="H10" i="23"/>
  <c r="Z7" i="3"/>
  <c r="Y7" i="3"/>
  <c r="F9" i="23"/>
  <c r="G7" i="3"/>
  <c r="N10" i="23"/>
  <c r="AB7" i="3"/>
  <c r="L7" i="3"/>
  <c r="Q11" i="23" a="1"/>
  <c r="Q7" i="3"/>
  <c r="Z9" i="23" a="1"/>
  <c r="R9" i="23" a="1"/>
  <c r="Y10" i="23" a="1"/>
  <c r="R7" i="3"/>
  <c r="L10" i="23"/>
  <c r="J10" i="23"/>
  <c r="P10" i="23"/>
  <c r="S11" i="23"/>
  <c r="N7" i="3"/>
  <c r="J7" i="3"/>
  <c r="T7" i="3"/>
  <c r="V9" i="23"/>
  <c r="I11" i="23"/>
  <c r="U11" i="23"/>
  <c r="E11" i="23"/>
  <c r="J9" i="23"/>
  <c r="X10" i="23"/>
  <c r="K7" i="3"/>
  <c r="Y11" i="23" a="1"/>
  <c r="S7" i="3"/>
  <c r="X7" i="3"/>
  <c r="X9" i="23"/>
  <c r="O7" i="3"/>
  <c r="H9" i="23"/>
  <c r="AA7" i="3"/>
  <c r="L9" i="23"/>
  <c r="E7" i="3"/>
  <c r="T9" i="23"/>
  <c r="Z10" i="23" a="1"/>
  <c r="I7" i="3"/>
  <c r="N9" i="23"/>
  <c r="P7" i="3"/>
  <c r="O11" i="23"/>
  <c r="V10" i="23"/>
  <c r="H7" i="3"/>
  <c r="T10" i="23"/>
  <c r="P9" i="23"/>
  <c r="W7" i="3"/>
  <c r="V7" i="3"/>
  <c r="M7" i="3"/>
  <c r="Q10" i="23" a="1"/>
  <c r="K11" i="23"/>
  <c r="U7" i="3"/>
  <c r="F7" i="3"/>
  <c r="F10" i="23"/>
  <c r="M11" i="23"/>
  <c r="W11" i="23"/>
  <c r="R10" i="23" a="1"/>
  <c r="BI6" i="48" l="1"/>
  <c r="BI5" i="48"/>
  <c r="BE6" i="48"/>
  <c r="BF6" i="48"/>
  <c r="BF5" i="48"/>
  <c r="BE5" i="48"/>
  <c r="BA6" i="48"/>
  <c r="BA5" i="48"/>
  <c r="AW5" i="48"/>
  <c r="AX5" i="48"/>
  <c r="AW6" i="48"/>
  <c r="AX6" i="48"/>
  <c r="AT5" i="48"/>
  <c r="AS5" i="48"/>
  <c r="AT6" i="48"/>
  <c r="AS6" i="48"/>
  <c r="AP5" i="48"/>
  <c r="AO6" i="48"/>
  <c r="AP6" i="48"/>
  <c r="AO5" i="48"/>
  <c r="W7" i="48"/>
  <c r="X7" i="48"/>
  <c r="T7" i="48"/>
  <c r="S7" i="48"/>
  <c r="O7" i="48"/>
  <c r="P7" i="48"/>
  <c r="L7" i="48"/>
  <c r="K7" i="48"/>
  <c r="BR4" i="22"/>
  <c r="BS4" i="22"/>
  <c r="BO7" i="22" s="1"/>
  <c r="BQ7" i="22" s="1"/>
  <c r="BO5" i="22" s="1"/>
  <c r="BQ5" i="22" s="1"/>
  <c r="BO8" i="22" s="1"/>
  <c r="BQ8" i="22" s="1"/>
  <c r="BO6" i="22" s="1"/>
  <c r="BQ6" i="22" s="1"/>
  <c r="C15" i="11"/>
  <c r="BR7" i="30"/>
  <c r="BS7" i="30" s="1"/>
  <c r="BQ5" i="30"/>
  <c r="BQ4" i="30"/>
  <c r="B1" i="38"/>
  <c r="B6" i="38" s="1"/>
  <c r="Q1" i="38"/>
  <c r="S6" i="38" s="1"/>
  <c r="R1" i="38"/>
  <c r="N1" i="38"/>
  <c r="M6" i="38" s="1"/>
  <c r="O1" i="38"/>
  <c r="E1" i="38"/>
  <c r="G6" i="38" s="1"/>
  <c r="F1" i="38"/>
  <c r="C1" i="38"/>
  <c r="AQ6" i="22"/>
  <c r="AP6" i="22"/>
  <c r="AJ6" i="22"/>
  <c r="AI6" i="22"/>
  <c r="AC6" i="22"/>
  <c r="AB6" i="22"/>
  <c r="V6" i="22"/>
  <c r="U6" i="22"/>
  <c r="F4" i="22"/>
  <c r="G4" i="22" s="1"/>
  <c r="O6" i="22"/>
  <c r="N6" i="22"/>
  <c r="H6" i="22"/>
  <c r="G6" i="22"/>
  <c r="AT8" i="22"/>
  <c r="AV8" i="22" s="1"/>
  <c r="AT7" i="22"/>
  <c r="AV7" i="22" s="1"/>
  <c r="BA8" i="22"/>
  <c r="BC8" i="22" s="1"/>
  <c r="BA5" i="22"/>
  <c r="BC5" i="22" s="1"/>
  <c r="AT5" i="22"/>
  <c r="AV5" i="22" s="1"/>
  <c r="BA7" i="22"/>
  <c r="BC7" i="22" s="1"/>
  <c r="C7" i="22"/>
  <c r="C6" i="22"/>
  <c r="B8" i="22"/>
  <c r="BL6" i="22"/>
  <c r="BK6" i="22"/>
  <c r="AX6" i="22"/>
  <c r="AW6" i="22"/>
  <c r="BE6" i="22"/>
  <c r="BD6" i="22"/>
  <c r="AD1" i="38"/>
  <c r="AC1" i="38"/>
  <c r="AF6" i="38" s="1"/>
  <c r="Z1" i="38"/>
  <c r="Z6" i="38" s="1"/>
  <c r="AA1" i="38"/>
  <c r="C5" i="30"/>
  <c r="C4" i="30"/>
  <c r="AX5" i="30"/>
  <c r="BE5" i="30"/>
  <c r="W5" i="30"/>
  <c r="BL5" i="30"/>
  <c r="AE5" i="30"/>
  <c r="AA4" i="30"/>
  <c r="AS4" i="30"/>
  <c r="AE4" i="30"/>
  <c r="AX4" i="30"/>
  <c r="S4" i="30"/>
  <c r="W4" i="30"/>
  <c r="BE4" i="30"/>
  <c r="BL4" i="30"/>
  <c r="AA5" i="30"/>
  <c r="E5" i="30"/>
  <c r="AL4" i="30"/>
  <c r="L4" i="30"/>
  <c r="AL5" i="30"/>
  <c r="E4" i="30"/>
  <c r="L5" i="30"/>
  <c r="S5" i="30"/>
  <c r="AS5" i="30"/>
  <c r="C6" i="30"/>
  <c r="C7" i="30"/>
  <c r="B8" i="30"/>
  <c r="T4" i="22"/>
  <c r="U4" i="22" s="1"/>
  <c r="Y8" i="22"/>
  <c r="AA8" i="22" s="1"/>
  <c r="K8" i="22"/>
  <c r="M8" i="22" s="1"/>
  <c r="D8" i="22"/>
  <c r="F8" i="22" s="1"/>
  <c r="AF8" i="22"/>
  <c r="AH8" i="22" s="1"/>
  <c r="R8" i="22"/>
  <c r="T8" i="22" s="1"/>
  <c r="BH8" i="22"/>
  <c r="BJ8" i="22" s="1"/>
  <c r="AM8" i="22"/>
  <c r="AO8" i="22" s="1"/>
  <c r="D5" i="22"/>
  <c r="F5" i="22" s="1"/>
  <c r="BH5" i="22"/>
  <c r="BJ5" i="22" s="1"/>
  <c r="K5" i="22"/>
  <c r="M5" i="22" s="1"/>
  <c r="AM5" i="22"/>
  <c r="AO5" i="22" s="1"/>
  <c r="AF5" i="22"/>
  <c r="AH5" i="22" s="1"/>
  <c r="R5" i="22"/>
  <c r="T5" i="22" s="1"/>
  <c r="Y5" i="22"/>
  <c r="AA5" i="22" s="1"/>
  <c r="D7" i="22"/>
  <c r="F7" i="22" s="1"/>
  <c r="BH7" i="22"/>
  <c r="BJ7" i="22" s="1"/>
  <c r="K7" i="22"/>
  <c r="M7" i="22" s="1"/>
  <c r="AM7" i="22"/>
  <c r="AO7" i="22" s="1"/>
  <c r="AF7" i="22"/>
  <c r="AH7" i="22" s="1"/>
  <c r="Y7" i="22"/>
  <c r="AA7" i="22" s="1"/>
  <c r="R7" i="22"/>
  <c r="T7" i="22" s="1"/>
  <c r="BC4" i="22"/>
  <c r="D11" i="23"/>
  <c r="AH4" i="22"/>
  <c r="AI4" i="22" s="1"/>
  <c r="AA4" i="22"/>
  <c r="AB4" i="22" s="1"/>
  <c r="AO4" i="22"/>
  <c r="AP4" i="22" s="1"/>
  <c r="AV4" i="22"/>
  <c r="C12" i="23"/>
  <c r="B13" i="23"/>
  <c r="M4" i="22"/>
  <c r="N4" i="22" s="1"/>
  <c r="BJ4" i="22"/>
  <c r="B16" i="11"/>
  <c r="C16" i="11" s="1"/>
  <c r="P11" i="23"/>
  <c r="M15" i="11"/>
  <c r="R11" i="23" a="1"/>
  <c r="G12" i="23"/>
  <c r="AA16" i="11"/>
  <c r="S12" i="23"/>
  <c r="Q12" i="23" a="1"/>
  <c r="AA15" i="11"/>
  <c r="O15" i="11"/>
  <c r="K12" i="23"/>
  <c r="I15" i="11"/>
  <c r="N11" i="23"/>
  <c r="E16" i="11"/>
  <c r="E12" i="23"/>
  <c r="O16" i="11"/>
  <c r="T11" i="23"/>
  <c r="E15" i="11"/>
  <c r="X11" i="23"/>
  <c r="I16" i="11"/>
  <c r="M12" i="23"/>
  <c r="Z11" i="23" a="1"/>
  <c r="U12" i="23"/>
  <c r="J11" i="23"/>
  <c r="L11" i="23"/>
  <c r="K16" i="11"/>
  <c r="W16" i="11"/>
  <c r="Y15" i="11"/>
  <c r="V11" i="23"/>
  <c r="Y16" i="11"/>
  <c r="H11" i="23"/>
  <c r="O12" i="23"/>
  <c r="G16" i="11"/>
  <c r="M16" i="11"/>
  <c r="W15" i="11"/>
  <c r="W12" i="23"/>
  <c r="Y12" i="23" a="1"/>
  <c r="S15" i="11"/>
  <c r="K15" i="11"/>
  <c r="Q15" i="11"/>
  <c r="I12" i="23"/>
  <c r="S16" i="11"/>
  <c r="Q16" i="11"/>
  <c r="G15" i="11"/>
  <c r="F11" i="23"/>
  <c r="B1" i="34" l="1"/>
  <c r="A6" i="34" s="1"/>
  <c r="AU5" i="48"/>
  <c r="BI7" i="48"/>
  <c r="BE7" i="48"/>
  <c r="BF7" i="48"/>
  <c r="BA7" i="48"/>
  <c r="AW7" i="48"/>
  <c r="AX7" i="48"/>
  <c r="AS7" i="48"/>
  <c r="AT7" i="48"/>
  <c r="AP7" i="48"/>
  <c r="AO7" i="48"/>
  <c r="W8" i="48"/>
  <c r="X8" i="48"/>
  <c r="T8" i="48"/>
  <c r="S8" i="48"/>
  <c r="O8" i="48"/>
  <c r="P8" i="48"/>
  <c r="K8" i="48"/>
  <c r="L8" i="48"/>
  <c r="AI6" i="45"/>
  <c r="AJ6" i="45"/>
  <c r="AE6" i="45"/>
  <c r="AF6" i="45"/>
  <c r="AA6" i="45"/>
  <c r="AB6" i="45"/>
  <c r="W6" i="45"/>
  <c r="X6" i="45"/>
  <c r="S6" i="45"/>
  <c r="O6" i="45"/>
  <c r="P6" i="45"/>
  <c r="K6" i="45"/>
  <c r="L6" i="45"/>
  <c r="G6" i="45"/>
  <c r="H6" i="45"/>
  <c r="S5" i="45"/>
  <c r="W5" i="45"/>
  <c r="X5" i="45"/>
  <c r="G5" i="45"/>
  <c r="H5" i="45"/>
  <c r="AI5" i="45"/>
  <c r="AJ5" i="45"/>
  <c r="AE5" i="45"/>
  <c r="AF5" i="45"/>
  <c r="AA5" i="45"/>
  <c r="AB5" i="45"/>
  <c r="D5" i="45"/>
  <c r="K5" i="45"/>
  <c r="L5" i="45"/>
  <c r="D6" i="45"/>
  <c r="O5" i="45"/>
  <c r="P5" i="45"/>
  <c r="C5" i="45"/>
  <c r="C6" i="45"/>
  <c r="D15" i="11"/>
  <c r="BS5" i="22"/>
  <c r="BR5" i="22"/>
  <c r="BR7" i="22"/>
  <c r="BS7" i="22"/>
  <c r="BR6" i="22"/>
  <c r="BS6" i="22"/>
  <c r="BR8" i="22"/>
  <c r="BS8" i="22"/>
  <c r="BO9" i="22" s="1"/>
  <c r="BQ9" i="22" s="1"/>
  <c r="BO10" i="22" s="1"/>
  <c r="BQ10" i="22" s="1"/>
  <c r="BP4" i="30"/>
  <c r="BR4" i="30" s="1"/>
  <c r="BS4" i="30" s="1"/>
  <c r="BO6" i="30"/>
  <c r="D4" i="30"/>
  <c r="F4" i="30" s="1"/>
  <c r="Z4" i="30"/>
  <c r="AB4" i="30" s="1"/>
  <c r="AW4" i="30"/>
  <c r="AY4" i="30" s="1"/>
  <c r="AD4" i="30"/>
  <c r="AF4" i="30" s="1"/>
  <c r="AH4" i="30" s="1"/>
  <c r="V4" i="30"/>
  <c r="X4" i="30" s="1"/>
  <c r="AR4" i="30"/>
  <c r="AT4" i="30" s="1"/>
  <c r="AU4" i="30" s="1"/>
  <c r="AK4" i="30"/>
  <c r="AM4" i="30" s="1"/>
  <c r="R4" i="30"/>
  <c r="T4" i="30" s="1"/>
  <c r="K4" i="30"/>
  <c r="M4" i="30" s="1"/>
  <c r="BK4" i="30"/>
  <c r="BM4" i="30" s="1"/>
  <c r="BD4" i="30"/>
  <c r="BF4" i="30" s="1"/>
  <c r="A6" i="38"/>
  <c r="A7" i="38" s="1"/>
  <c r="S7" i="38"/>
  <c r="T6" i="38"/>
  <c r="M7" i="38"/>
  <c r="N6" i="38"/>
  <c r="G7" i="38"/>
  <c r="H7" i="38" s="1"/>
  <c r="H6" i="38"/>
  <c r="D6" i="38"/>
  <c r="F6" i="38"/>
  <c r="AQ5" i="22"/>
  <c r="AP5" i="22"/>
  <c r="AQ8" i="22"/>
  <c r="AP8" i="22"/>
  <c r="AQ7" i="22"/>
  <c r="AP7" i="22"/>
  <c r="AJ5" i="22"/>
  <c r="AI5" i="22"/>
  <c r="AJ7" i="22"/>
  <c r="AI7" i="22"/>
  <c r="AJ8" i="22"/>
  <c r="AI8" i="22"/>
  <c r="AC5" i="22"/>
  <c r="AB5" i="22"/>
  <c r="AC8" i="22"/>
  <c r="AB8" i="22"/>
  <c r="AC7" i="22"/>
  <c r="AB7" i="22"/>
  <c r="V5" i="22"/>
  <c r="U5" i="22"/>
  <c r="V7" i="22"/>
  <c r="U7" i="22"/>
  <c r="V8" i="22"/>
  <c r="U8" i="22"/>
  <c r="O7" i="22"/>
  <c r="N7" i="22"/>
  <c r="O5" i="22"/>
  <c r="N5" i="22"/>
  <c r="O8" i="22"/>
  <c r="N8" i="22"/>
  <c r="H7" i="22"/>
  <c r="G7" i="22"/>
  <c r="H5" i="22"/>
  <c r="G5" i="22"/>
  <c r="H8" i="22"/>
  <c r="G8" i="22"/>
  <c r="AT10" i="22"/>
  <c r="AV10" i="22" s="1"/>
  <c r="BA10" i="22"/>
  <c r="BC10" i="22" s="1"/>
  <c r="BA9" i="22"/>
  <c r="BC9" i="22" s="1"/>
  <c r="AT9" i="22"/>
  <c r="AV9" i="22" s="1"/>
  <c r="BD6" i="30"/>
  <c r="BF6" i="30" s="1"/>
  <c r="AK6" i="30"/>
  <c r="AM6" i="30" s="1"/>
  <c r="AD6" i="30"/>
  <c r="AF6" i="30" s="1"/>
  <c r="AH6" i="30" s="1"/>
  <c r="K6" i="30"/>
  <c r="M6" i="30" s="1"/>
  <c r="AW6" i="30"/>
  <c r="AY6" i="30" s="1"/>
  <c r="D6" i="30"/>
  <c r="F6" i="30" s="1"/>
  <c r="Z1" i="34"/>
  <c r="B10" i="22"/>
  <c r="C9" i="22"/>
  <c r="C8" i="22"/>
  <c r="AC4" i="22"/>
  <c r="BL7" i="22"/>
  <c r="BK7" i="22"/>
  <c r="AX5" i="22"/>
  <c r="AW5" i="22"/>
  <c r="AJ4" i="22"/>
  <c r="BL4" i="22"/>
  <c r="BK4" i="22"/>
  <c r="AX4" i="22"/>
  <c r="AW4" i="22"/>
  <c r="H4" i="22"/>
  <c r="O4" i="22"/>
  <c r="AQ4" i="22"/>
  <c r="AX8" i="22"/>
  <c r="AW8" i="22"/>
  <c r="V4" i="22"/>
  <c r="AX7" i="22"/>
  <c r="AW7" i="22"/>
  <c r="BL5" i="22"/>
  <c r="BK5" i="22"/>
  <c r="BL8" i="22"/>
  <c r="BK8" i="22"/>
  <c r="BE8" i="22"/>
  <c r="BD8" i="22"/>
  <c r="BE4" i="22"/>
  <c r="BD4" i="22"/>
  <c r="BE7" i="22"/>
  <c r="BD7" i="22"/>
  <c r="BE5" i="22"/>
  <c r="BD5" i="22"/>
  <c r="AB6" i="38"/>
  <c r="AE6" i="38"/>
  <c r="Y6" i="38"/>
  <c r="Y7" i="38" s="1"/>
  <c r="Y8" i="38" s="1"/>
  <c r="Y9" i="38" s="1"/>
  <c r="Y10" i="38" s="1"/>
  <c r="Y11" i="38" s="1"/>
  <c r="Y12" i="38" s="1"/>
  <c r="Y13" i="38" s="1"/>
  <c r="Y14" i="38" s="1"/>
  <c r="Y15" i="38" s="1"/>
  <c r="Y16" i="38" s="1"/>
  <c r="Y17" i="38" s="1"/>
  <c r="Y18" i="38" s="1"/>
  <c r="Y19" i="38" s="1"/>
  <c r="Y20" i="38" s="1"/>
  <c r="Y21" i="38" s="1"/>
  <c r="Y22" i="38" s="1"/>
  <c r="Y23" i="38" s="1"/>
  <c r="Y24" i="38" s="1"/>
  <c r="Y25" i="38" s="1"/>
  <c r="Y26" i="38" s="1"/>
  <c r="Y27" i="38" s="1"/>
  <c r="AA1" i="34"/>
  <c r="R6" i="30"/>
  <c r="T6" i="30" s="1"/>
  <c r="U6" i="30" s="1"/>
  <c r="Z6" i="30"/>
  <c r="AB6" i="30" s="1"/>
  <c r="AR6" i="30"/>
  <c r="AT6" i="30" s="1"/>
  <c r="AU6" i="30" s="1"/>
  <c r="BK6" i="30"/>
  <c r="BM6" i="30" s="1"/>
  <c r="BN6" i="30" s="1"/>
  <c r="V6" i="30"/>
  <c r="X6" i="30" s="1"/>
  <c r="Y6" i="30" s="1"/>
  <c r="C8" i="30"/>
  <c r="C9" i="30"/>
  <c r="B10" i="30"/>
  <c r="C1" i="34"/>
  <c r="R1" i="34"/>
  <c r="Q1" i="34"/>
  <c r="AC1" i="34"/>
  <c r="O1" i="34"/>
  <c r="N1" i="34"/>
  <c r="AD1" i="34"/>
  <c r="F1" i="34"/>
  <c r="E1" i="34"/>
  <c r="D16" i="11"/>
  <c r="K10" i="22"/>
  <c r="M10" i="22" s="1"/>
  <c r="AF10" i="22"/>
  <c r="AH10" i="22" s="1"/>
  <c r="AM10" i="22"/>
  <c r="AO10" i="22" s="1"/>
  <c r="Y10" i="22"/>
  <c r="AA10" i="22" s="1"/>
  <c r="D10" i="22"/>
  <c r="F10" i="22" s="1"/>
  <c r="BH10" i="22"/>
  <c r="BJ10" i="22" s="1"/>
  <c r="R10" i="22"/>
  <c r="T10" i="22" s="1"/>
  <c r="BH9" i="22"/>
  <c r="BJ9" i="22" s="1"/>
  <c r="R9" i="22"/>
  <c r="T9" i="22" s="1"/>
  <c r="Y9" i="22"/>
  <c r="AA9" i="22" s="1"/>
  <c r="AM9" i="22"/>
  <c r="AO9" i="22" s="1"/>
  <c r="K9" i="22"/>
  <c r="M9" i="22" s="1"/>
  <c r="AF9" i="22"/>
  <c r="AH9" i="22" s="1"/>
  <c r="D9" i="22"/>
  <c r="F9" i="22" s="1"/>
  <c r="C13" i="23"/>
  <c r="B14" i="23"/>
  <c r="D12" i="23"/>
  <c r="B17" i="11"/>
  <c r="C17" i="11" s="1"/>
  <c r="M17" i="11"/>
  <c r="H16" i="11"/>
  <c r="T15" i="11"/>
  <c r="N16" i="11"/>
  <c r="S13" i="23"/>
  <c r="Z15" i="11"/>
  <c r="X15" i="11"/>
  <c r="V12" i="23"/>
  <c r="AA17" i="11"/>
  <c r="H12" i="23"/>
  <c r="L12" i="23"/>
  <c r="K17" i="11"/>
  <c r="Z16" i="11"/>
  <c r="J15" i="11"/>
  <c r="AC16" i="11" a="1"/>
  <c r="T12" i="23"/>
  <c r="O17" i="11"/>
  <c r="AC17" i="11" a="1"/>
  <c r="M13" i="23"/>
  <c r="AB16" i="11"/>
  <c r="L15" i="11"/>
  <c r="U13" i="23"/>
  <c r="P15" i="11"/>
  <c r="S17" i="11"/>
  <c r="I13" i="23"/>
  <c r="P12" i="23"/>
  <c r="AD15" i="11" a="1"/>
  <c r="W13" i="23"/>
  <c r="T16" i="11"/>
  <c r="Q13" i="23" a="1"/>
  <c r="R12" i="23" a="1"/>
  <c r="AB15" i="11"/>
  <c r="P16" i="11"/>
  <c r="O13" i="23"/>
  <c r="E17" i="11"/>
  <c r="R16" i="11"/>
  <c r="I17" i="11"/>
  <c r="J12" i="23"/>
  <c r="H15" i="11"/>
  <c r="J16" i="11"/>
  <c r="F12" i="23"/>
  <c r="Y13" i="23" a="1"/>
  <c r="L16" i="11"/>
  <c r="F16" i="11"/>
  <c r="Y17" i="11"/>
  <c r="R15" i="11"/>
  <c r="K13" i="23"/>
  <c r="W17" i="11"/>
  <c r="Z12" i="23" a="1"/>
  <c r="Q17" i="11"/>
  <c r="G17" i="11"/>
  <c r="N12" i="23"/>
  <c r="N15" i="11"/>
  <c r="F15" i="11"/>
  <c r="X16" i="11"/>
  <c r="G13" i="23"/>
  <c r="X12" i="23"/>
  <c r="E13" i="23"/>
  <c r="AO6" i="45" l="1"/>
  <c r="B7" i="34"/>
  <c r="BI8" i="48"/>
  <c r="BE8" i="48"/>
  <c r="BF8" i="48"/>
  <c r="BA8" i="48"/>
  <c r="AW8" i="48"/>
  <c r="AX8" i="48"/>
  <c r="AS8" i="48"/>
  <c r="AT8" i="48"/>
  <c r="AO8" i="48"/>
  <c r="AP8" i="48"/>
  <c r="W9" i="48"/>
  <c r="X9" i="48"/>
  <c r="T9" i="48"/>
  <c r="S9" i="48"/>
  <c r="P9" i="48"/>
  <c r="O9" i="48"/>
  <c r="K9" i="48"/>
  <c r="L9" i="48"/>
  <c r="BV6" i="45"/>
  <c r="BU6" i="45"/>
  <c r="BN6" i="45"/>
  <c r="BM6" i="45"/>
  <c r="BQ6" i="45"/>
  <c r="BR6" i="45"/>
  <c r="BI6" i="45"/>
  <c r="BJ6" i="45"/>
  <c r="BF6" i="45"/>
  <c r="BE6" i="45"/>
  <c r="BB6" i="45"/>
  <c r="BA6" i="45"/>
  <c r="AW6" i="45"/>
  <c r="AX6" i="45"/>
  <c r="AS6" i="45"/>
  <c r="AT6" i="45"/>
  <c r="BI5" i="45"/>
  <c r="BJ5" i="45"/>
  <c r="BU5" i="45"/>
  <c r="BV5" i="45"/>
  <c r="AP5" i="45"/>
  <c r="AO5" i="45"/>
  <c r="AP6" i="45"/>
  <c r="BM5" i="45"/>
  <c r="BN5" i="45"/>
  <c r="BB5" i="45"/>
  <c r="BA5" i="45"/>
  <c r="AS5" i="45"/>
  <c r="AT5" i="45"/>
  <c r="BQ5" i="45"/>
  <c r="BR5" i="45"/>
  <c r="BE5" i="45"/>
  <c r="BF5" i="45"/>
  <c r="AW5" i="45"/>
  <c r="AX5" i="45"/>
  <c r="AI7" i="45"/>
  <c r="AJ7" i="45"/>
  <c r="AE7" i="45"/>
  <c r="AF7" i="45"/>
  <c r="AA7" i="45"/>
  <c r="AB7" i="45"/>
  <c r="W7" i="45"/>
  <c r="X7" i="45"/>
  <c r="S7" i="45"/>
  <c r="O7" i="45"/>
  <c r="P7" i="45"/>
  <c r="K7" i="45"/>
  <c r="L7" i="45"/>
  <c r="G7" i="45"/>
  <c r="H7" i="45"/>
  <c r="D7" i="45"/>
  <c r="C7" i="45"/>
  <c r="BK5" i="30"/>
  <c r="BM5" i="30" s="1"/>
  <c r="BN5" i="30" s="1"/>
  <c r="Z5" i="30"/>
  <c r="AB5" i="30" s="1"/>
  <c r="AC5" i="30" s="1"/>
  <c r="BD5" i="30"/>
  <c r="BF5" i="30" s="1"/>
  <c r="BG5" i="30" s="1"/>
  <c r="V5" i="30"/>
  <c r="X5" i="30" s="1"/>
  <c r="Y5" i="30" s="1"/>
  <c r="D5" i="30"/>
  <c r="F5" i="30" s="1"/>
  <c r="G5" i="30" s="1"/>
  <c r="R5" i="30"/>
  <c r="T5" i="30" s="1"/>
  <c r="U5" i="30" s="1"/>
  <c r="AD5" i="30"/>
  <c r="AF5" i="30" s="1"/>
  <c r="AH5" i="30" s="1"/>
  <c r="AW5" i="30"/>
  <c r="AY5" i="30" s="1"/>
  <c r="BA5" i="30" s="1"/>
  <c r="K5" i="30"/>
  <c r="M5" i="30" s="1"/>
  <c r="N5" i="30" s="1"/>
  <c r="AK5" i="30"/>
  <c r="AM5" i="30" s="1"/>
  <c r="AO5" i="30" s="1"/>
  <c r="AR5" i="30"/>
  <c r="AT5" i="30" s="1"/>
  <c r="AU5" i="30" s="1"/>
  <c r="BO7" i="30" s="1"/>
  <c r="BO8" i="30" s="1"/>
  <c r="BS10" i="22"/>
  <c r="BR10" i="22"/>
  <c r="BR9" i="22"/>
  <c r="BS9" i="22"/>
  <c r="BO11" i="22" s="1"/>
  <c r="BQ11" i="22" s="1"/>
  <c r="BO12" i="22" s="1"/>
  <c r="BQ12" i="22" s="1"/>
  <c r="BO10" i="30" s="1"/>
  <c r="BN4" i="30"/>
  <c r="AC6" i="30"/>
  <c r="AC4" i="30"/>
  <c r="B7" i="38"/>
  <c r="F7" i="38" s="1"/>
  <c r="V6" i="38"/>
  <c r="S8" i="38"/>
  <c r="T7" i="38"/>
  <c r="V7" i="38" s="1"/>
  <c r="P6" i="38"/>
  <c r="M8" i="38"/>
  <c r="N7" i="38"/>
  <c r="P7" i="38" s="1"/>
  <c r="J7" i="38"/>
  <c r="L7" i="38"/>
  <c r="J6" i="38"/>
  <c r="L6" i="38"/>
  <c r="G8" i="38"/>
  <c r="A8" i="38"/>
  <c r="B8" i="38"/>
  <c r="AQ10" i="22"/>
  <c r="AP10" i="22"/>
  <c r="AQ9" i="22"/>
  <c r="AP9" i="22"/>
  <c r="AJ9" i="22"/>
  <c r="AI9" i="22"/>
  <c r="AJ10" i="22"/>
  <c r="AI10" i="22"/>
  <c r="AC10" i="22"/>
  <c r="AB10" i="22"/>
  <c r="AC9" i="22"/>
  <c r="AB9" i="22"/>
  <c r="V10" i="22"/>
  <c r="U10" i="22"/>
  <c r="V9" i="22"/>
  <c r="U9" i="22"/>
  <c r="O9" i="22"/>
  <c r="N9" i="22"/>
  <c r="O10" i="22"/>
  <c r="N10" i="22"/>
  <c r="H9" i="22"/>
  <c r="G9" i="22"/>
  <c r="H10" i="22"/>
  <c r="G10" i="22"/>
  <c r="AT11" i="22"/>
  <c r="AV11" i="22" s="1"/>
  <c r="BA12" i="22"/>
  <c r="BC12" i="22" s="1"/>
  <c r="BA11" i="22"/>
  <c r="BC11" i="22" s="1"/>
  <c r="AT12" i="22"/>
  <c r="AV12" i="22" s="1"/>
  <c r="AK8" i="30"/>
  <c r="AM8" i="30" s="1"/>
  <c r="BD7" i="30"/>
  <c r="BF7" i="30" s="1"/>
  <c r="BD8" i="30"/>
  <c r="BF8" i="30" s="1"/>
  <c r="AW7" i="30"/>
  <c r="AY7" i="30" s="1"/>
  <c r="AD7" i="30"/>
  <c r="AF7" i="30" s="1"/>
  <c r="AH7" i="30" s="1"/>
  <c r="AD8" i="30"/>
  <c r="AF8" i="30" s="1"/>
  <c r="AH8" i="30" s="1"/>
  <c r="K7" i="30"/>
  <c r="M7" i="30" s="1"/>
  <c r="AK7" i="30"/>
  <c r="AM7" i="30" s="1"/>
  <c r="AW8" i="30"/>
  <c r="AY8" i="30" s="1"/>
  <c r="K8" i="30"/>
  <c r="M8" i="30" s="1"/>
  <c r="D8" i="30"/>
  <c r="F8" i="30" s="1"/>
  <c r="D7" i="30"/>
  <c r="F7" i="30" s="1"/>
  <c r="B12" i="22"/>
  <c r="C11" i="22"/>
  <c r="C10" i="22"/>
  <c r="AX10" i="22"/>
  <c r="AW10" i="22"/>
  <c r="Z7" i="38"/>
  <c r="Z8" i="38" s="1"/>
  <c r="Z9" i="38" s="1"/>
  <c r="Z10" i="38" s="1"/>
  <c r="Z11" i="38" s="1"/>
  <c r="Z12" i="38" s="1"/>
  <c r="Z13" i="38" s="1"/>
  <c r="Z14" i="38" s="1"/>
  <c r="Z15" i="38" s="1"/>
  <c r="Z16" i="38" s="1"/>
  <c r="Z17" i="38" s="1"/>
  <c r="Z18" i="38" s="1"/>
  <c r="Z19" i="38" s="1"/>
  <c r="Z20" i="38" s="1"/>
  <c r="Z21" i="38" s="1"/>
  <c r="Z22" i="38" s="1"/>
  <c r="Z23" i="38" s="1"/>
  <c r="Z24" i="38" s="1"/>
  <c r="Z25" i="38" s="1"/>
  <c r="Z26" i="38" s="1"/>
  <c r="Z27" i="38" s="1"/>
  <c r="AX9" i="22"/>
  <c r="AW9" i="22"/>
  <c r="BL10" i="22"/>
  <c r="BK10" i="22"/>
  <c r="BL9" i="22"/>
  <c r="BK9" i="22"/>
  <c r="AF7" i="38"/>
  <c r="BE9" i="22"/>
  <c r="BD9" i="22"/>
  <c r="BE10" i="22"/>
  <c r="BD10" i="22"/>
  <c r="AE7" i="38"/>
  <c r="AD6" i="38"/>
  <c r="AJ6" i="38"/>
  <c r="AH6" i="38"/>
  <c r="B6" i="34"/>
  <c r="D6" i="34" s="1"/>
  <c r="R8" i="30"/>
  <c r="T8" i="30" s="1"/>
  <c r="U8" i="30" s="1"/>
  <c r="AR7" i="30"/>
  <c r="AT7" i="30" s="1"/>
  <c r="AU7" i="30" s="1"/>
  <c r="Z7" i="30"/>
  <c r="AB7" i="30" s="1"/>
  <c r="BK8" i="30"/>
  <c r="BM8" i="30" s="1"/>
  <c r="BN8" i="30" s="1"/>
  <c r="BK7" i="30"/>
  <c r="BM7" i="30" s="1"/>
  <c r="AR8" i="30"/>
  <c r="AT8" i="30" s="1"/>
  <c r="AU8" i="30" s="1"/>
  <c r="Z8" i="30"/>
  <c r="AB8" i="30" s="1"/>
  <c r="R7" i="30"/>
  <c r="T7" i="30" s="1"/>
  <c r="U7" i="30" s="1"/>
  <c r="V8" i="30"/>
  <c r="X8" i="30" s="1"/>
  <c r="Y8" i="30" s="1"/>
  <c r="V7" i="30"/>
  <c r="X7" i="30" s="1"/>
  <c r="Y7" i="30" s="1"/>
  <c r="M6" i="34"/>
  <c r="N6" i="34"/>
  <c r="BH4" i="30"/>
  <c r="BG4" i="30"/>
  <c r="AN6" i="30"/>
  <c r="AO6" i="30"/>
  <c r="G6" i="30"/>
  <c r="H6" i="30"/>
  <c r="AZ4" i="30"/>
  <c r="BA4" i="30"/>
  <c r="AE6" i="34"/>
  <c r="AF6" i="34"/>
  <c r="H4" i="30"/>
  <c r="G4" i="30"/>
  <c r="AG6" i="30"/>
  <c r="Z6" i="34"/>
  <c r="Y6" i="34"/>
  <c r="N4" i="30"/>
  <c r="O4" i="30"/>
  <c r="U4" i="30"/>
  <c r="Y4" i="30"/>
  <c r="AN4" i="30"/>
  <c r="AO4" i="30"/>
  <c r="N6" i="30"/>
  <c r="O6" i="30"/>
  <c r="AZ6" i="30"/>
  <c r="BA6" i="30"/>
  <c r="H6" i="34"/>
  <c r="G6" i="34"/>
  <c r="AG4" i="30"/>
  <c r="A7" i="34"/>
  <c r="T6" i="34"/>
  <c r="S6" i="34"/>
  <c r="C10" i="30"/>
  <c r="C11" i="30"/>
  <c r="B12" i="30"/>
  <c r="BH6" i="30"/>
  <c r="BG6" i="30"/>
  <c r="D17" i="11"/>
  <c r="AF12" i="22"/>
  <c r="AH12" i="22" s="1"/>
  <c r="BH12" i="22"/>
  <c r="BJ12" i="22" s="1"/>
  <c r="AM12" i="22"/>
  <c r="AO12" i="22" s="1"/>
  <c r="K12" i="22"/>
  <c r="M12" i="22" s="1"/>
  <c r="D12" i="22"/>
  <c r="F12" i="22" s="1"/>
  <c r="R12" i="22"/>
  <c r="T12" i="22" s="1"/>
  <c r="Y12" i="22"/>
  <c r="AA12" i="22" s="1"/>
  <c r="BH11" i="22"/>
  <c r="BJ11" i="22" s="1"/>
  <c r="Y11" i="22"/>
  <c r="AA11" i="22" s="1"/>
  <c r="AB11" i="22" s="1"/>
  <c r="D11" i="22"/>
  <c r="F11" i="22" s="1"/>
  <c r="AF11" i="22"/>
  <c r="AH11" i="22" s="1"/>
  <c r="AM11" i="22"/>
  <c r="AO11" i="22" s="1"/>
  <c r="K11" i="22"/>
  <c r="M11" i="22" s="1"/>
  <c r="R11" i="22"/>
  <c r="T11" i="22" s="1"/>
  <c r="C14" i="23"/>
  <c r="B15" i="23"/>
  <c r="D13" i="23"/>
  <c r="B18" i="11"/>
  <c r="C18" i="11" s="1"/>
  <c r="Q18" i="11"/>
  <c r="X17" i="11"/>
  <c r="AD17" i="11" a="1"/>
  <c r="H17" i="11"/>
  <c r="L13" i="23"/>
  <c r="W18" i="11"/>
  <c r="Z17" i="11"/>
  <c r="H13" i="23"/>
  <c r="Q14" i="23" a="1"/>
  <c r="E14" i="23"/>
  <c r="I18" i="11"/>
  <c r="I14" i="23"/>
  <c r="P17" i="11"/>
  <c r="O18" i="11"/>
  <c r="R13" i="23" a="1"/>
  <c r="F17" i="11"/>
  <c r="G18" i="11"/>
  <c r="Z13" i="23" a="1"/>
  <c r="AA18" i="11"/>
  <c r="X13" i="23"/>
  <c r="J17" i="11"/>
  <c r="AC18" i="11" a="1"/>
  <c r="AB17" i="11"/>
  <c r="U14" i="23"/>
  <c r="S18" i="11"/>
  <c r="M14" i="23"/>
  <c r="S14" i="23"/>
  <c r="L17" i="11"/>
  <c r="T17" i="11"/>
  <c r="W14" i="23"/>
  <c r="M18" i="11"/>
  <c r="N13" i="23"/>
  <c r="E18" i="11"/>
  <c r="N17" i="11"/>
  <c r="P13" i="23"/>
  <c r="Y14" i="23" a="1"/>
  <c r="R17" i="11"/>
  <c r="G14" i="23"/>
  <c r="Y18" i="11"/>
  <c r="F13" i="23"/>
  <c r="O14" i="23"/>
  <c r="J13" i="23"/>
  <c r="T13" i="23"/>
  <c r="V13" i="23"/>
  <c r="K14" i="23"/>
  <c r="K18" i="11"/>
  <c r="AO7" i="45" l="1"/>
  <c r="BI9" i="48"/>
  <c r="BE9" i="48"/>
  <c r="BF9" i="48"/>
  <c r="BA9" i="48"/>
  <c r="AX9" i="48"/>
  <c r="AW9" i="48"/>
  <c r="AT9" i="48"/>
  <c r="AS9" i="48"/>
  <c r="AO9" i="48"/>
  <c r="AP9" i="48"/>
  <c r="W10" i="48"/>
  <c r="X10" i="48"/>
  <c r="T10" i="48"/>
  <c r="S10" i="48"/>
  <c r="P10" i="48"/>
  <c r="O10" i="48"/>
  <c r="K10" i="48"/>
  <c r="L10" i="48"/>
  <c r="BV7" i="45"/>
  <c r="BU7" i="45"/>
  <c r="BQ7" i="45"/>
  <c r="BR7" i="45"/>
  <c r="BN7" i="45"/>
  <c r="BM7" i="45"/>
  <c r="BJ7" i="45"/>
  <c r="BI7" i="45"/>
  <c r="BF7" i="45"/>
  <c r="BE7" i="45"/>
  <c r="BB7" i="45"/>
  <c r="BA7" i="45"/>
  <c r="AW7" i="45"/>
  <c r="AX7" i="45"/>
  <c r="AT7" i="45"/>
  <c r="AS7" i="45"/>
  <c r="AP7" i="45"/>
  <c r="AI8" i="45"/>
  <c r="AJ8" i="45"/>
  <c r="AE8" i="45"/>
  <c r="AF8" i="45"/>
  <c r="AB8" i="45"/>
  <c r="AA8" i="45"/>
  <c r="W8" i="45"/>
  <c r="X8" i="45"/>
  <c r="S8" i="45"/>
  <c r="O8" i="45"/>
  <c r="P8" i="45"/>
  <c r="K8" i="45"/>
  <c r="L8" i="45"/>
  <c r="G8" i="45"/>
  <c r="H8" i="45"/>
  <c r="D8" i="45"/>
  <c r="C8" i="45"/>
  <c r="O5" i="30"/>
  <c r="H5" i="30"/>
  <c r="AZ5" i="30"/>
  <c r="AG5" i="30"/>
  <c r="BH5" i="30"/>
  <c r="BP6" i="30"/>
  <c r="BR6" i="30" s="1"/>
  <c r="BS6" i="30" s="1"/>
  <c r="BP5" i="30"/>
  <c r="BR5" i="30" s="1"/>
  <c r="BS5" i="30" s="1"/>
  <c r="AN5" i="30"/>
  <c r="D7" i="38"/>
  <c r="BP8" i="30"/>
  <c r="BR8" i="30" s="1"/>
  <c r="BS8" i="30" s="1"/>
  <c r="BS12" i="22"/>
  <c r="BR12" i="22"/>
  <c r="BS11" i="22"/>
  <c r="BR11" i="22"/>
  <c r="BO13" i="22" s="1"/>
  <c r="BQ13" i="22" s="1"/>
  <c r="BO14" i="22" s="1"/>
  <c r="BQ14" i="22" s="1"/>
  <c r="BO12" i="30" s="1"/>
  <c r="AC8" i="30"/>
  <c r="X7" i="38"/>
  <c r="X6" i="38"/>
  <c r="R7" i="38"/>
  <c r="R6" i="38"/>
  <c r="S9" i="38"/>
  <c r="T8" i="38"/>
  <c r="V8" i="38" s="1"/>
  <c r="M9" i="38"/>
  <c r="N8" i="38"/>
  <c r="G9" i="38"/>
  <c r="H8" i="38"/>
  <c r="D8" i="38"/>
  <c r="F8" i="38"/>
  <c r="A9" i="38"/>
  <c r="B9" i="38"/>
  <c r="AQ12" i="22"/>
  <c r="AP12" i="22"/>
  <c r="AQ11" i="22"/>
  <c r="AP11" i="22"/>
  <c r="AJ12" i="22"/>
  <c r="AI12" i="22"/>
  <c r="AJ11" i="22"/>
  <c r="AI11" i="22"/>
  <c r="AC12" i="22"/>
  <c r="AB12" i="22"/>
  <c r="V12" i="22"/>
  <c r="U12" i="22"/>
  <c r="V11" i="22"/>
  <c r="U11" i="22"/>
  <c r="O11" i="22"/>
  <c r="N11" i="22"/>
  <c r="O12" i="22"/>
  <c r="N12" i="22"/>
  <c r="H11" i="22"/>
  <c r="G11" i="22"/>
  <c r="H12" i="22"/>
  <c r="G12" i="22"/>
  <c r="AT13" i="22"/>
  <c r="AV13" i="22" s="1"/>
  <c r="BA14" i="22"/>
  <c r="BC14" i="22" s="1"/>
  <c r="BA13" i="22"/>
  <c r="BC13" i="22" s="1"/>
  <c r="AT14" i="22"/>
  <c r="AV14" i="22" s="1"/>
  <c r="K10" i="30"/>
  <c r="M10" i="30" s="1"/>
  <c r="BD9" i="30"/>
  <c r="BF9" i="30" s="1"/>
  <c r="AD9" i="30"/>
  <c r="AF9" i="30" s="1"/>
  <c r="AH9" i="30" s="1"/>
  <c r="BD10" i="30"/>
  <c r="BF10" i="30" s="1"/>
  <c r="AW10" i="30"/>
  <c r="AY10" i="30" s="1"/>
  <c r="AK9" i="30"/>
  <c r="AM9" i="30" s="1"/>
  <c r="AK10" i="30"/>
  <c r="AM10" i="30" s="1"/>
  <c r="AW9" i="30"/>
  <c r="AY9" i="30" s="1"/>
  <c r="AD10" i="30"/>
  <c r="AF10" i="30" s="1"/>
  <c r="AH10" i="30" s="1"/>
  <c r="K9" i="30"/>
  <c r="M9" i="30" s="1"/>
  <c r="D10" i="30"/>
  <c r="F10" i="30" s="1"/>
  <c r="D9" i="30"/>
  <c r="F9" i="30" s="1"/>
  <c r="F6" i="34"/>
  <c r="C13" i="22"/>
  <c r="C12" i="22"/>
  <c r="B14" i="22"/>
  <c r="AX12" i="22"/>
  <c r="AW12" i="22"/>
  <c r="BL11" i="22"/>
  <c r="BK11" i="22"/>
  <c r="BL12" i="22"/>
  <c r="BK12" i="22"/>
  <c r="AC11" i="22"/>
  <c r="AX11" i="22"/>
  <c r="AW11" i="22"/>
  <c r="BE11" i="22"/>
  <c r="BD11" i="22"/>
  <c r="BE12" i="22"/>
  <c r="BD12" i="22"/>
  <c r="AE8" i="38"/>
  <c r="AF8" i="38"/>
  <c r="AD7" i="38"/>
  <c r="AB7" i="38"/>
  <c r="AH7" i="38"/>
  <c r="AJ7" i="38"/>
  <c r="AR10" i="30"/>
  <c r="AT10" i="30" s="1"/>
  <c r="AU10" i="30" s="1"/>
  <c r="V9" i="30"/>
  <c r="X9" i="30" s="1"/>
  <c r="BK10" i="30"/>
  <c r="BM10" i="30" s="1"/>
  <c r="BN10" i="30" s="1"/>
  <c r="R9" i="30"/>
  <c r="T9" i="30" s="1"/>
  <c r="BK9" i="30"/>
  <c r="BM9" i="30" s="1"/>
  <c r="BN9" i="30" s="1"/>
  <c r="AR9" i="30"/>
  <c r="AT9" i="30" s="1"/>
  <c r="AU9" i="30" s="1"/>
  <c r="R10" i="30"/>
  <c r="T10" i="30" s="1"/>
  <c r="U10" i="30" s="1"/>
  <c r="Z9" i="30"/>
  <c r="AB9" i="30" s="1"/>
  <c r="Z10" i="30"/>
  <c r="AB10" i="30" s="1"/>
  <c r="V10" i="30"/>
  <c r="X10" i="30" s="1"/>
  <c r="Y10" i="30" s="1"/>
  <c r="H7" i="34"/>
  <c r="G7" i="34"/>
  <c r="BA8" i="30"/>
  <c r="AZ8" i="30"/>
  <c r="AO7" i="30"/>
  <c r="AN7" i="30"/>
  <c r="BN7" i="30"/>
  <c r="AG8" i="30"/>
  <c r="D7" i="34"/>
  <c r="F7" i="34"/>
  <c r="J6" i="34"/>
  <c r="L6" i="34"/>
  <c r="AH6" i="34"/>
  <c r="AJ6" i="34"/>
  <c r="P6" i="34"/>
  <c r="R6" i="34"/>
  <c r="H8" i="30"/>
  <c r="G8" i="30"/>
  <c r="G7" i="30"/>
  <c r="H7" i="30"/>
  <c r="T7" i="34"/>
  <c r="S7" i="34"/>
  <c r="A8" i="34"/>
  <c r="B8" i="34"/>
  <c r="Z7" i="34"/>
  <c r="Y7" i="34"/>
  <c r="AF7" i="34"/>
  <c r="AE7" i="34"/>
  <c r="M7" i="34"/>
  <c r="N7" i="34"/>
  <c r="BH8" i="30"/>
  <c r="BG8" i="30"/>
  <c r="N8" i="30"/>
  <c r="O8" i="30"/>
  <c r="BA7" i="30"/>
  <c r="AZ7" i="30"/>
  <c r="AC7" i="30"/>
  <c r="C12" i="30"/>
  <c r="C13" i="30"/>
  <c r="B14" i="30"/>
  <c r="X6" i="34"/>
  <c r="V6" i="34"/>
  <c r="AB6" i="34"/>
  <c r="AD6" i="34"/>
  <c r="AO8" i="30"/>
  <c r="AN8" i="30"/>
  <c r="AG7" i="30"/>
  <c r="BH7" i="30"/>
  <c r="BG7" i="30"/>
  <c r="N7" i="30"/>
  <c r="O7" i="30"/>
  <c r="D18" i="11"/>
  <c r="D14" i="22"/>
  <c r="F14" i="22" s="1"/>
  <c r="R14" i="22"/>
  <c r="T14" i="22" s="1"/>
  <c r="Y14" i="22"/>
  <c r="AA14" i="22" s="1"/>
  <c r="AF14" i="22"/>
  <c r="AH14" i="22" s="1"/>
  <c r="AM14" i="22"/>
  <c r="AO14" i="22" s="1"/>
  <c r="BH14" i="22"/>
  <c r="BJ14" i="22" s="1"/>
  <c r="K14" i="22"/>
  <c r="M14" i="22" s="1"/>
  <c r="BH13" i="22"/>
  <c r="BJ13" i="22" s="1"/>
  <c r="Y13" i="22"/>
  <c r="AA13" i="22" s="1"/>
  <c r="D13" i="22"/>
  <c r="F13" i="22" s="1"/>
  <c r="G13" i="22" s="1"/>
  <c r="AM13" i="22"/>
  <c r="AO13" i="22" s="1"/>
  <c r="R13" i="22"/>
  <c r="T13" i="22" s="1"/>
  <c r="K13" i="22"/>
  <c r="M13" i="22" s="1"/>
  <c r="N13" i="22" s="1"/>
  <c r="AF13" i="22"/>
  <c r="AH13" i="22" s="1"/>
  <c r="B16" i="23"/>
  <c r="C15" i="23"/>
  <c r="D14" i="23"/>
  <c r="B19" i="11"/>
  <c r="C19" i="11" s="1"/>
  <c r="Y19" i="11"/>
  <c r="P14" i="23"/>
  <c r="F18" i="11"/>
  <c r="E15" i="23"/>
  <c r="Z14" i="23" a="1"/>
  <c r="S15" i="23"/>
  <c r="P18" i="11"/>
  <c r="N14" i="23"/>
  <c r="V14" i="23"/>
  <c r="G15" i="23"/>
  <c r="L18" i="11"/>
  <c r="S19" i="11"/>
  <c r="AC19" i="11" a="1"/>
  <c r="N18" i="11"/>
  <c r="Q19" i="11"/>
  <c r="H14" i="23"/>
  <c r="I15" i="23"/>
  <c r="X18" i="11"/>
  <c r="J18" i="11"/>
  <c r="Z18" i="11"/>
  <c r="I19" i="11"/>
  <c r="O15" i="23"/>
  <c r="L14" i="23"/>
  <c r="T14" i="23"/>
  <c r="G19" i="11"/>
  <c r="W15" i="23"/>
  <c r="E19" i="11"/>
  <c r="K19" i="11"/>
  <c r="H18" i="11"/>
  <c r="K15" i="23"/>
  <c r="T18" i="11"/>
  <c r="M15" i="23"/>
  <c r="AB18" i="11"/>
  <c r="R18" i="11"/>
  <c r="R14" i="23" a="1"/>
  <c r="W19" i="11"/>
  <c r="X14" i="23"/>
  <c r="F14" i="23"/>
  <c r="Q15" i="23" a="1"/>
  <c r="AA19" i="11"/>
  <c r="U15" i="23"/>
  <c r="O19" i="11"/>
  <c r="Y15" i="23" a="1"/>
  <c r="J14" i="23"/>
  <c r="M19" i="11"/>
  <c r="AD18" i="11" a="1"/>
  <c r="BI10" i="48" l="1"/>
  <c r="BE10" i="48"/>
  <c r="BF10" i="48"/>
  <c r="BA10" i="48"/>
  <c r="AX10" i="48"/>
  <c r="AW10" i="48"/>
  <c r="AT10" i="48"/>
  <c r="AS10" i="48"/>
  <c r="AP10" i="48"/>
  <c r="AO10" i="48"/>
  <c r="X11" i="48"/>
  <c r="W11" i="48"/>
  <c r="T11" i="48"/>
  <c r="S11" i="48"/>
  <c r="O11" i="48"/>
  <c r="P11" i="48"/>
  <c r="K11" i="48"/>
  <c r="L11" i="48"/>
  <c r="BU8" i="45"/>
  <c r="BV8" i="45"/>
  <c r="BR8" i="45"/>
  <c r="BQ8" i="45"/>
  <c r="BN8" i="45"/>
  <c r="BM8" i="45"/>
  <c r="BI8" i="45"/>
  <c r="BJ8" i="45"/>
  <c r="BE8" i="45"/>
  <c r="BF8" i="45"/>
  <c r="BA8" i="45"/>
  <c r="BB8" i="45"/>
  <c r="AW8" i="45"/>
  <c r="AX8" i="45"/>
  <c r="AS8" i="45"/>
  <c r="AT8" i="45"/>
  <c r="AP8" i="45"/>
  <c r="AO8" i="45"/>
  <c r="AI9" i="45"/>
  <c r="AJ9" i="45"/>
  <c r="AE9" i="45"/>
  <c r="AF9" i="45"/>
  <c r="AA9" i="45"/>
  <c r="AB9" i="45"/>
  <c r="W9" i="45"/>
  <c r="X9" i="45"/>
  <c r="S9" i="45"/>
  <c r="O9" i="45"/>
  <c r="P9" i="45"/>
  <c r="K9" i="45"/>
  <c r="L9" i="45"/>
  <c r="G9" i="45"/>
  <c r="H9" i="45"/>
  <c r="D9" i="45"/>
  <c r="C9" i="45"/>
  <c r="BR13" i="22"/>
  <c r="BS13" i="22"/>
  <c r="BR14" i="22"/>
  <c r="BS14" i="22"/>
  <c r="BO15" i="22" s="1"/>
  <c r="BQ15" i="22" s="1"/>
  <c r="BO16" i="22" s="1"/>
  <c r="BQ16" i="22" s="1"/>
  <c r="BP10" i="30"/>
  <c r="BR10" i="30" s="1"/>
  <c r="BS10" i="30" s="1"/>
  <c r="BO14" i="30" s="1"/>
  <c r="BP9" i="30"/>
  <c r="BR9" i="30" s="1"/>
  <c r="BS9" i="30" s="1"/>
  <c r="BO11" i="30"/>
  <c r="AC10" i="30"/>
  <c r="AC9" i="30"/>
  <c r="X8" i="38"/>
  <c r="P8" i="38"/>
  <c r="S10" i="38"/>
  <c r="T9" i="38"/>
  <c r="V9" i="38" s="1"/>
  <c r="M10" i="38"/>
  <c r="N9" i="38"/>
  <c r="P9" i="38" s="1"/>
  <c r="J8" i="38"/>
  <c r="L8" i="38"/>
  <c r="G10" i="38"/>
  <c r="H9" i="38"/>
  <c r="D9" i="38"/>
  <c r="F9" i="38"/>
  <c r="A10" i="38"/>
  <c r="B10" i="38"/>
  <c r="AQ13" i="22"/>
  <c r="AP13" i="22"/>
  <c r="AQ14" i="22"/>
  <c r="AP14" i="22"/>
  <c r="AJ14" i="22"/>
  <c r="AI14" i="22"/>
  <c r="AJ13" i="22"/>
  <c r="AI13" i="22"/>
  <c r="AC14" i="22"/>
  <c r="AB14" i="22"/>
  <c r="AC13" i="22"/>
  <c r="AB13" i="22"/>
  <c r="V14" i="22"/>
  <c r="U14" i="22"/>
  <c r="V13" i="22"/>
  <c r="U13" i="22"/>
  <c r="O14" i="22"/>
  <c r="N14" i="22"/>
  <c r="H14" i="22"/>
  <c r="G14" i="22"/>
  <c r="BA15" i="22"/>
  <c r="BC15" i="22" s="1"/>
  <c r="AT16" i="22"/>
  <c r="AV16" i="22" s="1"/>
  <c r="AT15" i="22"/>
  <c r="AV15" i="22" s="1"/>
  <c r="BA16" i="22"/>
  <c r="BC16" i="22" s="1"/>
  <c r="K12" i="30"/>
  <c r="M12" i="30" s="1"/>
  <c r="AK11" i="30"/>
  <c r="AM11" i="30" s="1"/>
  <c r="AW12" i="30"/>
  <c r="AY12" i="30" s="1"/>
  <c r="K11" i="30"/>
  <c r="M11" i="30" s="1"/>
  <c r="AW11" i="30"/>
  <c r="AY11" i="30" s="1"/>
  <c r="AD11" i="30"/>
  <c r="AF11" i="30" s="1"/>
  <c r="AH11" i="30" s="1"/>
  <c r="AK12" i="30"/>
  <c r="AM12" i="30" s="1"/>
  <c r="BD11" i="30"/>
  <c r="BF11" i="30" s="1"/>
  <c r="AD12" i="30"/>
  <c r="AF12" i="30" s="1"/>
  <c r="AH12" i="30" s="1"/>
  <c r="BD12" i="30"/>
  <c r="BF12" i="30" s="1"/>
  <c r="D12" i="30"/>
  <c r="F12" i="30" s="1"/>
  <c r="D11" i="30"/>
  <c r="F11" i="30" s="1"/>
  <c r="C15" i="22"/>
  <c r="C14" i="22"/>
  <c r="B16" i="22"/>
  <c r="BL13" i="22"/>
  <c r="BK13" i="22"/>
  <c r="AX13" i="22"/>
  <c r="AW13" i="22"/>
  <c r="BL14" i="22"/>
  <c r="BK14" i="22"/>
  <c r="AX14" i="22"/>
  <c r="AW14" i="22"/>
  <c r="O13" i="22"/>
  <c r="H13" i="22"/>
  <c r="BE14" i="22"/>
  <c r="BD14" i="22"/>
  <c r="AF9" i="38"/>
  <c r="BE13" i="22"/>
  <c r="BD13" i="22"/>
  <c r="AE9" i="38"/>
  <c r="AJ8" i="38"/>
  <c r="AH8" i="38"/>
  <c r="AD8" i="38"/>
  <c r="AB8" i="38"/>
  <c r="V12" i="30"/>
  <c r="X12" i="30" s="1"/>
  <c r="Y12" i="30" s="1"/>
  <c r="AR11" i="30"/>
  <c r="AT11" i="30" s="1"/>
  <c r="Z11" i="30"/>
  <c r="AB11" i="30" s="1"/>
  <c r="BK12" i="30"/>
  <c r="BM12" i="30" s="1"/>
  <c r="BN12" i="30" s="1"/>
  <c r="BK11" i="30"/>
  <c r="BM11" i="30" s="1"/>
  <c r="R11" i="30"/>
  <c r="T11" i="30" s="1"/>
  <c r="U11" i="30" s="1"/>
  <c r="Z12" i="30"/>
  <c r="AB12" i="30" s="1"/>
  <c r="R12" i="30"/>
  <c r="T12" i="30" s="1"/>
  <c r="U12" i="30" s="1"/>
  <c r="V11" i="30"/>
  <c r="X11" i="30" s="1"/>
  <c r="Y11" i="30" s="1"/>
  <c r="AR12" i="30"/>
  <c r="AT12" i="30" s="1"/>
  <c r="AU12" i="30" s="1"/>
  <c r="M8" i="34"/>
  <c r="N8" i="34"/>
  <c r="AE8" i="34"/>
  <c r="AF8" i="34"/>
  <c r="Y8" i="34"/>
  <c r="Z8" i="34"/>
  <c r="D8" i="34"/>
  <c r="F8" i="34"/>
  <c r="T8" i="34"/>
  <c r="S8" i="34"/>
  <c r="G8" i="34"/>
  <c r="H8" i="34"/>
  <c r="AO9" i="30"/>
  <c r="AN9" i="30"/>
  <c r="BA10" i="30"/>
  <c r="AZ10" i="30"/>
  <c r="BH10" i="30"/>
  <c r="BG10" i="30"/>
  <c r="AH7" i="34"/>
  <c r="AJ7" i="34"/>
  <c r="AB7" i="34"/>
  <c r="AD7" i="34"/>
  <c r="B9" i="34"/>
  <c r="A9" i="34"/>
  <c r="V7" i="34"/>
  <c r="X7" i="34"/>
  <c r="L7" i="34"/>
  <c r="J7" i="34"/>
  <c r="G10" i="30"/>
  <c r="H10" i="30"/>
  <c r="G9" i="30"/>
  <c r="H9" i="30"/>
  <c r="N10" i="30"/>
  <c r="O10" i="30"/>
  <c r="C14" i="30"/>
  <c r="C15" i="30"/>
  <c r="B16" i="30"/>
  <c r="AG10" i="30"/>
  <c r="AG9" i="30"/>
  <c r="N9" i="30"/>
  <c r="O9" i="30"/>
  <c r="BH9" i="30"/>
  <c r="BG9" i="30"/>
  <c r="R7" i="34"/>
  <c r="P7" i="34"/>
  <c r="AO10" i="30"/>
  <c r="AN10" i="30"/>
  <c r="U9" i="30"/>
  <c r="Y9" i="30"/>
  <c r="BA9" i="30"/>
  <c r="AZ9" i="30"/>
  <c r="D19" i="11"/>
  <c r="K16" i="22"/>
  <c r="M16" i="22" s="1"/>
  <c r="AM16" i="22"/>
  <c r="AO16" i="22" s="1"/>
  <c r="Y16" i="22"/>
  <c r="AA16" i="22" s="1"/>
  <c r="D16" i="22"/>
  <c r="F16" i="22" s="1"/>
  <c r="BH16" i="22"/>
  <c r="BJ16" i="22" s="1"/>
  <c r="AF16" i="22"/>
  <c r="AH16" i="22" s="1"/>
  <c r="R16" i="22"/>
  <c r="T16" i="22" s="1"/>
  <c r="AM15" i="22"/>
  <c r="AO15" i="22" s="1"/>
  <c r="AP15" i="22" s="1"/>
  <c r="Y15" i="22"/>
  <c r="AA15" i="22" s="1"/>
  <c r="AF15" i="22"/>
  <c r="AH15" i="22" s="1"/>
  <c r="BH15" i="22"/>
  <c r="BJ15" i="22" s="1"/>
  <c r="R15" i="22"/>
  <c r="T15" i="22" s="1"/>
  <c r="K15" i="22"/>
  <c r="M15" i="22" s="1"/>
  <c r="D15" i="22"/>
  <c r="F15" i="22" s="1"/>
  <c r="D15" i="23"/>
  <c r="C16" i="23"/>
  <c r="B17" i="23"/>
  <c r="B20" i="11"/>
  <c r="C20" i="11" s="1"/>
  <c r="F15" i="23"/>
  <c r="AB19" i="11"/>
  <c r="Z15" i="23" a="1"/>
  <c r="O20" i="11"/>
  <c r="I16" i="23"/>
  <c r="N15" i="23"/>
  <c r="N19" i="11"/>
  <c r="J19" i="11"/>
  <c r="O16" i="23"/>
  <c r="R19" i="11"/>
  <c r="E20" i="11"/>
  <c r="V15" i="23"/>
  <c r="H15" i="23"/>
  <c r="Y20" i="11"/>
  <c r="J15" i="23"/>
  <c r="W20" i="11"/>
  <c r="X15" i="23"/>
  <c r="Q16" i="23" a="1"/>
  <c r="U16" i="23"/>
  <c r="AD19" i="11" a="1"/>
  <c r="AC20" i="11" a="1"/>
  <c r="M20" i="11"/>
  <c r="Z19" i="11"/>
  <c r="T19" i="11"/>
  <c r="L19" i="11"/>
  <c r="G16" i="23"/>
  <c r="P15" i="23"/>
  <c r="R15" i="23" a="1"/>
  <c r="Y16" i="23" a="1"/>
  <c r="P19" i="11"/>
  <c r="M16" i="23"/>
  <c r="AA20" i="11"/>
  <c r="L15" i="23"/>
  <c r="G20" i="11"/>
  <c r="I20" i="11"/>
  <c r="T15" i="23"/>
  <c r="H19" i="11"/>
  <c r="S16" i="23"/>
  <c r="Q20" i="11"/>
  <c r="X19" i="11"/>
  <c r="W16" i="23"/>
  <c r="F19" i="11"/>
  <c r="K20" i="11"/>
  <c r="E16" i="23"/>
  <c r="S20" i="11"/>
  <c r="K16" i="23"/>
  <c r="BI11" i="48" l="1"/>
  <c r="BE11" i="48"/>
  <c r="BF11" i="48"/>
  <c r="BA11" i="48"/>
  <c r="AX11" i="48"/>
  <c r="AW11" i="48"/>
  <c r="AT11" i="48"/>
  <c r="AS11" i="48"/>
  <c r="AP11" i="48"/>
  <c r="AO11" i="48"/>
  <c r="W12" i="48"/>
  <c r="X12" i="48"/>
  <c r="T12" i="48"/>
  <c r="S12" i="48"/>
  <c r="O12" i="48"/>
  <c r="P12" i="48"/>
  <c r="K12" i="48"/>
  <c r="L12" i="48"/>
  <c r="BU9" i="45"/>
  <c r="BV9" i="45"/>
  <c r="BQ9" i="45"/>
  <c r="BR9" i="45"/>
  <c r="BM9" i="45"/>
  <c r="BN9" i="45"/>
  <c r="BI9" i="45"/>
  <c r="BJ9" i="45"/>
  <c r="BE9" i="45"/>
  <c r="BF9" i="45"/>
  <c r="BB9" i="45"/>
  <c r="BA9" i="45"/>
  <c r="AW9" i="45"/>
  <c r="AX9" i="45"/>
  <c r="AS9" i="45"/>
  <c r="AT9" i="45"/>
  <c r="AO9" i="45"/>
  <c r="AP9" i="45"/>
  <c r="AJ10" i="45"/>
  <c r="AI10" i="45"/>
  <c r="AF10" i="45"/>
  <c r="AE10" i="45"/>
  <c r="AB10" i="45"/>
  <c r="AA10" i="45"/>
  <c r="W10" i="45"/>
  <c r="X10" i="45"/>
  <c r="S10" i="45"/>
  <c r="O10" i="45"/>
  <c r="P10" i="45"/>
  <c r="K10" i="45"/>
  <c r="L10" i="45"/>
  <c r="G10" i="45"/>
  <c r="H10" i="45"/>
  <c r="D10" i="45"/>
  <c r="C10" i="45"/>
  <c r="BP12" i="30"/>
  <c r="BR12" i="30" s="1"/>
  <c r="BR16" i="22"/>
  <c r="BS16" i="22"/>
  <c r="BS15" i="22"/>
  <c r="BR15" i="22"/>
  <c r="BO17" i="22" s="1"/>
  <c r="BQ17" i="22" s="1"/>
  <c r="BO18" i="22" s="1"/>
  <c r="BQ18" i="22" s="1"/>
  <c r="BO16" i="30" s="1"/>
  <c r="BP11" i="30"/>
  <c r="BR11" i="30" s="1"/>
  <c r="BS11" i="30" s="1"/>
  <c r="BO13" i="30"/>
  <c r="AC12" i="30"/>
  <c r="X9" i="38"/>
  <c r="R9" i="38"/>
  <c r="R8" i="38"/>
  <c r="S11" i="38"/>
  <c r="T10" i="38"/>
  <c r="M11" i="38"/>
  <c r="N10" i="38"/>
  <c r="J9" i="38"/>
  <c r="L9" i="38"/>
  <c r="G11" i="38"/>
  <c r="H10" i="38"/>
  <c r="D10" i="38"/>
  <c r="F10" i="38"/>
  <c r="A11" i="38"/>
  <c r="B11" i="38"/>
  <c r="AQ16" i="22"/>
  <c r="AP16" i="22"/>
  <c r="AJ15" i="22"/>
  <c r="AI15" i="22"/>
  <c r="AJ16" i="22"/>
  <c r="AI16" i="22"/>
  <c r="AC16" i="22"/>
  <c r="AB16" i="22"/>
  <c r="AC15" i="22"/>
  <c r="AB15" i="22"/>
  <c r="V15" i="22"/>
  <c r="U15" i="22"/>
  <c r="V16" i="22"/>
  <c r="U16" i="22"/>
  <c r="O15" i="22"/>
  <c r="N15" i="22"/>
  <c r="O16" i="22"/>
  <c r="N16" i="22"/>
  <c r="H15" i="22"/>
  <c r="G15" i="22"/>
  <c r="H16" i="22"/>
  <c r="G16" i="22"/>
  <c r="BA17" i="22"/>
  <c r="BC17" i="22" s="1"/>
  <c r="BD17" i="22" s="1"/>
  <c r="BA18" i="22"/>
  <c r="BC18" i="22" s="1"/>
  <c r="AT17" i="22"/>
  <c r="AV17" i="22" s="1"/>
  <c r="AW17" i="22" s="1"/>
  <c r="AT18" i="22"/>
  <c r="AV18" i="22" s="1"/>
  <c r="AD14" i="30"/>
  <c r="AF14" i="30" s="1"/>
  <c r="AH14" i="30" s="1"/>
  <c r="AW13" i="30"/>
  <c r="AY13" i="30" s="1"/>
  <c r="K13" i="30"/>
  <c r="M13" i="30" s="1"/>
  <c r="AK13" i="30"/>
  <c r="AM13" i="30" s="1"/>
  <c r="AW14" i="30"/>
  <c r="AY14" i="30" s="1"/>
  <c r="AD13" i="30"/>
  <c r="AF13" i="30" s="1"/>
  <c r="AH13" i="30" s="1"/>
  <c r="AK14" i="30"/>
  <c r="AM14" i="30" s="1"/>
  <c r="K14" i="30"/>
  <c r="M14" i="30" s="1"/>
  <c r="BD14" i="30"/>
  <c r="BF14" i="30" s="1"/>
  <c r="BD13" i="30"/>
  <c r="BF13" i="30" s="1"/>
  <c r="D14" i="30"/>
  <c r="F14" i="30" s="1"/>
  <c r="D13" i="30"/>
  <c r="F13" i="30" s="1"/>
  <c r="B18" i="22"/>
  <c r="C17" i="22"/>
  <c r="C16" i="22"/>
  <c r="BL16" i="22"/>
  <c r="BK16" i="22"/>
  <c r="AQ15" i="22"/>
  <c r="AX16" i="22"/>
  <c r="AW16" i="22"/>
  <c r="BL15" i="22"/>
  <c r="BK15" i="22"/>
  <c r="AX15" i="22"/>
  <c r="AW15" i="22"/>
  <c r="BE15" i="22"/>
  <c r="BD15" i="22"/>
  <c r="BE16" i="22"/>
  <c r="BD16" i="22"/>
  <c r="AE10" i="38"/>
  <c r="AF10" i="38"/>
  <c r="AB9" i="38"/>
  <c r="AD9" i="38"/>
  <c r="AJ9" i="38"/>
  <c r="AH9" i="38"/>
  <c r="R14" i="30"/>
  <c r="T14" i="30" s="1"/>
  <c r="U14" i="30" s="1"/>
  <c r="R13" i="30"/>
  <c r="T13" i="30" s="1"/>
  <c r="Z13" i="30"/>
  <c r="AB13" i="30" s="1"/>
  <c r="AR13" i="30"/>
  <c r="AT13" i="30" s="1"/>
  <c r="AU13" i="30" s="1"/>
  <c r="AR14" i="30"/>
  <c r="AT14" i="30" s="1"/>
  <c r="AU14" i="30" s="1"/>
  <c r="Z14" i="30"/>
  <c r="AB14" i="30" s="1"/>
  <c r="V14" i="30"/>
  <c r="X14" i="30" s="1"/>
  <c r="Y14" i="30" s="1"/>
  <c r="V13" i="30"/>
  <c r="X13" i="30" s="1"/>
  <c r="BK14" i="30"/>
  <c r="BM14" i="30" s="1"/>
  <c r="BN14" i="30" s="1"/>
  <c r="BK13" i="30"/>
  <c r="BM13" i="30" s="1"/>
  <c r="BN13" i="30" s="1"/>
  <c r="J8" i="34"/>
  <c r="L8" i="34"/>
  <c r="T9" i="34"/>
  <c r="S9" i="34"/>
  <c r="AO11" i="30"/>
  <c r="AN11" i="30"/>
  <c r="AZ11" i="30"/>
  <c r="BA11" i="30"/>
  <c r="G11" i="30"/>
  <c r="H11" i="30"/>
  <c r="BG12" i="30"/>
  <c r="BH12" i="30"/>
  <c r="A10" i="34"/>
  <c r="B10" i="34"/>
  <c r="G9" i="34"/>
  <c r="H9" i="34"/>
  <c r="V8" i="34"/>
  <c r="X8" i="34"/>
  <c r="AG12" i="30"/>
  <c r="AU11" i="30"/>
  <c r="BA12" i="30"/>
  <c r="AZ12" i="30"/>
  <c r="C17" i="30"/>
  <c r="C16" i="30"/>
  <c r="B18" i="30"/>
  <c r="F9" i="34"/>
  <c r="D9" i="34"/>
  <c r="AB8" i="34"/>
  <c r="AD8" i="34"/>
  <c r="AH8" i="34"/>
  <c r="AJ8" i="34"/>
  <c r="P8" i="34"/>
  <c r="R8" i="34"/>
  <c r="H12" i="30"/>
  <c r="G12" i="30"/>
  <c r="AG11" i="30"/>
  <c r="O11" i="30"/>
  <c r="N11" i="30"/>
  <c r="N12" i="30"/>
  <c r="O12" i="30"/>
  <c r="Y9" i="34"/>
  <c r="Z9" i="34"/>
  <c r="AE9" i="34"/>
  <c r="AF9" i="34"/>
  <c r="N9" i="34"/>
  <c r="M9" i="34"/>
  <c r="AO12" i="30"/>
  <c r="AN12" i="30"/>
  <c r="BN11" i="30"/>
  <c r="AC11" i="30"/>
  <c r="BH11" i="30"/>
  <c r="BG11" i="30"/>
  <c r="D20" i="11"/>
  <c r="K18" i="22"/>
  <c r="M18" i="22" s="1"/>
  <c r="AF18" i="22"/>
  <c r="AH18" i="22" s="1"/>
  <c r="BH18" i="22"/>
  <c r="BJ18" i="22" s="1"/>
  <c r="Y18" i="22"/>
  <c r="AA18" i="22" s="1"/>
  <c r="D18" i="22"/>
  <c r="F18" i="22" s="1"/>
  <c r="AM18" i="22"/>
  <c r="AO18" i="22" s="1"/>
  <c r="R18" i="22"/>
  <c r="T18" i="22" s="1"/>
  <c r="AM17" i="22"/>
  <c r="AO17" i="22" s="1"/>
  <c r="AP17" i="22" s="1"/>
  <c r="BH17" i="22"/>
  <c r="BJ17" i="22" s="1"/>
  <c r="BK17" i="22" s="1"/>
  <c r="Y17" i="22"/>
  <c r="AA17" i="22" s="1"/>
  <c r="K17" i="22"/>
  <c r="M17" i="22" s="1"/>
  <c r="D17" i="22"/>
  <c r="F17" i="22" s="1"/>
  <c r="R17" i="22"/>
  <c r="T17" i="22" s="1"/>
  <c r="AF17" i="22"/>
  <c r="AH17" i="22" s="1"/>
  <c r="AI17" i="22" s="1"/>
  <c r="D16" i="23"/>
  <c r="B18" i="23"/>
  <c r="C18" i="23" s="1"/>
  <c r="C17" i="23"/>
  <c r="B21" i="11"/>
  <c r="C21" i="11" s="1"/>
  <c r="K17" i="23"/>
  <c r="X16" i="23"/>
  <c r="Y21" i="11"/>
  <c r="Q17" i="23" a="1"/>
  <c r="U18" i="23"/>
  <c r="W18" i="23"/>
  <c r="W17" i="23"/>
  <c r="AB20" i="11"/>
  <c r="O18" i="23"/>
  <c r="J20" i="11"/>
  <c r="V16" i="23"/>
  <c r="S21" i="11"/>
  <c r="K18" i="23"/>
  <c r="W21" i="11"/>
  <c r="N16" i="23"/>
  <c r="M17" i="23"/>
  <c r="M18" i="23"/>
  <c r="H16" i="23"/>
  <c r="AC21" i="11" a="1"/>
  <c r="N20" i="11"/>
  <c r="Q21" i="11"/>
  <c r="H20" i="11"/>
  <c r="P16" i="23"/>
  <c r="E18" i="23"/>
  <c r="E21" i="11"/>
  <c r="I18" i="23"/>
  <c r="L20" i="11"/>
  <c r="K21" i="11"/>
  <c r="X20" i="11"/>
  <c r="I17" i="23"/>
  <c r="G21" i="11"/>
  <c r="L16" i="23"/>
  <c r="AA21" i="11"/>
  <c r="O17" i="23"/>
  <c r="Y17" i="23" a="1"/>
  <c r="F16" i="23"/>
  <c r="Z16" i="23" a="1"/>
  <c r="P20" i="11"/>
  <c r="S17" i="23"/>
  <c r="I21" i="11"/>
  <c r="O21" i="11"/>
  <c r="R16" i="23" a="1"/>
  <c r="R20" i="11"/>
  <c r="F20" i="11"/>
  <c r="G17" i="23"/>
  <c r="S18" i="23"/>
  <c r="U17" i="23"/>
  <c r="T16" i="23"/>
  <c r="E17" i="23"/>
  <c r="G18" i="23"/>
  <c r="J16" i="23"/>
  <c r="Z20" i="11"/>
  <c r="M21" i="11"/>
  <c r="T20" i="11"/>
  <c r="BI12" i="48" l="1"/>
  <c r="BF12" i="48"/>
  <c r="BE12" i="48"/>
  <c r="BA12" i="48"/>
  <c r="AX12" i="48"/>
  <c r="AW12" i="48"/>
  <c r="AS12" i="48"/>
  <c r="AT12" i="48"/>
  <c r="AO12" i="48"/>
  <c r="AP12" i="48"/>
  <c r="W14" i="48"/>
  <c r="X14" i="48"/>
  <c r="W13" i="48"/>
  <c r="X13" i="48"/>
  <c r="T13" i="48"/>
  <c r="S13" i="48"/>
  <c r="T14" i="48"/>
  <c r="S14" i="48"/>
  <c r="O14" i="48"/>
  <c r="P14" i="48"/>
  <c r="P13" i="48"/>
  <c r="O13" i="48"/>
  <c r="K14" i="48"/>
  <c r="L14" i="48"/>
  <c r="L13" i="48"/>
  <c r="K13" i="48"/>
  <c r="BU10" i="45"/>
  <c r="BV10" i="45"/>
  <c r="BQ10" i="45"/>
  <c r="BR10" i="45"/>
  <c r="BN10" i="45"/>
  <c r="BM10" i="45"/>
  <c r="BI10" i="45"/>
  <c r="BJ10" i="45"/>
  <c r="BE10" i="45"/>
  <c r="BF10" i="45"/>
  <c r="BB10" i="45"/>
  <c r="BA10" i="45"/>
  <c r="AW10" i="45"/>
  <c r="AX10" i="45"/>
  <c r="AT10" i="45"/>
  <c r="AS10" i="45"/>
  <c r="AO10" i="45"/>
  <c r="AP10" i="45"/>
  <c r="AJ11" i="45"/>
  <c r="AI11" i="45"/>
  <c r="AF11" i="45"/>
  <c r="AE11" i="45"/>
  <c r="AA11" i="45"/>
  <c r="AB11" i="45"/>
  <c r="X11" i="45"/>
  <c r="W11" i="45"/>
  <c r="S11" i="45"/>
  <c r="P11" i="45"/>
  <c r="O11" i="45"/>
  <c r="K11" i="45"/>
  <c r="L11" i="45"/>
  <c r="H11" i="45"/>
  <c r="G11" i="45"/>
  <c r="D11" i="45"/>
  <c r="C11" i="45"/>
  <c r="BP14" i="30"/>
  <c r="BR14" i="30" s="1"/>
  <c r="BS17" i="22"/>
  <c r="BR17" i="22"/>
  <c r="BS18" i="22"/>
  <c r="BR18" i="22"/>
  <c r="BO19" i="22" s="1"/>
  <c r="BQ19" i="22" s="1"/>
  <c r="BO20" i="22" s="1"/>
  <c r="BQ20" i="22" s="1"/>
  <c r="BP16" i="30" s="1"/>
  <c r="BR16" i="30" s="1"/>
  <c r="BP13" i="30"/>
  <c r="BR13" i="30" s="1"/>
  <c r="BO15" i="30"/>
  <c r="AC14" i="30"/>
  <c r="AC13" i="30"/>
  <c r="P10" i="38"/>
  <c r="R10" i="38" s="1"/>
  <c r="V10" i="38"/>
  <c r="S12" i="38"/>
  <c r="T11" i="38"/>
  <c r="V11" i="38" s="1"/>
  <c r="M12" i="38"/>
  <c r="N11" i="38"/>
  <c r="P11" i="38" s="1"/>
  <c r="J10" i="38"/>
  <c r="L10" i="38"/>
  <c r="G12" i="38"/>
  <c r="H11" i="38"/>
  <c r="D11" i="38"/>
  <c r="F11" i="38"/>
  <c r="B12" i="38"/>
  <c r="A12" i="38"/>
  <c r="AQ18" i="22"/>
  <c r="AP18" i="22"/>
  <c r="AJ18" i="22"/>
  <c r="AI18" i="22"/>
  <c r="AC17" i="22"/>
  <c r="AB17" i="22"/>
  <c r="AC18" i="22"/>
  <c r="AB18" i="22"/>
  <c r="V17" i="22"/>
  <c r="U17" i="22"/>
  <c r="V18" i="22"/>
  <c r="U18" i="22"/>
  <c r="O17" i="22"/>
  <c r="N17" i="22"/>
  <c r="O18" i="22"/>
  <c r="N18" i="22"/>
  <c r="H17" i="22"/>
  <c r="G17" i="22"/>
  <c r="H18" i="22"/>
  <c r="G18" i="22"/>
  <c r="AT22" i="22"/>
  <c r="AV22" i="22" s="1"/>
  <c r="AT20" i="22"/>
  <c r="AV20" i="22" s="1"/>
  <c r="BA20" i="22"/>
  <c r="BC20" i="22" s="1"/>
  <c r="BA19" i="22"/>
  <c r="BC19" i="22" s="1"/>
  <c r="AT19" i="22"/>
  <c r="AV19" i="22" s="1"/>
  <c r="BA22" i="22"/>
  <c r="BC22" i="22" s="1"/>
  <c r="K15" i="30"/>
  <c r="M15" i="30" s="1"/>
  <c r="AD15" i="30"/>
  <c r="AF15" i="30" s="1"/>
  <c r="AH15" i="30" s="1"/>
  <c r="AK15" i="30"/>
  <c r="AM15" i="30" s="1"/>
  <c r="AW16" i="30"/>
  <c r="AY16" i="30" s="1"/>
  <c r="K16" i="30"/>
  <c r="M16" i="30" s="1"/>
  <c r="BD15" i="30"/>
  <c r="BF15" i="30" s="1"/>
  <c r="AD16" i="30"/>
  <c r="AF16" i="30" s="1"/>
  <c r="AH16" i="30" s="1"/>
  <c r="AW15" i="30"/>
  <c r="AY15" i="30" s="1"/>
  <c r="BD16" i="30"/>
  <c r="BF16" i="30" s="1"/>
  <c r="AK16" i="30"/>
  <c r="AM16" i="30" s="1"/>
  <c r="D16" i="30"/>
  <c r="F16" i="30" s="1"/>
  <c r="D15" i="30"/>
  <c r="F15" i="30" s="1"/>
  <c r="C18" i="22"/>
  <c r="B20" i="22"/>
  <c r="C19" i="22"/>
  <c r="BL18" i="22"/>
  <c r="BK18" i="22"/>
  <c r="AX18" i="22"/>
  <c r="AW18" i="22"/>
  <c r="AJ17" i="22"/>
  <c r="BE18" i="22"/>
  <c r="BD18" i="22"/>
  <c r="AF11" i="38"/>
  <c r="AE11" i="38"/>
  <c r="AB10" i="38"/>
  <c r="AD10" i="38"/>
  <c r="AH10" i="38"/>
  <c r="AJ10" i="38"/>
  <c r="BK16" i="30"/>
  <c r="BM16" i="30" s="1"/>
  <c r="BN16" i="30" s="1"/>
  <c r="BK15" i="30"/>
  <c r="BM15" i="30" s="1"/>
  <c r="V16" i="30"/>
  <c r="X16" i="30" s="1"/>
  <c r="Y16" i="30" s="1"/>
  <c r="Z16" i="30"/>
  <c r="AB16" i="30" s="1"/>
  <c r="R15" i="30"/>
  <c r="T15" i="30" s="1"/>
  <c r="U15" i="30" s="1"/>
  <c r="AR16" i="30"/>
  <c r="AT16" i="30" s="1"/>
  <c r="AU16" i="30" s="1"/>
  <c r="V15" i="30"/>
  <c r="X15" i="30" s="1"/>
  <c r="Y15" i="30" s="1"/>
  <c r="AR15" i="30"/>
  <c r="AT15" i="30" s="1"/>
  <c r="Z15" i="30"/>
  <c r="AB15" i="30" s="1"/>
  <c r="R16" i="30"/>
  <c r="T16" i="30" s="1"/>
  <c r="U16" i="30" s="1"/>
  <c r="J9" i="34"/>
  <c r="L9" i="34"/>
  <c r="A11" i="34"/>
  <c r="B11" i="34"/>
  <c r="V9" i="34"/>
  <c r="X9" i="34"/>
  <c r="BH13" i="30"/>
  <c r="BG13" i="30"/>
  <c r="U13" i="30"/>
  <c r="G10" i="34"/>
  <c r="H10" i="34"/>
  <c r="BH14" i="30"/>
  <c r="BG14" i="30"/>
  <c r="N10" i="34"/>
  <c r="M10" i="34"/>
  <c r="AH9" i="34"/>
  <c r="AJ9" i="34"/>
  <c r="AB9" i="34"/>
  <c r="AD9" i="34"/>
  <c r="BA13" i="30"/>
  <c r="AZ13" i="30"/>
  <c r="H13" i="30"/>
  <c r="G13" i="30"/>
  <c r="H14" i="30"/>
  <c r="G14" i="30"/>
  <c r="AG13" i="30"/>
  <c r="AG14" i="30"/>
  <c r="P9" i="34"/>
  <c r="R9" i="34"/>
  <c r="AE10" i="34"/>
  <c r="AF10" i="34"/>
  <c r="Y10" i="34"/>
  <c r="Z10" i="34"/>
  <c r="B20" i="30"/>
  <c r="C19" i="30"/>
  <c r="C18" i="30"/>
  <c r="D10" i="34"/>
  <c r="F10" i="34"/>
  <c r="S10" i="34"/>
  <c r="T10" i="34"/>
  <c r="AZ14" i="30"/>
  <c r="BA14" i="30"/>
  <c r="Y13" i="30"/>
  <c r="N14" i="30"/>
  <c r="O14" i="30"/>
  <c r="AN13" i="30"/>
  <c r="AO13" i="30"/>
  <c r="N13" i="30"/>
  <c r="O13" i="30"/>
  <c r="AN14" i="30"/>
  <c r="AO14" i="30"/>
  <c r="D21" i="11"/>
  <c r="D19" i="22"/>
  <c r="F19" i="22" s="1"/>
  <c r="G19" i="22" s="1"/>
  <c r="AM19" i="22"/>
  <c r="AO19" i="22" s="1"/>
  <c r="BH19" i="22"/>
  <c r="BJ19" i="22" s="1"/>
  <c r="AF19" i="22"/>
  <c r="AH19" i="22" s="1"/>
  <c r="AI19" i="22" s="1"/>
  <c r="K19" i="22"/>
  <c r="M19" i="22" s="1"/>
  <c r="N19" i="22" s="1"/>
  <c r="Y19" i="22"/>
  <c r="AA19" i="22" s="1"/>
  <c r="AB19" i="22" s="1"/>
  <c r="R19" i="22"/>
  <c r="T19" i="22" s="1"/>
  <c r="U19" i="22" s="1"/>
  <c r="Y20" i="22"/>
  <c r="AA20" i="22" s="1"/>
  <c r="AF20" i="22"/>
  <c r="AH20" i="22" s="1"/>
  <c r="D20" i="22"/>
  <c r="F20" i="22" s="1"/>
  <c r="K20" i="22"/>
  <c r="M20" i="22" s="1"/>
  <c r="R20" i="22"/>
  <c r="T20" i="22" s="1"/>
  <c r="BH20" i="22"/>
  <c r="BJ20" i="22" s="1"/>
  <c r="AM20" i="22"/>
  <c r="AO20" i="22" s="1"/>
  <c r="AM22" i="22"/>
  <c r="AO22" i="22" s="1"/>
  <c r="K22" i="22"/>
  <c r="M22" i="22" s="1"/>
  <c r="Y22" i="22"/>
  <c r="AA22" i="22" s="1"/>
  <c r="AF22" i="22"/>
  <c r="AH22" i="22" s="1"/>
  <c r="BH22" i="22"/>
  <c r="BJ22" i="22" s="1"/>
  <c r="D22" i="22"/>
  <c r="F22" i="22" s="1"/>
  <c r="R22" i="22"/>
  <c r="T22" i="22" s="1"/>
  <c r="BE17" i="22"/>
  <c r="BL17" i="22"/>
  <c r="D17" i="23"/>
  <c r="AQ17" i="22"/>
  <c r="D18" i="23"/>
  <c r="AX17" i="22"/>
  <c r="B22" i="11"/>
  <c r="C22" i="11" s="1"/>
  <c r="H17" i="23"/>
  <c r="Q19" i="23" a="1"/>
  <c r="AD21" i="11" a="1"/>
  <c r="Y19" i="23" a="1"/>
  <c r="Z18" i="23" a="1"/>
  <c r="T18" i="23"/>
  <c r="Y18" i="23" a="1"/>
  <c r="P21" i="11"/>
  <c r="J21" i="11"/>
  <c r="R17" i="23" a="1"/>
  <c r="F18" i="23"/>
  <c r="Y22" i="11"/>
  <c r="T21" i="11"/>
  <c r="H18" i="23"/>
  <c r="F17" i="23"/>
  <c r="G22" i="11"/>
  <c r="J18" i="23"/>
  <c r="V18" i="23"/>
  <c r="O22" i="11"/>
  <c r="I22" i="11"/>
  <c r="N17" i="23"/>
  <c r="N21" i="11"/>
  <c r="W22" i="11"/>
  <c r="H21" i="11"/>
  <c r="J17" i="23"/>
  <c r="P18" i="23"/>
  <c r="T17" i="23"/>
  <c r="AB21" i="11"/>
  <c r="AC22" i="11" a="1"/>
  <c r="X21" i="11"/>
  <c r="N18" i="23"/>
  <c r="V17" i="23"/>
  <c r="Z21" i="11"/>
  <c r="L21" i="11"/>
  <c r="P17" i="23"/>
  <c r="S22" i="11"/>
  <c r="R18" i="23" a="1"/>
  <c r="E22" i="11"/>
  <c r="L18" i="23"/>
  <c r="R21" i="11"/>
  <c r="Q18" i="23" a="1"/>
  <c r="K22" i="11"/>
  <c r="X17" i="23"/>
  <c r="F21" i="11"/>
  <c r="Z17" i="23" a="1"/>
  <c r="Q22" i="11"/>
  <c r="X18" i="23"/>
  <c r="L17" i="23"/>
  <c r="M22" i="11"/>
  <c r="AA22" i="11"/>
  <c r="BI14" i="48" l="1"/>
  <c r="BI13" i="48"/>
  <c r="BE14" i="48"/>
  <c r="BF14" i="48"/>
  <c r="BE13" i="48"/>
  <c r="BF13" i="48"/>
  <c r="BA14" i="48"/>
  <c r="BA13" i="48"/>
  <c r="AW14" i="48"/>
  <c r="AX14" i="48"/>
  <c r="AW13" i="48"/>
  <c r="AX13" i="48"/>
  <c r="AS13" i="48"/>
  <c r="AT13" i="48"/>
  <c r="AS14" i="48"/>
  <c r="AT14" i="48"/>
  <c r="AO13" i="48"/>
  <c r="AP13" i="48"/>
  <c r="AO14" i="48"/>
  <c r="AP14" i="48"/>
  <c r="BV11" i="45"/>
  <c r="BU11" i="45"/>
  <c r="BM11" i="45"/>
  <c r="BN11" i="45"/>
  <c r="BR11" i="45"/>
  <c r="BQ11" i="45"/>
  <c r="BI11" i="45"/>
  <c r="BJ11" i="45"/>
  <c r="BE11" i="45"/>
  <c r="BF11" i="45"/>
  <c r="BB11" i="45"/>
  <c r="BA11" i="45"/>
  <c r="AW11" i="45"/>
  <c r="AX11" i="45"/>
  <c r="AS11" i="45"/>
  <c r="AT11" i="45"/>
  <c r="AO11" i="45"/>
  <c r="AP11" i="45"/>
  <c r="AI12" i="45"/>
  <c r="AJ12" i="45"/>
  <c r="AE12" i="45"/>
  <c r="AF12" i="45"/>
  <c r="AA12" i="45"/>
  <c r="AB12" i="45"/>
  <c r="X12" i="45"/>
  <c r="W12" i="45"/>
  <c r="S12" i="45"/>
  <c r="O12" i="45"/>
  <c r="P12" i="45"/>
  <c r="K12" i="45"/>
  <c r="L12" i="45"/>
  <c r="G12" i="45"/>
  <c r="H12" i="45"/>
  <c r="D12" i="45"/>
  <c r="C12" i="45"/>
  <c r="BR20" i="22"/>
  <c r="BS20" i="22"/>
  <c r="BS19" i="22"/>
  <c r="BR19" i="22"/>
  <c r="BO23" i="22" s="1"/>
  <c r="BQ23" i="22" s="1"/>
  <c r="BO21" i="22" s="1"/>
  <c r="BQ21" i="22" s="1"/>
  <c r="BO24" i="22" s="1"/>
  <c r="BQ24" i="22" s="1"/>
  <c r="BO22" i="22" s="1"/>
  <c r="BQ22" i="22" s="1"/>
  <c r="BO18" i="30"/>
  <c r="BP17" i="30" s="1"/>
  <c r="BR17" i="30" s="1"/>
  <c r="AC16" i="30"/>
  <c r="BP18" i="30" s="1"/>
  <c r="BR18" i="30" s="1"/>
  <c r="X11" i="38"/>
  <c r="X10" i="38"/>
  <c r="R11" i="38"/>
  <c r="S13" i="38"/>
  <c r="T12" i="38"/>
  <c r="V12" i="38" s="1"/>
  <c r="M13" i="38"/>
  <c r="N12" i="38"/>
  <c r="P12" i="38" s="1"/>
  <c r="J11" i="38"/>
  <c r="L11" i="38"/>
  <c r="G13" i="38"/>
  <c r="H12" i="38"/>
  <c r="D12" i="38"/>
  <c r="F12" i="38"/>
  <c r="A13" i="38"/>
  <c r="B13" i="38"/>
  <c r="AQ20" i="22"/>
  <c r="AP20" i="22"/>
  <c r="AQ19" i="22"/>
  <c r="AP19" i="22"/>
  <c r="AQ22" i="22"/>
  <c r="AP22" i="22"/>
  <c r="AJ20" i="22"/>
  <c r="AI20" i="22"/>
  <c r="AJ22" i="22"/>
  <c r="AI22" i="22"/>
  <c r="AC20" i="22"/>
  <c r="AB20" i="22"/>
  <c r="AC22" i="22"/>
  <c r="AB22" i="22"/>
  <c r="V20" i="22"/>
  <c r="U20" i="22"/>
  <c r="V22" i="22"/>
  <c r="U22" i="22"/>
  <c r="O22" i="22"/>
  <c r="N22" i="22"/>
  <c r="O20" i="22"/>
  <c r="N20" i="22"/>
  <c r="H22" i="22"/>
  <c r="G22" i="22"/>
  <c r="H20" i="22"/>
  <c r="G20" i="22"/>
  <c r="AT21" i="22"/>
  <c r="AV21" i="22" s="1"/>
  <c r="AW21" i="22" s="1"/>
  <c r="BA21" i="22"/>
  <c r="BC21" i="22" s="1"/>
  <c r="BD21" i="22" s="1"/>
  <c r="BA23" i="22"/>
  <c r="BC23" i="22" s="1"/>
  <c r="AT23" i="22"/>
  <c r="AV23" i="22" s="1"/>
  <c r="AK18" i="30"/>
  <c r="AM18" i="30" s="1"/>
  <c r="BD18" i="30"/>
  <c r="BF18" i="30" s="1"/>
  <c r="AD18" i="30"/>
  <c r="AF18" i="30" s="1"/>
  <c r="AH18" i="30" s="1"/>
  <c r="AW17" i="30"/>
  <c r="AY17" i="30" s="1"/>
  <c r="K17" i="30"/>
  <c r="M17" i="30" s="1"/>
  <c r="K18" i="30"/>
  <c r="M18" i="30" s="1"/>
  <c r="AW18" i="30"/>
  <c r="AY18" i="30" s="1"/>
  <c r="AK17" i="30"/>
  <c r="AM17" i="30" s="1"/>
  <c r="BD17" i="30"/>
  <c r="BF17" i="30" s="1"/>
  <c r="AD17" i="30"/>
  <c r="AF17" i="30" s="1"/>
  <c r="AH17" i="30" s="1"/>
  <c r="D18" i="30"/>
  <c r="F18" i="30" s="1"/>
  <c r="D17" i="30"/>
  <c r="F17" i="30" s="1"/>
  <c r="C20" i="22"/>
  <c r="B22" i="22"/>
  <c r="C21" i="22"/>
  <c r="BL20" i="22"/>
  <c r="BK20" i="22"/>
  <c r="BL22" i="22"/>
  <c r="BK22" i="22"/>
  <c r="AX20" i="22"/>
  <c r="AW20" i="22"/>
  <c r="AX22" i="22"/>
  <c r="AW22" i="22"/>
  <c r="AX19" i="22"/>
  <c r="AW19" i="22"/>
  <c r="BL19" i="22"/>
  <c r="BK19" i="22"/>
  <c r="BE22" i="22"/>
  <c r="BD22" i="22"/>
  <c r="BE20" i="22"/>
  <c r="BD20" i="22"/>
  <c r="BE19" i="22"/>
  <c r="BD19" i="22"/>
  <c r="AE12" i="38"/>
  <c r="AF12" i="38"/>
  <c r="AH11" i="38"/>
  <c r="AJ11" i="38"/>
  <c r="AD11" i="38"/>
  <c r="AB11" i="38"/>
  <c r="R18" i="30"/>
  <c r="T18" i="30" s="1"/>
  <c r="U18" i="30" s="1"/>
  <c r="AR17" i="30"/>
  <c r="AT17" i="30" s="1"/>
  <c r="AU17" i="30" s="1"/>
  <c r="Z18" i="30"/>
  <c r="AB18" i="30" s="1"/>
  <c r="BK17" i="30"/>
  <c r="BM17" i="30" s="1"/>
  <c r="BN17" i="30" s="1"/>
  <c r="AR18" i="30"/>
  <c r="AT18" i="30" s="1"/>
  <c r="AU18" i="30" s="1"/>
  <c r="BK18" i="30"/>
  <c r="BM18" i="30" s="1"/>
  <c r="BN18" i="30" s="1"/>
  <c r="V18" i="30"/>
  <c r="X18" i="30" s="1"/>
  <c r="Y18" i="30" s="1"/>
  <c r="V17" i="30"/>
  <c r="X17" i="30" s="1"/>
  <c r="R17" i="30"/>
  <c r="T17" i="30" s="1"/>
  <c r="Z17" i="30"/>
  <c r="AB17" i="30" s="1"/>
  <c r="P10" i="34"/>
  <c r="R10" i="34"/>
  <c r="H16" i="30"/>
  <c r="G16" i="30"/>
  <c r="AZ16" i="30"/>
  <c r="BA16" i="30"/>
  <c r="AG15" i="30"/>
  <c r="AO15" i="30"/>
  <c r="AN15" i="30"/>
  <c r="X10" i="34"/>
  <c r="V10" i="34"/>
  <c r="J10" i="34"/>
  <c r="L10" i="34"/>
  <c r="AU15" i="30"/>
  <c r="O15" i="30"/>
  <c r="N15" i="30"/>
  <c r="BG15" i="30"/>
  <c r="BH15" i="30"/>
  <c r="T11" i="34"/>
  <c r="S11" i="34"/>
  <c r="AD10" i="34"/>
  <c r="AB10" i="34"/>
  <c r="AH10" i="34"/>
  <c r="AJ10" i="34"/>
  <c r="H11" i="34"/>
  <c r="G11" i="34"/>
  <c r="F11" i="34"/>
  <c r="D11" i="34"/>
  <c r="AG16" i="30"/>
  <c r="N16" i="30"/>
  <c r="O16" i="30"/>
  <c r="AZ15" i="30"/>
  <c r="BA15" i="30"/>
  <c r="BN15" i="30"/>
  <c r="C21" i="30"/>
  <c r="C20" i="30"/>
  <c r="B22" i="30"/>
  <c r="Z11" i="34"/>
  <c r="Y11" i="34"/>
  <c r="AE11" i="34"/>
  <c r="AF11" i="34"/>
  <c r="M11" i="34"/>
  <c r="N11" i="34"/>
  <c r="A12" i="34"/>
  <c r="B12" i="34"/>
  <c r="AC15" i="30"/>
  <c r="G15" i="30"/>
  <c r="H15" i="30"/>
  <c r="AN16" i="30"/>
  <c r="AO16" i="30"/>
  <c r="BH16" i="30"/>
  <c r="BG16" i="30"/>
  <c r="D22" i="11"/>
  <c r="AF23" i="22"/>
  <c r="AH23" i="22" s="1"/>
  <c r="AI23" i="22" s="1"/>
  <c r="R23" i="22"/>
  <c r="T23" i="22" s="1"/>
  <c r="U23" i="22" s="1"/>
  <c r="BH23" i="22"/>
  <c r="BJ23" i="22" s="1"/>
  <c r="Y23" i="22"/>
  <c r="AA23" i="22" s="1"/>
  <c r="AB23" i="22" s="1"/>
  <c r="AM23" i="22"/>
  <c r="AO23" i="22" s="1"/>
  <c r="AP23" i="22" s="1"/>
  <c r="D23" i="22"/>
  <c r="F23" i="22" s="1"/>
  <c r="G23" i="22" s="1"/>
  <c r="K23" i="22"/>
  <c r="M23" i="22" s="1"/>
  <c r="N23" i="22" s="1"/>
  <c r="R21" i="22"/>
  <c r="T21" i="22" s="1"/>
  <c r="AM21" i="22"/>
  <c r="AO21" i="22" s="1"/>
  <c r="AP21" i="22" s="1"/>
  <c r="D21" i="22"/>
  <c r="F21" i="22" s="1"/>
  <c r="BH21" i="22"/>
  <c r="BJ21" i="22" s="1"/>
  <c r="BK21" i="22" s="1"/>
  <c r="Y21" i="22"/>
  <c r="AA21" i="22" s="1"/>
  <c r="AF21" i="22"/>
  <c r="AH21" i="22" s="1"/>
  <c r="K21" i="22"/>
  <c r="M21" i="22" s="1"/>
  <c r="AC19" i="22"/>
  <c r="AJ19" i="22"/>
  <c r="O19" i="22"/>
  <c r="V19" i="22"/>
  <c r="H19" i="22"/>
  <c r="B23" i="11"/>
  <c r="C23" i="11" s="1"/>
  <c r="AA23" i="11"/>
  <c r="AC23" i="11" a="1"/>
  <c r="S23" i="11"/>
  <c r="P22" i="11"/>
  <c r="N22" i="11"/>
  <c r="J22" i="11"/>
  <c r="AD22" i="11" a="1"/>
  <c r="W23" i="11"/>
  <c r="F22" i="11"/>
  <c r="AB22" i="11"/>
  <c r="O23" i="11"/>
  <c r="H22" i="11"/>
  <c r="K23" i="11"/>
  <c r="Z22" i="11"/>
  <c r="Y23" i="11"/>
  <c r="L22" i="11"/>
  <c r="T22" i="11"/>
  <c r="Q23" i="11"/>
  <c r="E23" i="11"/>
  <c r="R22" i="11"/>
  <c r="I23" i="11"/>
  <c r="X22" i="11"/>
  <c r="M23" i="11"/>
  <c r="G23" i="11"/>
  <c r="BV12" i="45" l="1"/>
  <c r="BU12" i="45"/>
  <c r="BN12" i="45"/>
  <c r="BM12" i="45"/>
  <c r="BQ12" i="45"/>
  <c r="BR12" i="45"/>
  <c r="BI12" i="45"/>
  <c r="BJ12" i="45"/>
  <c r="BF12" i="45"/>
  <c r="BE12" i="45"/>
  <c r="BA12" i="45"/>
  <c r="BB12" i="45"/>
  <c r="AW12" i="45"/>
  <c r="AX12" i="45"/>
  <c r="AS12" i="45"/>
  <c r="AT12" i="45"/>
  <c r="AO12" i="45"/>
  <c r="AP12" i="45"/>
  <c r="AI13" i="45"/>
  <c r="AJ13" i="45"/>
  <c r="AE13" i="45"/>
  <c r="AF13" i="45"/>
  <c r="AB13" i="45"/>
  <c r="AA13" i="45"/>
  <c r="W13" i="45"/>
  <c r="X13" i="45"/>
  <c r="S13" i="45"/>
  <c r="O13" i="45"/>
  <c r="P13" i="45"/>
  <c r="L13" i="45"/>
  <c r="K13" i="45"/>
  <c r="G13" i="45"/>
  <c r="H13" i="45"/>
  <c r="D13" i="45"/>
  <c r="C13" i="45"/>
  <c r="BQ66" i="22"/>
  <c r="BR66" i="22" s="1"/>
  <c r="BR22" i="22"/>
  <c r="BS22" i="22"/>
  <c r="BS24" i="22"/>
  <c r="BR24" i="22"/>
  <c r="BS21" i="22"/>
  <c r="BR21" i="22"/>
  <c r="BR23" i="22"/>
  <c r="BS23" i="22"/>
  <c r="BO20" i="30"/>
  <c r="AC17" i="30"/>
  <c r="AC18" i="30"/>
  <c r="BO19" i="30"/>
  <c r="X12" i="38"/>
  <c r="R12" i="38"/>
  <c r="S14" i="38"/>
  <c r="T13" i="38"/>
  <c r="V13" i="38" s="1"/>
  <c r="M14" i="38"/>
  <c r="N13" i="38"/>
  <c r="P13" i="38" s="1"/>
  <c r="J12" i="38"/>
  <c r="L12" i="38"/>
  <c r="G14" i="38"/>
  <c r="H13" i="38"/>
  <c r="D13" i="38"/>
  <c r="F13" i="38"/>
  <c r="A14" i="38"/>
  <c r="B14" i="38"/>
  <c r="AJ21" i="22"/>
  <c r="AI21" i="22"/>
  <c r="AC21" i="22"/>
  <c r="AB21" i="22"/>
  <c r="V21" i="22"/>
  <c r="U21" i="22"/>
  <c r="O21" i="22"/>
  <c r="N21" i="22"/>
  <c r="H21" i="22"/>
  <c r="G21" i="22"/>
  <c r="AW19" i="30"/>
  <c r="AY19" i="30" s="1"/>
  <c r="K19" i="30"/>
  <c r="M19" i="30" s="1"/>
  <c r="BD20" i="30"/>
  <c r="BF20" i="30" s="1"/>
  <c r="BD19" i="30"/>
  <c r="BF19" i="30" s="1"/>
  <c r="K20" i="30"/>
  <c r="M20" i="30" s="1"/>
  <c r="AW20" i="30"/>
  <c r="AY20" i="30" s="1"/>
  <c r="AK19" i="30"/>
  <c r="AM19" i="30" s="1"/>
  <c r="AK20" i="30"/>
  <c r="AM20" i="30" s="1"/>
  <c r="AD19" i="30"/>
  <c r="AF19" i="30" s="1"/>
  <c r="AH19" i="30" s="1"/>
  <c r="AD20" i="30"/>
  <c r="AF20" i="30" s="1"/>
  <c r="AH20" i="30" s="1"/>
  <c r="D19" i="30"/>
  <c r="F19" i="30" s="1"/>
  <c r="D20" i="30"/>
  <c r="F20" i="30" s="1"/>
  <c r="B24" i="22"/>
  <c r="C23" i="22"/>
  <c r="C22" i="22"/>
  <c r="O23" i="22"/>
  <c r="M66" i="22"/>
  <c r="N66" i="22" s="1"/>
  <c r="AC23" i="22"/>
  <c r="AA66" i="22"/>
  <c r="AB66" i="22" s="1"/>
  <c r="AJ23" i="22"/>
  <c r="AH66" i="22"/>
  <c r="AI66" i="22" s="1"/>
  <c r="BC66" i="22"/>
  <c r="H23" i="22"/>
  <c r="F66" i="22"/>
  <c r="G66" i="22" s="1"/>
  <c r="BL23" i="22"/>
  <c r="BK23" i="22"/>
  <c r="BJ66" i="22"/>
  <c r="AX23" i="22"/>
  <c r="AW23" i="22"/>
  <c r="AV66" i="22"/>
  <c r="AQ23" i="22"/>
  <c r="AO66" i="22"/>
  <c r="AP66" i="22" s="1"/>
  <c r="V23" i="22"/>
  <c r="T66" i="22"/>
  <c r="U66" i="22" s="1"/>
  <c r="AF13" i="38"/>
  <c r="BE23" i="22"/>
  <c r="BD23" i="22"/>
  <c r="AE13" i="38"/>
  <c r="AB12" i="38"/>
  <c r="AD12" i="38"/>
  <c r="AJ12" i="38"/>
  <c r="AH12" i="38"/>
  <c r="R19" i="30"/>
  <c r="T19" i="30" s="1"/>
  <c r="U19" i="30" s="1"/>
  <c r="AR19" i="30"/>
  <c r="AT19" i="30" s="1"/>
  <c r="AU19" i="30" s="1"/>
  <c r="V20" i="30"/>
  <c r="X20" i="30" s="1"/>
  <c r="Y20" i="30" s="1"/>
  <c r="R20" i="30"/>
  <c r="T20" i="30" s="1"/>
  <c r="U20" i="30" s="1"/>
  <c r="Z19" i="30"/>
  <c r="AB19" i="30" s="1"/>
  <c r="V19" i="30"/>
  <c r="X19" i="30" s="1"/>
  <c r="Y19" i="30" s="1"/>
  <c r="BK20" i="30"/>
  <c r="BM20" i="30" s="1"/>
  <c r="BN20" i="30" s="1"/>
  <c r="BK19" i="30"/>
  <c r="BM19" i="30" s="1"/>
  <c r="AR20" i="30"/>
  <c r="AT20" i="30" s="1"/>
  <c r="AU20" i="30" s="1"/>
  <c r="Z20" i="30"/>
  <c r="AB20" i="30" s="1"/>
  <c r="B24" i="30"/>
  <c r="C22" i="30"/>
  <c r="C23" i="30"/>
  <c r="U17" i="30"/>
  <c r="O17" i="30"/>
  <c r="N17" i="30"/>
  <c r="D12" i="34"/>
  <c r="F12" i="34"/>
  <c r="P11" i="34"/>
  <c r="R11" i="34"/>
  <c r="H12" i="34"/>
  <c r="G12" i="34"/>
  <c r="H18" i="30"/>
  <c r="G18" i="30"/>
  <c r="Y17" i="30"/>
  <c r="BA17" i="30"/>
  <c r="AZ17" i="30"/>
  <c r="BH18" i="30"/>
  <c r="BG18" i="30"/>
  <c r="B13" i="34"/>
  <c r="A13" i="34"/>
  <c r="M12" i="34"/>
  <c r="N12" i="34"/>
  <c r="AJ11" i="34"/>
  <c r="AH11" i="34"/>
  <c r="Z12" i="34"/>
  <c r="Y12" i="34"/>
  <c r="J11" i="34"/>
  <c r="L11" i="34"/>
  <c r="S12" i="34"/>
  <c r="T12" i="34"/>
  <c r="BG17" i="30"/>
  <c r="BH17" i="30"/>
  <c r="O18" i="30"/>
  <c r="N18" i="30"/>
  <c r="AG18" i="30"/>
  <c r="AE12" i="34"/>
  <c r="AF12" i="34"/>
  <c r="AB11" i="34"/>
  <c r="AD11" i="34"/>
  <c r="X11" i="34"/>
  <c r="V11" i="34"/>
  <c r="AN18" i="30"/>
  <c r="AO18" i="30"/>
  <c r="AZ18" i="30"/>
  <c r="BA18" i="30"/>
  <c r="AG17" i="30"/>
  <c r="AO17" i="30"/>
  <c r="AN17" i="30"/>
  <c r="G17" i="30"/>
  <c r="H17" i="30"/>
  <c r="D23" i="11"/>
  <c r="AX21" i="22"/>
  <c r="AQ21" i="22"/>
  <c r="BE21" i="22"/>
  <c r="BL21" i="22"/>
  <c r="B24" i="11"/>
  <c r="C24" i="11" s="1"/>
  <c r="P23" i="11"/>
  <c r="H23" i="11"/>
  <c r="AA24" i="11"/>
  <c r="AB23" i="11"/>
  <c r="G24" i="11"/>
  <c r="N23" i="11"/>
  <c r="M24" i="11"/>
  <c r="F23" i="11"/>
  <c r="AD23" i="11" a="1"/>
  <c r="O24" i="11"/>
  <c r="E24" i="11"/>
  <c r="W24" i="11"/>
  <c r="I24" i="11"/>
  <c r="X23" i="11"/>
  <c r="S24" i="11"/>
  <c r="K24" i="11"/>
  <c r="R23" i="11"/>
  <c r="AC24" i="11" a="1"/>
  <c r="Z23" i="11"/>
  <c r="L23" i="11"/>
  <c r="Q24" i="11"/>
  <c r="J23" i="11"/>
  <c r="T23" i="11"/>
  <c r="Y24" i="11"/>
  <c r="BV13" i="45" l="1"/>
  <c r="BU13" i="45"/>
  <c r="BM13" i="45"/>
  <c r="BN13" i="45"/>
  <c r="BQ13" i="45"/>
  <c r="BR13" i="45"/>
  <c r="BI13" i="45"/>
  <c r="BJ13" i="45"/>
  <c r="BF13" i="45"/>
  <c r="BE13" i="45"/>
  <c r="BB13" i="45"/>
  <c r="BA13" i="45"/>
  <c r="AW13" i="45"/>
  <c r="AX13" i="45"/>
  <c r="AS13" i="45"/>
  <c r="AT13" i="45"/>
  <c r="AO13" i="45"/>
  <c r="AP13" i="45"/>
  <c r="AI14" i="45"/>
  <c r="AJ14" i="45"/>
  <c r="AE14" i="45"/>
  <c r="AF14" i="45"/>
  <c r="AA14" i="45"/>
  <c r="AB14" i="45"/>
  <c r="W14" i="45"/>
  <c r="X14" i="45"/>
  <c r="S14" i="45"/>
  <c r="O14" i="45"/>
  <c r="P14" i="45"/>
  <c r="L14" i="45"/>
  <c r="K14" i="45"/>
  <c r="G14" i="45"/>
  <c r="H14" i="45"/>
  <c r="D14" i="45"/>
  <c r="C14" i="45"/>
  <c r="BS66" i="22"/>
  <c r="AC20" i="30"/>
  <c r="BP20" i="30"/>
  <c r="BR20" i="30" s="1"/>
  <c r="BO22" i="30"/>
  <c r="BO21" i="30"/>
  <c r="BP19" i="30"/>
  <c r="BR19" i="30" s="1"/>
  <c r="BO24" i="30" s="1"/>
  <c r="BP21" i="30" s="1"/>
  <c r="BR21" i="30" s="1"/>
  <c r="X13" i="38"/>
  <c r="R13" i="38"/>
  <c r="S15" i="38"/>
  <c r="T14" i="38"/>
  <c r="V14" i="38" s="1"/>
  <c r="M15" i="38"/>
  <c r="N14" i="38"/>
  <c r="P14" i="38" s="1"/>
  <c r="J13" i="38"/>
  <c r="L13" i="38"/>
  <c r="G15" i="38"/>
  <c r="H14" i="38"/>
  <c r="D14" i="38"/>
  <c r="F14" i="38"/>
  <c r="B15" i="38"/>
  <c r="A15" i="38"/>
  <c r="V66" i="22"/>
  <c r="H66" i="22"/>
  <c r="L110" i="2" s="1"/>
  <c r="AC66" i="22"/>
  <c r="N110" i="2" s="1"/>
  <c r="AJ66" i="22"/>
  <c r="O110" i="2" s="1"/>
  <c r="O66" i="22"/>
  <c r="M110" i="2" s="1"/>
  <c r="BD21" i="30"/>
  <c r="BF21" i="30" s="1"/>
  <c r="AW21" i="30"/>
  <c r="AY21" i="30" s="1"/>
  <c r="BD22" i="30"/>
  <c r="BF22" i="30" s="1"/>
  <c r="AK22" i="30"/>
  <c r="AM22" i="30" s="1"/>
  <c r="AW22" i="30"/>
  <c r="AY22" i="30" s="1"/>
  <c r="AD21" i="30"/>
  <c r="AF21" i="30" s="1"/>
  <c r="AH21" i="30" s="1"/>
  <c r="AD22" i="30"/>
  <c r="AF22" i="30" s="1"/>
  <c r="AH22" i="30" s="1"/>
  <c r="K22" i="30"/>
  <c r="M22" i="30" s="1"/>
  <c r="AK21" i="30"/>
  <c r="AM21" i="30" s="1"/>
  <c r="K21" i="30"/>
  <c r="M21" i="30" s="1"/>
  <c r="D22" i="30"/>
  <c r="F22" i="30" s="1"/>
  <c r="D21" i="30"/>
  <c r="F21" i="30" s="1"/>
  <c r="AQ66" i="22"/>
  <c r="B26" i="22"/>
  <c r="C25" i="22"/>
  <c r="C24" i="22"/>
  <c r="BL66" i="22"/>
  <c r="BE66" i="22"/>
  <c r="Q110" i="2" s="1"/>
  <c r="G68" i="22"/>
  <c r="AX66" i="22"/>
  <c r="P110" i="2" s="1"/>
  <c r="AE14" i="38"/>
  <c r="AF14" i="38"/>
  <c r="AJ13" i="38"/>
  <c r="AH13" i="38"/>
  <c r="AB13" i="38"/>
  <c r="AD13" i="38"/>
  <c r="Z21" i="30"/>
  <c r="AB21" i="30" s="1"/>
  <c r="Z22" i="30"/>
  <c r="AB22" i="30" s="1"/>
  <c r="BK21" i="30"/>
  <c r="BM21" i="30" s="1"/>
  <c r="BN21" i="30" s="1"/>
  <c r="AR21" i="30"/>
  <c r="AT21" i="30" s="1"/>
  <c r="AU21" i="30" s="1"/>
  <c r="V22" i="30"/>
  <c r="X22" i="30" s="1"/>
  <c r="Y22" i="30" s="1"/>
  <c r="AR22" i="30"/>
  <c r="AT22" i="30" s="1"/>
  <c r="AU22" i="30" s="1"/>
  <c r="R22" i="30"/>
  <c r="T22" i="30" s="1"/>
  <c r="U22" i="30" s="1"/>
  <c r="V21" i="30"/>
  <c r="X21" i="30" s="1"/>
  <c r="BK22" i="30"/>
  <c r="BM22" i="30" s="1"/>
  <c r="BN22" i="30" s="1"/>
  <c r="R21" i="30"/>
  <c r="T21" i="30" s="1"/>
  <c r="AH12" i="34"/>
  <c r="AJ12" i="34"/>
  <c r="X12" i="34"/>
  <c r="V12" i="34"/>
  <c r="P12" i="34"/>
  <c r="R12" i="34"/>
  <c r="F13" i="34"/>
  <c r="D13" i="34"/>
  <c r="C25" i="30"/>
  <c r="B26" i="30"/>
  <c r="C24" i="30"/>
  <c r="AZ20" i="30"/>
  <c r="BA20" i="30"/>
  <c r="BN19" i="30"/>
  <c r="AN20" i="30"/>
  <c r="AO20" i="30"/>
  <c r="AE13" i="34"/>
  <c r="AF13" i="34"/>
  <c r="S13" i="34"/>
  <c r="T13" i="34"/>
  <c r="M13" i="34"/>
  <c r="N13" i="34"/>
  <c r="H13" i="34"/>
  <c r="G13" i="34"/>
  <c r="O19" i="30"/>
  <c r="N19" i="30"/>
  <c r="BH20" i="30"/>
  <c r="BG20" i="30"/>
  <c r="AG20" i="30"/>
  <c r="Z13" i="34"/>
  <c r="Y13" i="34"/>
  <c r="J12" i="34"/>
  <c r="L12" i="34"/>
  <c r="N20" i="30"/>
  <c r="O20" i="30"/>
  <c r="BA19" i="30"/>
  <c r="AZ19" i="30"/>
  <c r="AD12" i="34"/>
  <c r="AB12" i="34"/>
  <c r="A14" i="34"/>
  <c r="B14" i="34"/>
  <c r="H20" i="30"/>
  <c r="G20" i="30"/>
  <c r="AG19" i="30"/>
  <c r="AC19" i="30"/>
  <c r="G19" i="30"/>
  <c r="H19" i="30"/>
  <c r="AO19" i="30"/>
  <c r="AN19" i="30"/>
  <c r="BG19" i="30"/>
  <c r="BH19" i="30"/>
  <c r="D24" i="11"/>
  <c r="B25" i="11"/>
  <c r="C25" i="11" s="1"/>
  <c r="Z24" i="11"/>
  <c r="X24" i="11"/>
  <c r="O25" i="11"/>
  <c r="R24" i="11"/>
  <c r="AC25" i="11" a="1"/>
  <c r="AA25" i="11"/>
  <c r="S25" i="11"/>
  <c r="W25" i="11"/>
  <c r="L24" i="11"/>
  <c r="J24" i="11"/>
  <c r="AB24" i="11"/>
  <c r="P24" i="11"/>
  <c r="K25" i="11"/>
  <c r="T24" i="11"/>
  <c r="F24" i="11"/>
  <c r="N24" i="11"/>
  <c r="E25" i="11"/>
  <c r="H24" i="11"/>
  <c r="M25" i="11"/>
  <c r="G25" i="11"/>
  <c r="Y25" i="11"/>
  <c r="Q25" i="11"/>
  <c r="AD24" i="11" a="1"/>
  <c r="I25" i="11"/>
  <c r="BU14" i="45" l="1"/>
  <c r="BV14" i="45"/>
  <c r="BQ14" i="45"/>
  <c r="BR14" i="45"/>
  <c r="BM14" i="45"/>
  <c r="BN14" i="45"/>
  <c r="BI14" i="45"/>
  <c r="BJ14" i="45"/>
  <c r="BE14" i="45"/>
  <c r="BF14" i="45"/>
  <c r="BA14" i="45"/>
  <c r="BB14" i="45"/>
  <c r="AW14" i="45"/>
  <c r="AX14" i="45"/>
  <c r="AS14" i="45"/>
  <c r="AT14" i="45"/>
  <c r="AP14" i="45"/>
  <c r="AO14" i="45"/>
  <c r="AI15" i="45"/>
  <c r="AJ15" i="45"/>
  <c r="AE15" i="45"/>
  <c r="AF15" i="45"/>
  <c r="AA15" i="45"/>
  <c r="AB15" i="45"/>
  <c r="X15" i="45"/>
  <c r="W15" i="45"/>
  <c r="S15" i="45"/>
  <c r="O15" i="45"/>
  <c r="P15" i="45"/>
  <c r="K15" i="45"/>
  <c r="L15" i="45"/>
  <c r="G15" i="45"/>
  <c r="H15" i="45"/>
  <c r="D15" i="45"/>
  <c r="C15" i="45"/>
  <c r="BS12" i="30"/>
  <c r="AC22" i="30"/>
  <c r="AC21" i="30"/>
  <c r="BS14" i="30"/>
  <c r="BP22" i="30"/>
  <c r="BR22" i="30" s="1"/>
  <c r="BO23" i="30"/>
  <c r="BS13" i="30"/>
  <c r="BP24" i="30" s="1"/>
  <c r="BR24" i="30" s="1"/>
  <c r="X14" i="38"/>
  <c r="R14" i="38"/>
  <c r="S16" i="38"/>
  <c r="T15" i="38"/>
  <c r="V15" i="38" s="1"/>
  <c r="M16" i="38"/>
  <c r="N15" i="38"/>
  <c r="P15" i="38" s="1"/>
  <c r="J14" i="38"/>
  <c r="L14" i="38"/>
  <c r="G16" i="38"/>
  <c r="H15" i="38"/>
  <c r="D15" i="38"/>
  <c r="F15" i="38"/>
  <c r="A16" i="38"/>
  <c r="B16" i="38"/>
  <c r="BD24" i="30"/>
  <c r="BF24" i="30" s="1"/>
  <c r="AD23" i="30"/>
  <c r="AF23" i="30" s="1"/>
  <c r="AH23" i="30" s="1"/>
  <c r="AW24" i="30"/>
  <c r="AY24" i="30" s="1"/>
  <c r="AW23" i="30"/>
  <c r="AY23" i="30" s="1"/>
  <c r="K23" i="30"/>
  <c r="M23" i="30" s="1"/>
  <c r="AD24" i="30"/>
  <c r="AF24" i="30" s="1"/>
  <c r="AH24" i="30" s="1"/>
  <c r="K24" i="30"/>
  <c r="M24" i="30" s="1"/>
  <c r="AK23" i="30"/>
  <c r="AM23" i="30" s="1"/>
  <c r="BD23" i="30"/>
  <c r="BF23" i="30" s="1"/>
  <c r="AK24" i="30"/>
  <c r="AM24" i="30" s="1"/>
  <c r="D23" i="30"/>
  <c r="F23" i="30" s="1"/>
  <c r="D24" i="30"/>
  <c r="F24" i="30" s="1"/>
  <c r="B28" i="22"/>
  <c r="C27" i="22"/>
  <c r="C26" i="22"/>
  <c r="AF15" i="38"/>
  <c r="AE15" i="38"/>
  <c r="AJ14" i="38"/>
  <c r="AH14" i="38"/>
  <c r="AD14" i="38"/>
  <c r="AB14" i="38"/>
  <c r="V24" i="30"/>
  <c r="X24" i="30" s="1"/>
  <c r="Y24" i="30" s="1"/>
  <c r="AR24" i="30"/>
  <c r="AT24" i="30" s="1"/>
  <c r="AU24" i="30" s="1"/>
  <c r="R24" i="30"/>
  <c r="T24" i="30" s="1"/>
  <c r="U24" i="30" s="1"/>
  <c r="BK23" i="30"/>
  <c r="BM23" i="30" s="1"/>
  <c r="BN23" i="30" s="1"/>
  <c r="AR23" i="30"/>
  <c r="AT23" i="30" s="1"/>
  <c r="AU23" i="30" s="1"/>
  <c r="Z23" i="30"/>
  <c r="AB23" i="30" s="1"/>
  <c r="Z24" i="30"/>
  <c r="AB24" i="30" s="1"/>
  <c r="V23" i="30"/>
  <c r="X23" i="30" s="1"/>
  <c r="Y23" i="30" s="1"/>
  <c r="BK24" i="30"/>
  <c r="BM24" i="30" s="1"/>
  <c r="BN24" i="30" s="1"/>
  <c r="R23" i="30"/>
  <c r="T23" i="30" s="1"/>
  <c r="U23" i="30" s="1"/>
  <c r="A15" i="34"/>
  <c r="B15" i="34"/>
  <c r="J13" i="34"/>
  <c r="L13" i="34"/>
  <c r="N14" i="34"/>
  <c r="M14" i="34"/>
  <c r="S14" i="34"/>
  <c r="T14" i="34"/>
  <c r="AE14" i="34"/>
  <c r="AF14" i="34"/>
  <c r="B28" i="30"/>
  <c r="C26" i="30"/>
  <c r="C27" i="30"/>
  <c r="U21" i="30"/>
  <c r="H22" i="30"/>
  <c r="G22" i="30"/>
  <c r="G21" i="30"/>
  <c r="H21" i="30"/>
  <c r="Z14" i="34"/>
  <c r="Y14" i="34"/>
  <c r="AG21" i="30"/>
  <c r="BG22" i="30"/>
  <c r="BH22" i="30"/>
  <c r="AD13" i="34"/>
  <c r="AB13" i="34"/>
  <c r="AN22" i="30"/>
  <c r="AO22" i="30"/>
  <c r="Y21" i="30"/>
  <c r="BA21" i="30"/>
  <c r="AZ21" i="30"/>
  <c r="O21" i="30"/>
  <c r="N21" i="30"/>
  <c r="F14" i="34"/>
  <c r="D14" i="34"/>
  <c r="G14" i="34"/>
  <c r="H14" i="34"/>
  <c r="P13" i="34"/>
  <c r="R13" i="34"/>
  <c r="V13" i="34"/>
  <c r="X13" i="34"/>
  <c r="AJ13" i="34"/>
  <c r="AH13" i="34"/>
  <c r="N22" i="30"/>
  <c r="O22" i="30"/>
  <c r="BH21" i="30"/>
  <c r="BG21" i="30"/>
  <c r="AO21" i="30"/>
  <c r="AN21" i="30"/>
  <c r="BA22" i="30"/>
  <c r="AZ22" i="30"/>
  <c r="AG22" i="30"/>
  <c r="D25" i="11"/>
  <c r="B26" i="11"/>
  <c r="C26" i="11" s="1"/>
  <c r="AD25" i="11" a="1"/>
  <c r="M26" i="11"/>
  <c r="N25" i="11"/>
  <c r="H25" i="11"/>
  <c r="P25" i="11"/>
  <c r="Z25" i="11"/>
  <c r="K26" i="11"/>
  <c r="W26" i="11"/>
  <c r="R25" i="11"/>
  <c r="S26" i="11"/>
  <c r="O26" i="11"/>
  <c r="Y26" i="11"/>
  <c r="X25" i="11"/>
  <c r="AA26" i="11"/>
  <c r="J25" i="11"/>
  <c r="E26" i="11"/>
  <c r="AC26" i="11" a="1"/>
  <c r="Q26" i="11"/>
  <c r="L25" i="11"/>
  <c r="G26" i="11"/>
  <c r="F25" i="11"/>
  <c r="T25" i="11"/>
  <c r="AB25" i="11"/>
  <c r="I26" i="11"/>
  <c r="BU15" i="45" l="1"/>
  <c r="BV15" i="45"/>
  <c r="BQ15" i="45"/>
  <c r="BR15" i="45"/>
  <c r="BM15" i="45"/>
  <c r="BN15" i="45"/>
  <c r="BI15" i="45"/>
  <c r="BJ15" i="45"/>
  <c r="BE15" i="45"/>
  <c r="BF15" i="45"/>
  <c r="BA15" i="45"/>
  <c r="BB15" i="45"/>
  <c r="AW15" i="45"/>
  <c r="AX15" i="45"/>
  <c r="AS15" i="45"/>
  <c r="AT15" i="45"/>
  <c r="AO15" i="45"/>
  <c r="AP15" i="45"/>
  <c r="AJ16" i="45"/>
  <c r="AI16" i="45"/>
  <c r="AF16" i="45"/>
  <c r="AE16" i="45"/>
  <c r="AB16" i="45"/>
  <c r="AA16" i="45"/>
  <c r="W16" i="45"/>
  <c r="X16" i="45"/>
  <c r="S16" i="45"/>
  <c r="P16" i="45"/>
  <c r="O16" i="45"/>
  <c r="K16" i="45"/>
  <c r="L16" i="45"/>
  <c r="G16" i="45"/>
  <c r="H16" i="45"/>
  <c r="D16" i="45"/>
  <c r="C16" i="45"/>
  <c r="AC24" i="30"/>
  <c r="AC23" i="30"/>
  <c r="BO26" i="30"/>
  <c r="BS15" i="30"/>
  <c r="BP23" i="30"/>
  <c r="BR23" i="30" s="1"/>
  <c r="BS16" i="30"/>
  <c r="BO25" i="30"/>
  <c r="X15" i="38"/>
  <c r="R15" i="38"/>
  <c r="S17" i="38"/>
  <c r="T16" i="38"/>
  <c r="V16" i="38" s="1"/>
  <c r="M17" i="38"/>
  <c r="N16" i="38"/>
  <c r="P16" i="38" s="1"/>
  <c r="J15" i="38"/>
  <c r="L15" i="38"/>
  <c r="G17" i="38"/>
  <c r="H16" i="38"/>
  <c r="D16" i="38"/>
  <c r="F16" i="38"/>
  <c r="B17" i="38"/>
  <c r="A17" i="38"/>
  <c r="K25" i="30"/>
  <c r="M25" i="30" s="1"/>
  <c r="AD26" i="30"/>
  <c r="AF26" i="30" s="1"/>
  <c r="AH26" i="30" s="1"/>
  <c r="AK25" i="30"/>
  <c r="AM25" i="30" s="1"/>
  <c r="K26" i="30"/>
  <c r="M26" i="30" s="1"/>
  <c r="AD25" i="30"/>
  <c r="AF25" i="30" s="1"/>
  <c r="AH25" i="30" s="1"/>
  <c r="AW25" i="30"/>
  <c r="AY25" i="30" s="1"/>
  <c r="AW26" i="30"/>
  <c r="AY26" i="30" s="1"/>
  <c r="BD25" i="30"/>
  <c r="BF25" i="30" s="1"/>
  <c r="BD26" i="30"/>
  <c r="BF26" i="30" s="1"/>
  <c r="AK26" i="30"/>
  <c r="AM26" i="30" s="1"/>
  <c r="D26" i="30"/>
  <c r="F26" i="30" s="1"/>
  <c r="D25" i="30"/>
  <c r="F25" i="30" s="1"/>
  <c r="C28" i="22"/>
  <c r="B30" i="22"/>
  <c r="C29" i="22"/>
  <c r="AE16" i="38"/>
  <c r="AF16" i="38"/>
  <c r="AD15" i="38"/>
  <c r="AB15" i="38"/>
  <c r="AH15" i="38"/>
  <c r="AJ15" i="38"/>
  <c r="BK25" i="30"/>
  <c r="BM25" i="30" s="1"/>
  <c r="BN25" i="30" s="1"/>
  <c r="AR25" i="30"/>
  <c r="AT25" i="30" s="1"/>
  <c r="AU25" i="30" s="1"/>
  <c r="Z26" i="30"/>
  <c r="AB26" i="30" s="1"/>
  <c r="R25" i="30"/>
  <c r="T25" i="30" s="1"/>
  <c r="U25" i="30" s="1"/>
  <c r="R26" i="30"/>
  <c r="T26" i="30" s="1"/>
  <c r="U26" i="30" s="1"/>
  <c r="V25" i="30"/>
  <c r="X25" i="30" s="1"/>
  <c r="Y25" i="30" s="1"/>
  <c r="BK26" i="30"/>
  <c r="BM26" i="30" s="1"/>
  <c r="BN26" i="30" s="1"/>
  <c r="AR26" i="30"/>
  <c r="AT26" i="30" s="1"/>
  <c r="AU26" i="30" s="1"/>
  <c r="Z25" i="30"/>
  <c r="AB25" i="30" s="1"/>
  <c r="V26" i="30"/>
  <c r="X26" i="30" s="1"/>
  <c r="Y26" i="30" s="1"/>
  <c r="AD14" i="34"/>
  <c r="AB14" i="34"/>
  <c r="D15" i="34"/>
  <c r="F15" i="34"/>
  <c r="AZ24" i="30"/>
  <c r="BA24" i="30"/>
  <c r="N24" i="30"/>
  <c r="O24" i="30"/>
  <c r="G24" i="30"/>
  <c r="H24" i="30"/>
  <c r="J14" i="34"/>
  <c r="L14" i="34"/>
  <c r="A16" i="34"/>
  <c r="B16" i="34"/>
  <c r="AO24" i="30"/>
  <c r="AN24" i="30"/>
  <c r="N23" i="30"/>
  <c r="O23" i="30"/>
  <c r="BG23" i="30"/>
  <c r="BH23" i="30"/>
  <c r="H15" i="34"/>
  <c r="G15" i="34"/>
  <c r="C29" i="30"/>
  <c r="C28" i="30"/>
  <c r="B30" i="30"/>
  <c r="AH14" i="34"/>
  <c r="AJ14" i="34"/>
  <c r="X14" i="34"/>
  <c r="V14" i="34"/>
  <c r="M15" i="34"/>
  <c r="N15" i="34"/>
  <c r="BG24" i="30"/>
  <c r="BH24" i="30"/>
  <c r="AG24" i="30"/>
  <c r="AO23" i="30"/>
  <c r="AN23" i="30"/>
  <c r="Z15" i="34"/>
  <c r="Y15" i="34"/>
  <c r="AE15" i="34"/>
  <c r="AF15" i="34"/>
  <c r="T15" i="34"/>
  <c r="S15" i="34"/>
  <c r="P14" i="34"/>
  <c r="R14" i="34"/>
  <c r="AG23" i="30"/>
  <c r="BA23" i="30"/>
  <c r="AZ23" i="30"/>
  <c r="H23" i="30"/>
  <c r="G23" i="30"/>
  <c r="D26" i="11"/>
  <c r="B27" i="11"/>
  <c r="C27" i="11" s="1"/>
  <c r="I27" i="11"/>
  <c r="O27" i="11"/>
  <c r="AA27" i="11"/>
  <c r="W27" i="11"/>
  <c r="P26" i="11"/>
  <c r="J26" i="11"/>
  <c r="K27" i="11"/>
  <c r="Z26" i="11"/>
  <c r="H26" i="11"/>
  <c r="M27" i="11"/>
  <c r="AD26" i="11" a="1"/>
  <c r="AB26" i="11"/>
  <c r="AC27" i="11" a="1"/>
  <c r="F26" i="11"/>
  <c r="G27" i="11"/>
  <c r="Y27" i="11"/>
  <c r="N26" i="11"/>
  <c r="X26" i="11"/>
  <c r="L26" i="11"/>
  <c r="S27" i="11"/>
  <c r="Q27" i="11"/>
  <c r="E27" i="11"/>
  <c r="R26" i="11"/>
  <c r="T26" i="11"/>
  <c r="BU16" i="45" l="1"/>
  <c r="BV16" i="45"/>
  <c r="BQ16" i="45"/>
  <c r="BR16" i="45"/>
  <c r="BN16" i="45"/>
  <c r="BM16" i="45"/>
  <c r="BI16" i="45"/>
  <c r="BJ16" i="45"/>
  <c r="BE16" i="45"/>
  <c r="BF16" i="45"/>
  <c r="BB16" i="45"/>
  <c r="BA16" i="45"/>
  <c r="AW16" i="45"/>
  <c r="AX16" i="45"/>
  <c r="AS16" i="45"/>
  <c r="AT16" i="45"/>
  <c r="AO16" i="45"/>
  <c r="AP16" i="45"/>
  <c r="AI17" i="45"/>
  <c r="AJ17" i="45"/>
  <c r="AF17" i="45"/>
  <c r="AE17" i="45"/>
  <c r="AA17" i="45"/>
  <c r="AB17" i="45"/>
  <c r="W17" i="45"/>
  <c r="X17" i="45"/>
  <c r="S17" i="45"/>
  <c r="O17" i="45"/>
  <c r="P17" i="45"/>
  <c r="K17" i="45"/>
  <c r="L17" i="45"/>
  <c r="H17" i="45"/>
  <c r="G17" i="45"/>
  <c r="D17" i="45"/>
  <c r="C17" i="45"/>
  <c r="AC25" i="30"/>
  <c r="AC26" i="30"/>
  <c r="BS17" i="30"/>
  <c r="BP25" i="30"/>
  <c r="BS18" i="30"/>
  <c r="BP26" i="30"/>
  <c r="BO28" i="30"/>
  <c r="BO27" i="30"/>
  <c r="BP28" i="30" s="1"/>
  <c r="BP27" i="30" s="1"/>
  <c r="X16" i="38"/>
  <c r="R16" i="38"/>
  <c r="S18" i="38"/>
  <c r="T17" i="38"/>
  <c r="V17" i="38" s="1"/>
  <c r="M18" i="38"/>
  <c r="N17" i="38"/>
  <c r="P17" i="38" s="1"/>
  <c r="J16" i="38"/>
  <c r="L16" i="38"/>
  <c r="G18" i="38"/>
  <c r="H17" i="38"/>
  <c r="D17" i="38"/>
  <c r="F17" i="38"/>
  <c r="A18" i="38"/>
  <c r="B18" i="38"/>
  <c r="K27" i="30"/>
  <c r="M27" i="30" s="1"/>
  <c r="AD27" i="30"/>
  <c r="AF27" i="30" s="1"/>
  <c r="AH27" i="30" s="1"/>
  <c r="AW28" i="30"/>
  <c r="AY28" i="30" s="1"/>
  <c r="AD28" i="30"/>
  <c r="AF28" i="30" s="1"/>
  <c r="AH28" i="30" s="1"/>
  <c r="BD27" i="30"/>
  <c r="BF27" i="30" s="1"/>
  <c r="AK28" i="30"/>
  <c r="AM28" i="30" s="1"/>
  <c r="AK27" i="30"/>
  <c r="AM27" i="30" s="1"/>
  <c r="K28" i="30"/>
  <c r="M28" i="30" s="1"/>
  <c r="AW27" i="30"/>
  <c r="AY27" i="30" s="1"/>
  <c r="BD28" i="30"/>
  <c r="BF28" i="30" s="1"/>
  <c r="D28" i="30"/>
  <c r="F28" i="30" s="1"/>
  <c r="D27" i="30"/>
  <c r="F27" i="30" s="1"/>
  <c r="B32" i="22"/>
  <c r="C31" i="22"/>
  <c r="C30" i="22"/>
  <c r="AF17" i="38"/>
  <c r="AE17" i="38"/>
  <c r="AJ16" i="38"/>
  <c r="AH16" i="38"/>
  <c r="AD16" i="38"/>
  <c r="AB16" i="38"/>
  <c r="AR28" i="30"/>
  <c r="AT28" i="30" s="1"/>
  <c r="AU28" i="30" s="1"/>
  <c r="Z27" i="30"/>
  <c r="AB27" i="30" s="1"/>
  <c r="V28" i="30"/>
  <c r="X28" i="30" s="1"/>
  <c r="Y28" i="30" s="1"/>
  <c r="Z28" i="30"/>
  <c r="AB28" i="30" s="1"/>
  <c r="R27" i="30"/>
  <c r="T27" i="30" s="1"/>
  <c r="U27" i="30" s="1"/>
  <c r="BK27" i="30"/>
  <c r="BM27" i="30" s="1"/>
  <c r="BN27" i="30" s="1"/>
  <c r="R28" i="30"/>
  <c r="T28" i="30" s="1"/>
  <c r="U28" i="30" s="1"/>
  <c r="AR27" i="30"/>
  <c r="AT27" i="30" s="1"/>
  <c r="AU27" i="30" s="1"/>
  <c r="BK28" i="30"/>
  <c r="BM28" i="30" s="1"/>
  <c r="BN28" i="30" s="1"/>
  <c r="V27" i="30"/>
  <c r="X27" i="30" s="1"/>
  <c r="Y27" i="30" s="1"/>
  <c r="M16" i="34"/>
  <c r="N17" i="34" s="1"/>
  <c r="N16" i="34"/>
  <c r="B17" i="34"/>
  <c r="A17" i="34"/>
  <c r="BA25" i="30"/>
  <c r="AZ25" i="30"/>
  <c r="AN26" i="30"/>
  <c r="AO26" i="30"/>
  <c r="T16" i="34"/>
  <c r="S16" i="34"/>
  <c r="AJ15" i="34"/>
  <c r="AH15" i="34"/>
  <c r="Y16" i="34"/>
  <c r="Z16" i="34"/>
  <c r="C31" i="30"/>
  <c r="B32" i="30"/>
  <c r="C30" i="30"/>
  <c r="G26" i="30"/>
  <c r="H26" i="30"/>
  <c r="O25" i="30"/>
  <c r="N25" i="30"/>
  <c r="N26" i="30"/>
  <c r="O26" i="30"/>
  <c r="X15" i="34"/>
  <c r="V15" i="34"/>
  <c r="AF16" i="34"/>
  <c r="AE16" i="34"/>
  <c r="AB15" i="34"/>
  <c r="AD15" i="34"/>
  <c r="H16" i="34"/>
  <c r="G16" i="34"/>
  <c r="AG25" i="30"/>
  <c r="H25" i="30"/>
  <c r="G25" i="30"/>
  <c r="BH26" i="30"/>
  <c r="BG26" i="30"/>
  <c r="BH25" i="30"/>
  <c r="BG25" i="30"/>
  <c r="P15" i="34"/>
  <c r="R15" i="34"/>
  <c r="J15" i="34"/>
  <c r="L15" i="34"/>
  <c r="D16" i="34"/>
  <c r="F16" i="34"/>
  <c r="AG26" i="30"/>
  <c r="AO25" i="30"/>
  <c r="AN25" i="30"/>
  <c r="BA26" i="30"/>
  <c r="AZ26" i="30"/>
  <c r="D27" i="11"/>
  <c r="B28" i="11"/>
  <c r="C28" i="11" s="1"/>
  <c r="AA28" i="11"/>
  <c r="AB27" i="11"/>
  <c r="J27" i="11"/>
  <c r="K28" i="11"/>
  <c r="N27" i="11"/>
  <c r="E28" i="11"/>
  <c r="G28" i="11"/>
  <c r="P27" i="11"/>
  <c r="Y28" i="11"/>
  <c r="L27" i="11"/>
  <c r="R27" i="11"/>
  <c r="I28" i="11"/>
  <c r="Z27" i="11"/>
  <c r="F27" i="11"/>
  <c r="H27" i="11"/>
  <c r="AD27" i="11" a="1"/>
  <c r="Q28" i="11"/>
  <c r="W28" i="11"/>
  <c r="M28" i="11"/>
  <c r="T27" i="11"/>
  <c r="O28" i="11"/>
  <c r="S28" i="11"/>
  <c r="X27" i="11"/>
  <c r="AC28" i="11" a="1"/>
  <c r="BU17" i="45" l="1"/>
  <c r="BV17" i="45"/>
  <c r="BM17" i="45"/>
  <c r="BN17" i="45"/>
  <c r="BR17" i="45"/>
  <c r="BQ17" i="45"/>
  <c r="BI17" i="45"/>
  <c r="BJ17" i="45"/>
  <c r="BE17" i="45"/>
  <c r="BF17" i="45"/>
  <c r="BB17" i="45"/>
  <c r="BA17" i="45"/>
  <c r="AX17" i="45"/>
  <c r="AW17" i="45"/>
  <c r="AS17" i="45"/>
  <c r="AT17" i="45"/>
  <c r="AO17" i="45"/>
  <c r="AP17" i="45"/>
  <c r="AI18" i="45"/>
  <c r="AJ18" i="45"/>
  <c r="AF18" i="45"/>
  <c r="AE18" i="45"/>
  <c r="AA18" i="45"/>
  <c r="AB18" i="45"/>
  <c r="W18" i="45"/>
  <c r="X18" i="45"/>
  <c r="S18" i="45"/>
  <c r="O18" i="45"/>
  <c r="P18" i="45"/>
  <c r="K18" i="45"/>
  <c r="L18" i="45"/>
  <c r="G18" i="45"/>
  <c r="H18" i="45"/>
  <c r="D18" i="45"/>
  <c r="C18" i="45"/>
  <c r="BR25" i="30"/>
  <c r="BS25" i="30" s="1"/>
  <c r="BR27" i="30"/>
  <c r="BS27" i="30" s="1"/>
  <c r="BR26" i="30"/>
  <c r="BS26" i="30" s="1"/>
  <c r="BR28" i="30"/>
  <c r="BS28" i="30" s="1"/>
  <c r="AC28" i="30"/>
  <c r="AC27" i="30"/>
  <c r="BO30" i="30"/>
  <c r="BO29" i="30"/>
  <c r="BS19" i="30"/>
  <c r="X17" i="38"/>
  <c r="R17" i="38"/>
  <c r="S19" i="38"/>
  <c r="T18" i="38"/>
  <c r="V18" i="38" s="1"/>
  <c r="M19" i="38"/>
  <c r="N18" i="38"/>
  <c r="P18" i="38" s="1"/>
  <c r="J17" i="38"/>
  <c r="L17" i="38"/>
  <c r="G19" i="38"/>
  <c r="H18" i="38"/>
  <c r="D18" i="38"/>
  <c r="F18" i="38"/>
  <c r="B19" i="38"/>
  <c r="A19" i="38"/>
  <c r="AD29" i="30"/>
  <c r="AF29" i="30" s="1"/>
  <c r="AH29" i="30" s="1"/>
  <c r="AK29" i="30"/>
  <c r="AM29" i="30" s="1"/>
  <c r="K29" i="30"/>
  <c r="M29" i="30" s="1"/>
  <c r="K30" i="30"/>
  <c r="M30" i="30" s="1"/>
  <c r="AW29" i="30"/>
  <c r="AY29" i="30" s="1"/>
  <c r="BD29" i="30"/>
  <c r="BF29" i="30" s="1"/>
  <c r="AW30" i="30"/>
  <c r="AY30" i="30" s="1"/>
  <c r="AK30" i="30"/>
  <c r="AM30" i="30" s="1"/>
  <c r="BD30" i="30"/>
  <c r="BF30" i="30" s="1"/>
  <c r="AD30" i="30"/>
  <c r="AF30" i="30" s="1"/>
  <c r="AH30" i="30" s="1"/>
  <c r="D30" i="30"/>
  <c r="F30" i="30" s="1"/>
  <c r="D29" i="30"/>
  <c r="F29" i="30" s="1"/>
  <c r="B34" i="22"/>
  <c r="C33" i="22"/>
  <c r="C32" i="22"/>
  <c r="AF18" i="38"/>
  <c r="AE18" i="38"/>
  <c r="AJ17" i="38"/>
  <c r="AH17" i="38"/>
  <c r="AB17" i="38"/>
  <c r="AD17" i="38"/>
  <c r="V29" i="30"/>
  <c r="X29" i="30" s="1"/>
  <c r="Y29" i="30" s="1"/>
  <c r="R29" i="30"/>
  <c r="T29" i="30" s="1"/>
  <c r="U29" i="30" s="1"/>
  <c r="AR29" i="30"/>
  <c r="AT29" i="30" s="1"/>
  <c r="AU29" i="30" s="1"/>
  <c r="Z30" i="30"/>
  <c r="AB30" i="30" s="1"/>
  <c r="R30" i="30"/>
  <c r="T30" i="30" s="1"/>
  <c r="U30" i="30" s="1"/>
  <c r="AR30" i="30"/>
  <c r="AT30" i="30" s="1"/>
  <c r="AU30" i="30" s="1"/>
  <c r="BK30" i="30"/>
  <c r="BM30" i="30" s="1"/>
  <c r="BN30" i="30" s="1"/>
  <c r="Z29" i="30"/>
  <c r="AB29" i="30" s="1"/>
  <c r="BK29" i="30"/>
  <c r="BM29" i="30" s="1"/>
  <c r="BN29" i="30" s="1"/>
  <c r="V30" i="30"/>
  <c r="X30" i="30" s="1"/>
  <c r="Y30" i="30" s="1"/>
  <c r="AE17" i="34"/>
  <c r="AF17" i="34"/>
  <c r="Y17" i="34"/>
  <c r="Z17" i="34"/>
  <c r="A18" i="34"/>
  <c r="B18" i="34"/>
  <c r="P16" i="34"/>
  <c r="R16" i="34"/>
  <c r="AG27" i="30"/>
  <c r="N28" i="30"/>
  <c r="O28" i="30"/>
  <c r="AJ16" i="34"/>
  <c r="AH16" i="34"/>
  <c r="S17" i="34"/>
  <c r="T17" i="34"/>
  <c r="D17" i="34"/>
  <c r="F17" i="34"/>
  <c r="M17" i="34"/>
  <c r="AZ28" i="30"/>
  <c r="BA28" i="30"/>
  <c r="H28" i="30"/>
  <c r="G28" i="30"/>
  <c r="BG27" i="30"/>
  <c r="BH27" i="30"/>
  <c r="H17" i="34"/>
  <c r="G17" i="34"/>
  <c r="X16" i="34"/>
  <c r="V16" i="34"/>
  <c r="N27" i="30"/>
  <c r="O27" i="30"/>
  <c r="BA27" i="30"/>
  <c r="AZ27" i="30"/>
  <c r="G27" i="30"/>
  <c r="H27" i="30"/>
  <c r="J16" i="34"/>
  <c r="L16" i="34"/>
  <c r="C33" i="30"/>
  <c r="C32" i="30"/>
  <c r="B34" i="30"/>
  <c r="C34" i="30" s="1"/>
  <c r="AD16" i="34"/>
  <c r="AB16" i="34"/>
  <c r="AO28" i="30"/>
  <c r="AN28" i="30"/>
  <c r="AO27" i="30"/>
  <c r="AN27" i="30"/>
  <c r="AG28" i="30"/>
  <c r="BH28" i="30"/>
  <c r="BG28" i="30"/>
  <c r="D28" i="11"/>
  <c r="K17" i="2"/>
  <c r="K18" i="2" s="1"/>
  <c r="L18" i="2" s="1"/>
  <c r="B29" i="11"/>
  <c r="C29" i="11" s="1"/>
  <c r="E29" i="11"/>
  <c r="R28" i="11"/>
  <c r="AC29" i="11" a="1"/>
  <c r="S29" i="11"/>
  <c r="Z28" i="11"/>
  <c r="AD28" i="11" a="1"/>
  <c r="Y29" i="11"/>
  <c r="L28" i="11"/>
  <c r="AB28" i="11"/>
  <c r="K29" i="11"/>
  <c r="N28" i="11"/>
  <c r="T28" i="11"/>
  <c r="F28" i="11"/>
  <c r="H28" i="11"/>
  <c r="AA29" i="11"/>
  <c r="J28" i="11"/>
  <c r="I29" i="11"/>
  <c r="Q29" i="11"/>
  <c r="W29" i="11"/>
  <c r="M29" i="11"/>
  <c r="P28" i="11"/>
  <c r="G29" i="11"/>
  <c r="O29" i="11"/>
  <c r="X28" i="11"/>
  <c r="BV18" i="45" l="1"/>
  <c r="BU18" i="45"/>
  <c r="BN18" i="45"/>
  <c r="BM18" i="45"/>
  <c r="BQ18" i="45"/>
  <c r="BR18" i="45"/>
  <c r="BI18" i="45"/>
  <c r="BJ18" i="45"/>
  <c r="BE18" i="45"/>
  <c r="BF18" i="45"/>
  <c r="BB18" i="45"/>
  <c r="BA18" i="45"/>
  <c r="AW18" i="45"/>
  <c r="AX18" i="45"/>
  <c r="AS18" i="45"/>
  <c r="AT18" i="45"/>
  <c r="AP18" i="45"/>
  <c r="AO18" i="45"/>
  <c r="AI19" i="45"/>
  <c r="AJ19" i="45"/>
  <c r="AE19" i="45"/>
  <c r="AF19" i="45"/>
  <c r="AB19" i="45"/>
  <c r="AA19" i="45"/>
  <c r="W19" i="45"/>
  <c r="X19" i="45"/>
  <c r="S19" i="45"/>
  <c r="O19" i="45"/>
  <c r="P19" i="45"/>
  <c r="K19" i="45"/>
  <c r="L19" i="45"/>
  <c r="G19" i="45"/>
  <c r="H19" i="45"/>
  <c r="D19" i="45"/>
  <c r="C19" i="45"/>
  <c r="AC29" i="30"/>
  <c r="AC30" i="30"/>
  <c r="BO31" i="30"/>
  <c r="BP29" i="30"/>
  <c r="BP30" i="30"/>
  <c r="BO32" i="30"/>
  <c r="BK31" i="30"/>
  <c r="BM31" i="30" s="1"/>
  <c r="BN31" i="30" s="1"/>
  <c r="BO34" i="30" s="1"/>
  <c r="BP31" i="30" s="1"/>
  <c r="BR31" i="30" s="1"/>
  <c r="X18" i="38"/>
  <c r="R18" i="38"/>
  <c r="S20" i="38"/>
  <c r="T19" i="38"/>
  <c r="V19" i="38" s="1"/>
  <c r="M20" i="38"/>
  <c r="N19" i="38"/>
  <c r="P19" i="38" s="1"/>
  <c r="J18" i="38"/>
  <c r="L18" i="38"/>
  <c r="G20" i="38"/>
  <c r="H19" i="38"/>
  <c r="D19" i="38"/>
  <c r="F19" i="38"/>
  <c r="A20" i="38"/>
  <c r="B20" i="38"/>
  <c r="AD32" i="30"/>
  <c r="AF32" i="30" s="1"/>
  <c r="AH32" i="30" s="1"/>
  <c r="AW32" i="30"/>
  <c r="AY32" i="30" s="1"/>
  <c r="AK32" i="30"/>
  <c r="AM32" i="30" s="1"/>
  <c r="AD31" i="30"/>
  <c r="AF31" i="30" s="1"/>
  <c r="AH31" i="30" s="1"/>
  <c r="AK31" i="30"/>
  <c r="AM31" i="30" s="1"/>
  <c r="K32" i="30"/>
  <c r="M32" i="30" s="1"/>
  <c r="K31" i="30"/>
  <c r="M31" i="30" s="1"/>
  <c r="AW31" i="30"/>
  <c r="AY31" i="30" s="1"/>
  <c r="BD32" i="30"/>
  <c r="BF32" i="30" s="1"/>
  <c r="BD31" i="30"/>
  <c r="BF31" i="30" s="1"/>
  <c r="D31" i="30"/>
  <c r="F31" i="30" s="1"/>
  <c r="D32" i="30"/>
  <c r="F32" i="30" s="1"/>
  <c r="B36" i="22"/>
  <c r="C35" i="22"/>
  <c r="C34" i="22"/>
  <c r="AF19" i="38"/>
  <c r="AE19" i="38"/>
  <c r="AB18" i="38"/>
  <c r="AD18" i="38"/>
  <c r="AJ18" i="38"/>
  <c r="AH18" i="38"/>
  <c r="Z31" i="30"/>
  <c r="AB31" i="30" s="1"/>
  <c r="R32" i="30"/>
  <c r="T32" i="30" s="1"/>
  <c r="U32" i="30" s="1"/>
  <c r="AR32" i="30"/>
  <c r="AT32" i="30" s="1"/>
  <c r="AU32" i="30" s="1"/>
  <c r="AR31" i="30"/>
  <c r="AT31" i="30" s="1"/>
  <c r="AU31" i="30" s="1"/>
  <c r="Z32" i="30"/>
  <c r="AB32" i="30" s="1"/>
  <c r="V32" i="30"/>
  <c r="X32" i="30" s="1"/>
  <c r="Y32" i="30" s="1"/>
  <c r="BK32" i="30"/>
  <c r="BM32" i="30" s="1"/>
  <c r="BN32" i="30" s="1"/>
  <c r="V31" i="30"/>
  <c r="X31" i="30" s="1"/>
  <c r="Y31" i="30" s="1"/>
  <c r="R31" i="30"/>
  <c r="T31" i="30" s="1"/>
  <c r="U31" i="30" s="1"/>
  <c r="G18" i="34"/>
  <c r="H18" i="34"/>
  <c r="V17" i="34"/>
  <c r="X17" i="34"/>
  <c r="D18" i="34"/>
  <c r="F18" i="34"/>
  <c r="AD17" i="34"/>
  <c r="AB17" i="34"/>
  <c r="AH17" i="34"/>
  <c r="AJ17" i="34"/>
  <c r="AZ29" i="30"/>
  <c r="BA29" i="30"/>
  <c r="AN30" i="30"/>
  <c r="AO30" i="30"/>
  <c r="BG29" i="30"/>
  <c r="BH29" i="30"/>
  <c r="AG30" i="30"/>
  <c r="B36" i="30"/>
  <c r="C35" i="30"/>
  <c r="J17" i="34"/>
  <c r="L17" i="34"/>
  <c r="T18" i="34"/>
  <c r="S18" i="34"/>
  <c r="B19" i="34"/>
  <c r="A19" i="34"/>
  <c r="Z18" i="34"/>
  <c r="Y18" i="34"/>
  <c r="AF18" i="34"/>
  <c r="AE18" i="34"/>
  <c r="BH30" i="30"/>
  <c r="BG30" i="30"/>
  <c r="N30" i="30"/>
  <c r="O30" i="30"/>
  <c r="M18" i="34"/>
  <c r="N18" i="34"/>
  <c r="H29" i="30"/>
  <c r="G29" i="30"/>
  <c r="H30" i="30"/>
  <c r="G30" i="30"/>
  <c r="AZ30" i="30"/>
  <c r="BA30" i="30"/>
  <c r="R17" i="34"/>
  <c r="P17" i="34"/>
  <c r="AG29" i="30"/>
  <c r="O29" i="30"/>
  <c r="N29" i="30"/>
  <c r="AN29" i="30"/>
  <c r="AO29" i="30"/>
  <c r="D29" i="11"/>
  <c r="B30" i="11"/>
  <c r="H29" i="11"/>
  <c r="AD29" i="11" a="1"/>
  <c r="N29" i="11"/>
  <c r="Z29" i="11"/>
  <c r="J29" i="11"/>
  <c r="P29" i="11"/>
  <c r="F29" i="11"/>
  <c r="X29" i="11"/>
  <c r="L29" i="11"/>
  <c r="T29" i="11"/>
  <c r="R29" i="11"/>
  <c r="AB29" i="11"/>
  <c r="BV19" i="45" l="1"/>
  <c r="BU19" i="45"/>
  <c r="BN19" i="45"/>
  <c r="BM19" i="45"/>
  <c r="BQ19" i="45"/>
  <c r="BR19" i="45"/>
  <c r="BJ19" i="45"/>
  <c r="BI19" i="45"/>
  <c r="BF19" i="45"/>
  <c r="BE19" i="45"/>
  <c r="BB19" i="45"/>
  <c r="BA19" i="45"/>
  <c r="AW19" i="45"/>
  <c r="AX19" i="45"/>
  <c r="AS19" i="45"/>
  <c r="AT19" i="45"/>
  <c r="AO19" i="45"/>
  <c r="AP19" i="45"/>
  <c r="C30" i="11"/>
  <c r="D30" i="11" s="1"/>
  <c r="BR29" i="30"/>
  <c r="BS29" i="30" s="1"/>
  <c r="BR30" i="30"/>
  <c r="BS30" i="30" s="1"/>
  <c r="AC32" i="30"/>
  <c r="AC31" i="30"/>
  <c r="BP32" i="30"/>
  <c r="BO33" i="30"/>
  <c r="BS31" i="30"/>
  <c r="BP33" i="30" s="1"/>
  <c r="BR33" i="30" s="1"/>
  <c r="X19" i="38"/>
  <c r="R19" i="38"/>
  <c r="S21" i="38"/>
  <c r="T20" i="38"/>
  <c r="V20" i="38" s="1"/>
  <c r="M21" i="38"/>
  <c r="N20" i="38"/>
  <c r="P20" i="38" s="1"/>
  <c r="J19" i="38"/>
  <c r="L19" i="38"/>
  <c r="G21" i="38"/>
  <c r="H20" i="38"/>
  <c r="D20" i="38"/>
  <c r="F20" i="38"/>
  <c r="B21" i="38"/>
  <c r="A21" i="38"/>
  <c r="BD33" i="30"/>
  <c r="BF33" i="30" s="1"/>
  <c r="K33" i="30"/>
  <c r="M33" i="30" s="1"/>
  <c r="AK33" i="30"/>
  <c r="AM33" i="30" s="1"/>
  <c r="AD33" i="30"/>
  <c r="AF33" i="30" s="1"/>
  <c r="AH33" i="30" s="1"/>
  <c r="AW33" i="30"/>
  <c r="AY33" i="30" s="1"/>
  <c r="D33" i="30"/>
  <c r="F33" i="30" s="1"/>
  <c r="C37" i="22"/>
  <c r="C36" i="22"/>
  <c r="B38" i="22"/>
  <c r="AE20" i="38"/>
  <c r="AF20" i="38"/>
  <c r="AB19" i="38"/>
  <c r="AD19" i="38"/>
  <c r="AJ19" i="38"/>
  <c r="AH19" i="38"/>
  <c r="AR33" i="30"/>
  <c r="AT33" i="30" s="1"/>
  <c r="AU33" i="30" s="1"/>
  <c r="V33" i="30"/>
  <c r="X33" i="30" s="1"/>
  <c r="Y33" i="30" s="1"/>
  <c r="R33" i="30"/>
  <c r="T33" i="30" s="1"/>
  <c r="U33" i="30" s="1"/>
  <c r="Z33" i="30"/>
  <c r="AB33" i="30" s="1"/>
  <c r="BK33" i="30"/>
  <c r="BM33" i="30" s="1"/>
  <c r="BN33" i="30" s="1"/>
  <c r="N19" i="34"/>
  <c r="M19" i="34"/>
  <c r="AE19" i="34"/>
  <c r="AF19" i="34"/>
  <c r="Z19" i="34"/>
  <c r="Y19" i="34"/>
  <c r="V18" i="34"/>
  <c r="X18" i="34"/>
  <c r="AJ18" i="34"/>
  <c r="AH18" i="34"/>
  <c r="AD18" i="34"/>
  <c r="AB18" i="34"/>
  <c r="C36" i="30"/>
  <c r="B38" i="30"/>
  <c r="C37" i="30"/>
  <c r="L18" i="34"/>
  <c r="J18" i="34"/>
  <c r="AN32" i="30"/>
  <c r="AO32" i="30"/>
  <c r="AG31" i="30"/>
  <c r="G19" i="34"/>
  <c r="H19" i="34"/>
  <c r="O31" i="30"/>
  <c r="N31" i="30"/>
  <c r="AO31" i="30"/>
  <c r="AN31" i="30"/>
  <c r="N32" i="30"/>
  <c r="O32" i="30"/>
  <c r="BA32" i="30"/>
  <c r="AZ32" i="30"/>
  <c r="R18" i="34"/>
  <c r="P18" i="34"/>
  <c r="B20" i="34"/>
  <c r="A20" i="34"/>
  <c r="S19" i="34"/>
  <c r="T19" i="34"/>
  <c r="AZ31" i="30"/>
  <c r="BA31" i="30"/>
  <c r="H32" i="30"/>
  <c r="G32" i="30"/>
  <c r="BH32" i="30"/>
  <c r="BG32" i="30"/>
  <c r="AG32" i="30"/>
  <c r="F19" i="34"/>
  <c r="D19" i="34"/>
  <c r="G31" i="30"/>
  <c r="H31" i="30"/>
  <c r="BG31" i="30"/>
  <c r="BH31" i="30"/>
  <c r="B31" i="11"/>
  <c r="C31" i="11" s="1"/>
  <c r="Y30" i="11"/>
  <c r="K30" i="11"/>
  <c r="R30" i="11"/>
  <c r="AC30" i="11" a="1"/>
  <c r="AC31" i="11" a="1"/>
  <c r="N30" i="11"/>
  <c r="K31" i="11"/>
  <c r="AA30" i="11"/>
  <c r="Q30" i="11"/>
  <c r="Q31" i="11"/>
  <c r="M31" i="11"/>
  <c r="E30" i="11"/>
  <c r="L30" i="11"/>
  <c r="M30" i="11"/>
  <c r="T30" i="11"/>
  <c r="P30" i="11"/>
  <c r="G30" i="11"/>
  <c r="AB30" i="11"/>
  <c r="G31" i="11"/>
  <c r="X30" i="11"/>
  <c r="W30" i="11"/>
  <c r="F30" i="11"/>
  <c r="Z30" i="11"/>
  <c r="I30" i="11"/>
  <c r="J30" i="11"/>
  <c r="O30" i="11"/>
  <c r="I31" i="11"/>
  <c r="O31" i="11"/>
  <c r="W31" i="11"/>
  <c r="E31" i="11"/>
  <c r="S31" i="11"/>
  <c r="Y31" i="11"/>
  <c r="S30" i="11"/>
  <c r="AD30" i="11" a="1"/>
  <c r="AA31" i="11"/>
  <c r="H30" i="11"/>
  <c r="BU20" i="45" l="1"/>
  <c r="BV20" i="45"/>
  <c r="BR20" i="45"/>
  <c r="BQ20" i="45"/>
  <c r="BM20" i="45"/>
  <c r="BN20" i="45"/>
  <c r="BI20" i="45"/>
  <c r="BJ20" i="45"/>
  <c r="BE20" i="45"/>
  <c r="BF20" i="45"/>
  <c r="BA20" i="45"/>
  <c r="BB20" i="45"/>
  <c r="AW20" i="45"/>
  <c r="AX20" i="45"/>
  <c r="AS20" i="45"/>
  <c r="AT20" i="45"/>
  <c r="AP20" i="45"/>
  <c r="AO20" i="45"/>
  <c r="AI20" i="45"/>
  <c r="AJ20" i="45"/>
  <c r="AI21" i="45"/>
  <c r="AJ21" i="45"/>
  <c r="AE21" i="45"/>
  <c r="AF21" i="45"/>
  <c r="AE20" i="45"/>
  <c r="AF20" i="45"/>
  <c r="AA21" i="45"/>
  <c r="AB21" i="45"/>
  <c r="AA20" i="45"/>
  <c r="AB20" i="45"/>
  <c r="X20" i="45"/>
  <c r="W20" i="45"/>
  <c r="W21" i="45"/>
  <c r="X21" i="45"/>
  <c r="S21" i="45"/>
  <c r="S20" i="45"/>
  <c r="O21" i="45"/>
  <c r="P21" i="45"/>
  <c r="O20" i="45"/>
  <c r="P20" i="45"/>
  <c r="L20" i="45"/>
  <c r="K20" i="45"/>
  <c r="K21" i="45"/>
  <c r="L21" i="45"/>
  <c r="G20" i="45"/>
  <c r="H20" i="45"/>
  <c r="G21" i="45"/>
  <c r="H21" i="45"/>
  <c r="D21" i="45"/>
  <c r="D20" i="45"/>
  <c r="C21" i="45"/>
  <c r="C20" i="45"/>
  <c r="BP34" i="30" s="1"/>
  <c r="BR34" i="30" s="1"/>
  <c r="BR32" i="30"/>
  <c r="BS32" i="30" s="1"/>
  <c r="AC33" i="30"/>
  <c r="BO35" i="30"/>
  <c r="BS33" i="30"/>
  <c r="BO38" i="30" s="1"/>
  <c r="X20" i="38"/>
  <c r="R20" i="38"/>
  <c r="S22" i="38"/>
  <c r="T21" i="38"/>
  <c r="V21" i="38" s="1"/>
  <c r="M22" i="38"/>
  <c r="N21" i="38"/>
  <c r="P21" i="38" s="1"/>
  <c r="J20" i="38"/>
  <c r="L20" i="38"/>
  <c r="G22" i="38"/>
  <c r="H21" i="38"/>
  <c r="D21" i="38"/>
  <c r="F21" i="38"/>
  <c r="A22" i="38"/>
  <c r="B22" i="38"/>
  <c r="AD35" i="30"/>
  <c r="AF35" i="30" s="1"/>
  <c r="AH35" i="30" s="1"/>
  <c r="K36" i="30"/>
  <c r="M36" i="30" s="1"/>
  <c r="AW35" i="30"/>
  <c r="AY35" i="30" s="1"/>
  <c r="K34" i="30"/>
  <c r="M34" i="30" s="1"/>
  <c r="BD36" i="30"/>
  <c r="BF36" i="30" s="1"/>
  <c r="AD34" i="30"/>
  <c r="AF34" i="30" s="1"/>
  <c r="AH34" i="30" s="1"/>
  <c r="AK36" i="30"/>
  <c r="AM36" i="30" s="1"/>
  <c r="AW34" i="30"/>
  <c r="AY34" i="30" s="1"/>
  <c r="BD34" i="30"/>
  <c r="BF34" i="30" s="1"/>
  <c r="AK35" i="30"/>
  <c r="AM35" i="30" s="1"/>
  <c r="AK34" i="30"/>
  <c r="AM34" i="30" s="1"/>
  <c r="K35" i="30"/>
  <c r="M35" i="30" s="1"/>
  <c r="BD35" i="30"/>
  <c r="BF35" i="30" s="1"/>
  <c r="AD36" i="30"/>
  <c r="AF36" i="30" s="1"/>
  <c r="AH36" i="30" s="1"/>
  <c r="AW36" i="30"/>
  <c r="AY36" i="30" s="1"/>
  <c r="D34" i="30"/>
  <c r="F34" i="30" s="1"/>
  <c r="D35" i="30"/>
  <c r="F35" i="30" s="1"/>
  <c r="D36" i="30"/>
  <c r="F36" i="30" s="1"/>
  <c r="C39" i="22"/>
  <c r="C38" i="22"/>
  <c r="B40" i="22"/>
  <c r="AF21" i="38"/>
  <c r="AE21" i="38"/>
  <c r="AB20" i="38"/>
  <c r="AD20" i="38"/>
  <c r="AH20" i="38"/>
  <c r="AJ20" i="38"/>
  <c r="BK34" i="30"/>
  <c r="BM34" i="30" s="1"/>
  <c r="BN34" i="30" s="1"/>
  <c r="R34" i="30"/>
  <c r="T34" i="30" s="1"/>
  <c r="U34" i="30" s="1"/>
  <c r="AR36" i="30"/>
  <c r="AT36" i="30" s="1"/>
  <c r="AU36" i="30" s="1"/>
  <c r="V35" i="30"/>
  <c r="X35" i="30" s="1"/>
  <c r="Y35" i="30" s="1"/>
  <c r="Z35" i="30"/>
  <c r="AB35" i="30" s="1"/>
  <c r="BK35" i="30"/>
  <c r="BM35" i="30" s="1"/>
  <c r="BN35" i="30" s="1"/>
  <c r="R36" i="30"/>
  <c r="T36" i="30" s="1"/>
  <c r="U36" i="30" s="1"/>
  <c r="Z34" i="30"/>
  <c r="AB34" i="30" s="1"/>
  <c r="Z36" i="30"/>
  <c r="AB36" i="30" s="1"/>
  <c r="AR35" i="30"/>
  <c r="AT35" i="30" s="1"/>
  <c r="AU35" i="30" s="1"/>
  <c r="AR34" i="30"/>
  <c r="AT34" i="30" s="1"/>
  <c r="AU34" i="30" s="1"/>
  <c r="V36" i="30"/>
  <c r="X36" i="30" s="1"/>
  <c r="Y36" i="30" s="1"/>
  <c r="R35" i="30"/>
  <c r="T35" i="30" s="1"/>
  <c r="U35" i="30" s="1"/>
  <c r="BK36" i="30"/>
  <c r="BM36" i="30" s="1"/>
  <c r="BN36" i="30" s="1"/>
  <c r="V34" i="30"/>
  <c r="X34" i="30" s="1"/>
  <c r="Y34" i="30" s="1"/>
  <c r="T20" i="34"/>
  <c r="S20" i="34"/>
  <c r="AD19" i="34"/>
  <c r="AB19" i="34"/>
  <c r="AF20" i="34"/>
  <c r="AE20" i="34"/>
  <c r="R19" i="34"/>
  <c r="P19" i="34"/>
  <c r="AZ33" i="30"/>
  <c r="BA33" i="30"/>
  <c r="J19" i="34"/>
  <c r="L19" i="34"/>
  <c r="G20" i="34"/>
  <c r="H20" i="34"/>
  <c r="C38" i="30"/>
  <c r="C39" i="30"/>
  <c r="B40" i="30"/>
  <c r="BG33" i="30"/>
  <c r="BH33" i="30"/>
  <c r="O33" i="30"/>
  <c r="N33" i="30"/>
  <c r="B21" i="34"/>
  <c r="A21" i="34"/>
  <c r="G33" i="30"/>
  <c r="H33" i="30"/>
  <c r="AO33" i="30"/>
  <c r="AN33" i="30"/>
  <c r="AG33" i="30"/>
  <c r="X19" i="34"/>
  <c r="V19" i="34"/>
  <c r="D20" i="34"/>
  <c r="F20" i="34"/>
  <c r="Y20" i="34"/>
  <c r="Z20" i="34"/>
  <c r="AJ19" i="34"/>
  <c r="AH19" i="34"/>
  <c r="N20" i="34"/>
  <c r="M20" i="34"/>
  <c r="D31" i="11"/>
  <c r="B32" i="11"/>
  <c r="C32" i="11" s="1"/>
  <c r="AB31" i="11"/>
  <c r="F31" i="11"/>
  <c r="T31" i="11"/>
  <c r="L31" i="11"/>
  <c r="K32" i="11"/>
  <c r="I32" i="11"/>
  <c r="P31" i="11"/>
  <c r="O32" i="11"/>
  <c r="X31" i="11"/>
  <c r="Q32" i="11"/>
  <c r="H31" i="11"/>
  <c r="AD31" i="11" a="1"/>
  <c r="Y32" i="11"/>
  <c r="J31" i="11"/>
  <c r="Z31" i="11"/>
  <c r="R31" i="11"/>
  <c r="G32" i="11"/>
  <c r="AC32" i="11" a="1"/>
  <c r="E32" i="11"/>
  <c r="M32" i="11"/>
  <c r="S32" i="11"/>
  <c r="AA32" i="11"/>
  <c r="W32" i="11"/>
  <c r="N31" i="11"/>
  <c r="BU21" i="45" l="1"/>
  <c r="BV21" i="45"/>
  <c r="BQ21" i="45"/>
  <c r="BR21" i="45"/>
  <c r="BN21" i="45"/>
  <c r="BM21" i="45"/>
  <c r="BI21" i="45"/>
  <c r="BJ21" i="45"/>
  <c r="BE21" i="45"/>
  <c r="BF21" i="45"/>
  <c r="BA21" i="45"/>
  <c r="BB21" i="45"/>
  <c r="AW21" i="45"/>
  <c r="AX21" i="45"/>
  <c r="AS21" i="45"/>
  <c r="AT21" i="45"/>
  <c r="AO21" i="45"/>
  <c r="AP21" i="45"/>
  <c r="AJ22" i="45"/>
  <c r="AI22" i="45"/>
  <c r="AF22" i="45"/>
  <c r="AE22" i="45"/>
  <c r="AB22" i="45"/>
  <c r="AA22" i="45"/>
  <c r="X22" i="45"/>
  <c r="W22" i="45"/>
  <c r="S22" i="45"/>
  <c r="O22" i="45"/>
  <c r="P22" i="45"/>
  <c r="K22" i="45"/>
  <c r="L22" i="45"/>
  <c r="G22" i="45"/>
  <c r="H22" i="45"/>
  <c r="D22" i="45"/>
  <c r="C22" i="45"/>
  <c r="BO36" i="30"/>
  <c r="AC36" i="30"/>
  <c r="AC34" i="30"/>
  <c r="AC35" i="30"/>
  <c r="BO37" i="30"/>
  <c r="BP35" i="30"/>
  <c r="BR35" i="30" s="1"/>
  <c r="BS20" i="30"/>
  <c r="BP36" i="30"/>
  <c r="BR36" i="30" s="1"/>
  <c r="BP38" i="30" s="1"/>
  <c r="BR38" i="30" s="1"/>
  <c r="BP37" i="30" s="1"/>
  <c r="BR37" i="30" s="1"/>
  <c r="X21" i="38"/>
  <c r="R21" i="38"/>
  <c r="S23" i="38"/>
  <c r="T22" i="38"/>
  <c r="V22" i="38" s="1"/>
  <c r="M23" i="38"/>
  <c r="N22" i="38"/>
  <c r="P22" i="38" s="1"/>
  <c r="J21" i="38"/>
  <c r="L21" i="38"/>
  <c r="G23" i="38"/>
  <c r="H22" i="38"/>
  <c r="D22" i="38"/>
  <c r="F22" i="38"/>
  <c r="B23" i="38"/>
  <c r="A23" i="38"/>
  <c r="AD38" i="30"/>
  <c r="AF38" i="30" s="1"/>
  <c r="AH38" i="30" s="1"/>
  <c r="AD37" i="30"/>
  <c r="AF37" i="30" s="1"/>
  <c r="AH37" i="30" s="1"/>
  <c r="K37" i="30"/>
  <c r="M37" i="30" s="1"/>
  <c r="K38" i="30"/>
  <c r="M38" i="30" s="1"/>
  <c r="BD38" i="30"/>
  <c r="BF38" i="30" s="1"/>
  <c r="AW37" i="30"/>
  <c r="AY37" i="30" s="1"/>
  <c r="AK37" i="30"/>
  <c r="AM37" i="30" s="1"/>
  <c r="BD37" i="30"/>
  <c r="BF37" i="30" s="1"/>
  <c r="AW38" i="30"/>
  <c r="AY38" i="30" s="1"/>
  <c r="AK38" i="30"/>
  <c r="AM38" i="30" s="1"/>
  <c r="D37" i="30"/>
  <c r="F37" i="30" s="1"/>
  <c r="D38" i="30"/>
  <c r="F38" i="30" s="1"/>
  <c r="B42" i="22"/>
  <c r="C41" i="22"/>
  <c r="C40" i="22"/>
  <c r="AF22" i="38"/>
  <c r="AE22" i="38"/>
  <c r="AJ21" i="38"/>
  <c r="AH21" i="38"/>
  <c r="AD21" i="38"/>
  <c r="AB21" i="38"/>
  <c r="AR38" i="30"/>
  <c r="AT38" i="30" s="1"/>
  <c r="AU38" i="30" s="1"/>
  <c r="R38" i="30"/>
  <c r="T38" i="30" s="1"/>
  <c r="U38" i="30" s="1"/>
  <c r="Z37" i="30"/>
  <c r="AB37" i="30" s="1"/>
  <c r="V38" i="30"/>
  <c r="X38" i="30" s="1"/>
  <c r="Y38" i="30" s="1"/>
  <c r="BK37" i="30"/>
  <c r="BM37" i="30" s="1"/>
  <c r="BN37" i="30" s="1"/>
  <c r="V37" i="30"/>
  <c r="X37" i="30" s="1"/>
  <c r="Y37" i="30" s="1"/>
  <c r="R37" i="30"/>
  <c r="T37" i="30" s="1"/>
  <c r="U37" i="30" s="1"/>
  <c r="BK38" i="30"/>
  <c r="BM38" i="30" s="1"/>
  <c r="BN38" i="30" s="1"/>
  <c r="Z38" i="30"/>
  <c r="AB38" i="30" s="1"/>
  <c r="AR37" i="30"/>
  <c r="AT37" i="30" s="1"/>
  <c r="AU37" i="30" s="1"/>
  <c r="Z21" i="34"/>
  <c r="Y21" i="34"/>
  <c r="B22" i="34"/>
  <c r="A22" i="34"/>
  <c r="J20" i="34"/>
  <c r="L20" i="34"/>
  <c r="AJ20" i="34"/>
  <c r="AH20" i="34"/>
  <c r="AO36" i="30"/>
  <c r="AN36" i="30"/>
  <c r="H35" i="30"/>
  <c r="G35" i="30"/>
  <c r="AZ36" i="30"/>
  <c r="BA36" i="30"/>
  <c r="BH36" i="30"/>
  <c r="BG36" i="30"/>
  <c r="BH34" i="30"/>
  <c r="BG34" i="30"/>
  <c r="D21" i="34"/>
  <c r="F21" i="34"/>
  <c r="G21" i="34"/>
  <c r="H21" i="34"/>
  <c r="S21" i="34"/>
  <c r="T21" i="34"/>
  <c r="H36" i="30"/>
  <c r="G36" i="30"/>
  <c r="AZ35" i="30"/>
  <c r="BA35" i="30"/>
  <c r="AN35" i="30"/>
  <c r="AO35" i="30"/>
  <c r="AG35" i="30"/>
  <c r="P20" i="34"/>
  <c r="R20" i="34"/>
  <c r="X20" i="34"/>
  <c r="V20" i="34"/>
  <c r="AG34" i="30"/>
  <c r="O35" i="30"/>
  <c r="N35" i="30"/>
  <c r="M21" i="34"/>
  <c r="N21" i="34"/>
  <c r="AD20" i="34"/>
  <c r="AB20" i="34"/>
  <c r="C41" i="30"/>
  <c r="C40" i="30"/>
  <c r="B42" i="30"/>
  <c r="AF21" i="34"/>
  <c r="AE21" i="34"/>
  <c r="AN34" i="30"/>
  <c r="AO34" i="30"/>
  <c r="AG36" i="30"/>
  <c r="BG35" i="30"/>
  <c r="BH35" i="30"/>
  <c r="N36" i="30"/>
  <c r="O36" i="30"/>
  <c r="N34" i="30"/>
  <c r="O34" i="30"/>
  <c r="BA34" i="30"/>
  <c r="AZ34" i="30"/>
  <c r="H34" i="30"/>
  <c r="G34" i="30"/>
  <c r="D32" i="11"/>
  <c r="B33" i="11"/>
  <c r="C33" i="11" s="1"/>
  <c r="N32" i="11"/>
  <c r="S33" i="11"/>
  <c r="AB32" i="11"/>
  <c r="T32" i="11"/>
  <c r="M33" i="11"/>
  <c r="P32" i="11"/>
  <c r="O33" i="11"/>
  <c r="J32" i="11"/>
  <c r="AD32" i="11" a="1"/>
  <c r="X32" i="11"/>
  <c r="I33" i="11"/>
  <c r="E33" i="11"/>
  <c r="G33" i="11"/>
  <c r="Q33" i="11"/>
  <c r="Y33" i="11"/>
  <c r="R32" i="11"/>
  <c r="F32" i="11"/>
  <c r="H32" i="11"/>
  <c r="AC33" i="11" a="1"/>
  <c r="K33" i="11"/>
  <c r="W33" i="11"/>
  <c r="Z32" i="11"/>
  <c r="L32" i="11"/>
  <c r="AA33" i="11"/>
  <c r="D39" i="30" l="1"/>
  <c r="F39" i="30" s="1"/>
  <c r="BU22" i="45"/>
  <c r="BV22" i="45"/>
  <c r="BQ22" i="45"/>
  <c r="BR22" i="45"/>
  <c r="BM22" i="45"/>
  <c r="BN22" i="45"/>
  <c r="BI22" i="45"/>
  <c r="BJ22" i="45"/>
  <c r="BE22" i="45"/>
  <c r="BF22" i="45"/>
  <c r="BB22" i="45"/>
  <c r="BA22" i="45"/>
  <c r="AW22" i="45"/>
  <c r="AX22" i="45"/>
  <c r="AT22" i="45"/>
  <c r="AS22" i="45"/>
  <c r="AO22" i="45"/>
  <c r="AP22" i="45"/>
  <c r="AI23" i="45"/>
  <c r="AJ23" i="45"/>
  <c r="AE23" i="45"/>
  <c r="AF23" i="45"/>
  <c r="AA23" i="45"/>
  <c r="AB23" i="45"/>
  <c r="W23" i="45"/>
  <c r="X23" i="45"/>
  <c r="S23" i="45"/>
  <c r="O23" i="45"/>
  <c r="P23" i="45"/>
  <c r="K23" i="45"/>
  <c r="L23" i="45"/>
  <c r="H23" i="45"/>
  <c r="G23" i="45"/>
  <c r="D23" i="45"/>
  <c r="C23" i="45"/>
  <c r="BO40" i="30"/>
  <c r="AC38" i="30"/>
  <c r="AC37" i="30"/>
  <c r="BO39" i="30"/>
  <c r="BS21" i="30"/>
  <c r="BS34" i="30"/>
  <c r="BS22" i="30"/>
  <c r="BP40" i="30" s="1"/>
  <c r="BR40" i="30" s="1"/>
  <c r="X22" i="38"/>
  <c r="R22" i="38"/>
  <c r="S24" i="38"/>
  <c r="T23" i="38"/>
  <c r="V23" i="38" s="1"/>
  <c r="M24" i="38"/>
  <c r="N23" i="38"/>
  <c r="P23" i="38" s="1"/>
  <c r="J22" i="38"/>
  <c r="L22" i="38"/>
  <c r="G24" i="38"/>
  <c r="H23" i="38"/>
  <c r="D23" i="38"/>
  <c r="F23" i="38"/>
  <c r="A24" i="38"/>
  <c r="B24" i="38"/>
  <c r="K39" i="30"/>
  <c r="M39" i="30" s="1"/>
  <c r="AW40" i="30"/>
  <c r="AY40" i="30" s="1"/>
  <c r="AW39" i="30"/>
  <c r="AY39" i="30" s="1"/>
  <c r="AD40" i="30"/>
  <c r="AF40" i="30" s="1"/>
  <c r="AH40" i="30" s="1"/>
  <c r="BD40" i="30"/>
  <c r="BF40" i="30" s="1"/>
  <c r="AK39" i="30"/>
  <c r="AM39" i="30" s="1"/>
  <c r="AD39" i="30"/>
  <c r="AF39" i="30" s="1"/>
  <c r="AH39" i="30" s="1"/>
  <c r="BD39" i="30"/>
  <c r="BF39" i="30" s="1"/>
  <c r="K40" i="30"/>
  <c r="M40" i="30" s="1"/>
  <c r="AK40" i="30"/>
  <c r="AM40" i="30" s="1"/>
  <c r="D40" i="30"/>
  <c r="F40" i="30" s="1"/>
  <c r="C42" i="22"/>
  <c r="B44" i="22"/>
  <c r="C43" i="22"/>
  <c r="AF23" i="38"/>
  <c r="AE23" i="38"/>
  <c r="AD22" i="38"/>
  <c r="AB22" i="38"/>
  <c r="AH22" i="38"/>
  <c r="AJ22" i="38"/>
  <c r="BK39" i="30"/>
  <c r="BM39" i="30" s="1"/>
  <c r="BN39" i="30" s="1"/>
  <c r="R39" i="30"/>
  <c r="T39" i="30" s="1"/>
  <c r="U39" i="30" s="1"/>
  <c r="R40" i="30"/>
  <c r="T40" i="30" s="1"/>
  <c r="U40" i="30" s="1"/>
  <c r="V39" i="30"/>
  <c r="X39" i="30" s="1"/>
  <c r="Y39" i="30" s="1"/>
  <c r="Z40" i="30"/>
  <c r="AB40" i="30" s="1"/>
  <c r="AR39" i="30"/>
  <c r="AT39" i="30" s="1"/>
  <c r="AU39" i="30" s="1"/>
  <c r="AR40" i="30"/>
  <c r="AT40" i="30" s="1"/>
  <c r="AU40" i="30" s="1"/>
  <c r="Z39" i="30"/>
  <c r="AB39" i="30" s="1"/>
  <c r="BK40" i="30"/>
  <c r="BM40" i="30" s="1"/>
  <c r="BN40" i="30" s="1"/>
  <c r="V40" i="30"/>
  <c r="X40" i="30" s="1"/>
  <c r="Y40" i="30" s="1"/>
  <c r="C43" i="30"/>
  <c r="B44" i="30"/>
  <c r="C42" i="30"/>
  <c r="N22" i="34"/>
  <c r="M22" i="34"/>
  <c r="A23" i="34"/>
  <c r="B23" i="34"/>
  <c r="Y22" i="34"/>
  <c r="Z22" i="34"/>
  <c r="AG37" i="30"/>
  <c r="BG37" i="30"/>
  <c r="BH37" i="30"/>
  <c r="X21" i="34"/>
  <c r="V21" i="34"/>
  <c r="J21" i="34"/>
  <c r="L21" i="34"/>
  <c r="F22" i="34"/>
  <c r="D22" i="34"/>
  <c r="AD21" i="34"/>
  <c r="AB21" i="34"/>
  <c r="AO38" i="30"/>
  <c r="AN38" i="30"/>
  <c r="AE22" i="34"/>
  <c r="AF22" i="34"/>
  <c r="T22" i="34"/>
  <c r="S22" i="34"/>
  <c r="G22" i="34"/>
  <c r="H22" i="34"/>
  <c r="AG38" i="30"/>
  <c r="BH38" i="30"/>
  <c r="BG38" i="30"/>
  <c r="BA38" i="30"/>
  <c r="AZ38" i="30"/>
  <c r="AZ37" i="30"/>
  <c r="BA37" i="30"/>
  <c r="AH21" i="34"/>
  <c r="AJ21" i="34"/>
  <c r="P21" i="34"/>
  <c r="R21" i="34"/>
  <c r="G38" i="30"/>
  <c r="H38" i="30"/>
  <c r="N37" i="30"/>
  <c r="O37" i="30"/>
  <c r="O38" i="30"/>
  <c r="N38" i="30"/>
  <c r="G37" i="30"/>
  <c r="H37" i="30"/>
  <c r="AN37" i="30"/>
  <c r="AO37" i="30"/>
  <c r="D33" i="11"/>
  <c r="B34" i="11"/>
  <c r="C34" i="11" s="1"/>
  <c r="L33" i="11"/>
  <c r="K34" i="11"/>
  <c r="Q34" i="11"/>
  <c r="M34" i="11"/>
  <c r="T33" i="11"/>
  <c r="F33" i="11"/>
  <c r="Z33" i="11"/>
  <c r="J33" i="11"/>
  <c r="AC34" i="11" a="1"/>
  <c r="E34" i="11"/>
  <c r="AB33" i="11"/>
  <c r="R33" i="11"/>
  <c r="H33" i="11"/>
  <c r="W34" i="11"/>
  <c r="N33" i="11"/>
  <c r="AD33" i="11" a="1"/>
  <c r="I34" i="11"/>
  <c r="P33" i="11"/>
  <c r="Y34" i="11"/>
  <c r="X33" i="11"/>
  <c r="AA34" i="11"/>
  <c r="S34" i="11"/>
  <c r="G34" i="11"/>
  <c r="O34" i="11"/>
  <c r="BU23" i="45" l="1"/>
  <c r="BV23" i="45"/>
  <c r="BQ23" i="45"/>
  <c r="BR23" i="45"/>
  <c r="BN23" i="45"/>
  <c r="BM23" i="45"/>
  <c r="BI23" i="45"/>
  <c r="BJ23" i="45"/>
  <c r="BE23" i="45"/>
  <c r="BF23" i="45"/>
  <c r="BB23" i="45"/>
  <c r="BA23" i="45"/>
  <c r="AX23" i="45"/>
  <c r="AW23" i="45"/>
  <c r="AS23" i="45"/>
  <c r="AT23" i="45"/>
  <c r="AO23" i="45"/>
  <c r="AP23" i="45"/>
  <c r="AI24" i="45"/>
  <c r="AJ24" i="45"/>
  <c r="AE24" i="45"/>
  <c r="AF24" i="45"/>
  <c r="AA24" i="45"/>
  <c r="AB24" i="45"/>
  <c r="W24" i="45"/>
  <c r="X24" i="45"/>
  <c r="S24" i="45"/>
  <c r="O24" i="45"/>
  <c r="P24" i="45"/>
  <c r="K24" i="45"/>
  <c r="L24" i="45"/>
  <c r="H24" i="45"/>
  <c r="G24" i="45"/>
  <c r="D24" i="45"/>
  <c r="C24" i="45"/>
  <c r="BO42" i="30"/>
  <c r="AC39" i="30"/>
  <c r="AC40" i="30"/>
  <c r="BS23" i="30"/>
  <c r="BP39" i="30"/>
  <c r="BR39" i="30" s="1"/>
  <c r="BS36" i="30"/>
  <c r="BS24" i="30"/>
  <c r="BO41" i="30"/>
  <c r="BS35" i="30"/>
  <c r="BP41" i="30" s="1"/>
  <c r="BR41" i="30" s="1"/>
  <c r="X23" i="38"/>
  <c r="R23" i="38"/>
  <c r="S25" i="38"/>
  <c r="T24" i="38"/>
  <c r="V24" i="38" s="1"/>
  <c r="M25" i="38"/>
  <c r="N24" i="38"/>
  <c r="P24" i="38" s="1"/>
  <c r="J23" i="38"/>
  <c r="L23" i="38"/>
  <c r="G25" i="38"/>
  <c r="H24" i="38"/>
  <c r="D24" i="38"/>
  <c r="F24" i="38"/>
  <c r="B25" i="38"/>
  <c r="A25" i="38"/>
  <c r="AK41" i="30"/>
  <c r="AM41" i="30" s="1"/>
  <c r="K42" i="30"/>
  <c r="M42" i="30" s="1"/>
  <c r="BD42" i="30"/>
  <c r="BF42" i="30" s="1"/>
  <c r="AW42" i="30"/>
  <c r="AY42" i="30" s="1"/>
  <c r="BD41" i="30"/>
  <c r="BF41" i="30" s="1"/>
  <c r="AD41" i="30"/>
  <c r="AF41" i="30" s="1"/>
  <c r="AH41" i="30" s="1"/>
  <c r="AW41" i="30"/>
  <c r="AY41" i="30" s="1"/>
  <c r="K41" i="30"/>
  <c r="M41" i="30" s="1"/>
  <c r="AD42" i="30"/>
  <c r="AF42" i="30" s="1"/>
  <c r="AH42" i="30" s="1"/>
  <c r="AK42" i="30"/>
  <c r="AM42" i="30" s="1"/>
  <c r="D42" i="30"/>
  <c r="F42" i="30" s="1"/>
  <c r="D41" i="30"/>
  <c r="F41" i="30" s="1"/>
  <c r="C44" i="22"/>
  <c r="B46" i="22"/>
  <c r="C45" i="22"/>
  <c r="AF24" i="38"/>
  <c r="AE24" i="38"/>
  <c r="AH23" i="38"/>
  <c r="AJ23" i="38"/>
  <c r="AD23" i="38"/>
  <c r="AB23" i="38"/>
  <c r="R41" i="30"/>
  <c r="T41" i="30" s="1"/>
  <c r="U41" i="30" s="1"/>
  <c r="V42" i="30"/>
  <c r="X42" i="30" s="1"/>
  <c r="Y42" i="30" s="1"/>
  <c r="BK42" i="30"/>
  <c r="BM42" i="30" s="1"/>
  <c r="BN42" i="30" s="1"/>
  <c r="AR41" i="30"/>
  <c r="AT41" i="30" s="1"/>
  <c r="AU41" i="30" s="1"/>
  <c r="AR42" i="30"/>
  <c r="AT42" i="30" s="1"/>
  <c r="AU42" i="30" s="1"/>
  <c r="Z41" i="30"/>
  <c r="AB41" i="30" s="1"/>
  <c r="BK41" i="30"/>
  <c r="BM41" i="30" s="1"/>
  <c r="BN41" i="30" s="1"/>
  <c r="V41" i="30"/>
  <c r="X41" i="30" s="1"/>
  <c r="Y41" i="30" s="1"/>
  <c r="R42" i="30"/>
  <c r="T42" i="30" s="1"/>
  <c r="U42" i="30" s="1"/>
  <c r="Z42" i="30"/>
  <c r="AB42" i="30" s="1"/>
  <c r="H23" i="34"/>
  <c r="G23" i="34"/>
  <c r="X22" i="34"/>
  <c r="V22" i="34"/>
  <c r="AE23" i="34"/>
  <c r="AF23" i="34"/>
  <c r="F23" i="34"/>
  <c r="D23" i="34"/>
  <c r="C44" i="30"/>
  <c r="B46" i="30"/>
  <c r="C45" i="30"/>
  <c r="H39" i="30"/>
  <c r="G39" i="30"/>
  <c r="BA40" i="30"/>
  <c r="AZ40" i="30"/>
  <c r="AZ39" i="30"/>
  <c r="BA39" i="30"/>
  <c r="AD22" i="34"/>
  <c r="AB22" i="34"/>
  <c r="B24" i="34"/>
  <c r="A24" i="34"/>
  <c r="M23" i="34"/>
  <c r="N23" i="34"/>
  <c r="N39" i="30"/>
  <c r="O39" i="30"/>
  <c r="AN39" i="30"/>
  <c r="AO39" i="30"/>
  <c r="Y23" i="34"/>
  <c r="Z23" i="34"/>
  <c r="R22" i="34"/>
  <c r="P22" i="34"/>
  <c r="BG40" i="30"/>
  <c r="BH40" i="30"/>
  <c r="AG39" i="30"/>
  <c r="G40" i="30"/>
  <c r="H40" i="30"/>
  <c r="J22" i="34"/>
  <c r="L22" i="34"/>
  <c r="S23" i="34"/>
  <c r="T23" i="34"/>
  <c r="AJ22" i="34"/>
  <c r="AH22" i="34"/>
  <c r="O40" i="30"/>
  <c r="N40" i="30"/>
  <c r="BH39" i="30"/>
  <c r="BG39" i="30"/>
  <c r="AO40" i="30"/>
  <c r="AN40" i="30"/>
  <c r="AG40" i="30"/>
  <c r="D34" i="11"/>
  <c r="B35" i="11"/>
  <c r="C35" i="11" s="1"/>
  <c r="AC35" i="11" a="1"/>
  <c r="F34" i="11"/>
  <c r="W35" i="11"/>
  <c r="AB34" i="11"/>
  <c r="R34" i="11"/>
  <c r="AA35" i="11"/>
  <c r="S35" i="11"/>
  <c r="P34" i="11"/>
  <c r="K35" i="11"/>
  <c r="G35" i="11"/>
  <c r="Z34" i="11"/>
  <c r="T34" i="11"/>
  <c r="M35" i="11"/>
  <c r="Y35" i="11"/>
  <c r="Q35" i="11"/>
  <c r="I35" i="11"/>
  <c r="J34" i="11"/>
  <c r="AD34" i="11" a="1"/>
  <c r="X34" i="11"/>
  <c r="E35" i="11"/>
  <c r="N34" i="11"/>
  <c r="H34" i="11"/>
  <c r="O35" i="11"/>
  <c r="L34" i="11"/>
  <c r="BV24" i="45" l="1"/>
  <c r="BU24" i="45"/>
  <c r="BN24" i="45"/>
  <c r="BM24" i="45"/>
  <c r="BQ24" i="45"/>
  <c r="BR24" i="45"/>
  <c r="BI24" i="45"/>
  <c r="BJ24" i="45"/>
  <c r="BF24" i="45"/>
  <c r="BE24" i="45"/>
  <c r="BA24" i="45"/>
  <c r="BB24" i="45"/>
  <c r="AW24" i="45"/>
  <c r="AX24" i="45"/>
  <c r="AS24" i="45"/>
  <c r="AT24" i="45"/>
  <c r="AO24" i="45"/>
  <c r="AP24" i="45"/>
  <c r="AI25" i="45"/>
  <c r="AJ25" i="45"/>
  <c r="AE25" i="45"/>
  <c r="AF25" i="45"/>
  <c r="AB25" i="45"/>
  <c r="AA25" i="45"/>
  <c r="W25" i="45"/>
  <c r="X25" i="45"/>
  <c r="S25" i="45"/>
  <c r="P25" i="45"/>
  <c r="O25" i="45"/>
  <c r="K25" i="45"/>
  <c r="L25" i="45"/>
  <c r="G25" i="45"/>
  <c r="H25" i="45"/>
  <c r="D25" i="45"/>
  <c r="C25" i="45"/>
  <c r="AC42" i="30"/>
  <c r="AC41" i="30"/>
  <c r="BO44" i="30"/>
  <c r="BP42" i="30"/>
  <c r="BR42" i="30" s="1"/>
  <c r="BO43" i="30"/>
  <c r="BS37" i="30"/>
  <c r="BP44" i="30" s="1"/>
  <c r="BR44" i="30" s="1"/>
  <c r="BP43" i="30" s="1"/>
  <c r="BR43" i="30" s="1"/>
  <c r="X24" i="38"/>
  <c r="R24" i="38"/>
  <c r="S26" i="38"/>
  <c r="T25" i="38"/>
  <c r="V25" i="38" s="1"/>
  <c r="M26" i="38"/>
  <c r="N25" i="38"/>
  <c r="P25" i="38" s="1"/>
  <c r="J24" i="38"/>
  <c r="L24" i="38"/>
  <c r="G26" i="38"/>
  <c r="H25" i="38"/>
  <c r="D25" i="38"/>
  <c r="F25" i="38"/>
  <c r="A26" i="38"/>
  <c r="B26" i="38"/>
  <c r="AW44" i="30"/>
  <c r="AY44" i="30" s="1"/>
  <c r="K44" i="30"/>
  <c r="M44" i="30" s="1"/>
  <c r="AD43" i="30"/>
  <c r="AF43" i="30" s="1"/>
  <c r="AH43" i="30" s="1"/>
  <c r="AK44" i="30"/>
  <c r="AM44" i="30" s="1"/>
  <c r="AD44" i="30"/>
  <c r="AF44" i="30" s="1"/>
  <c r="AH44" i="30" s="1"/>
  <c r="AK43" i="30"/>
  <c r="AM43" i="30" s="1"/>
  <c r="AW43" i="30"/>
  <c r="AY43" i="30" s="1"/>
  <c r="K43" i="30"/>
  <c r="M43" i="30" s="1"/>
  <c r="BD44" i="30"/>
  <c r="BF44" i="30" s="1"/>
  <c r="BD43" i="30"/>
  <c r="BF43" i="30" s="1"/>
  <c r="D43" i="30"/>
  <c r="F43" i="30" s="1"/>
  <c r="D44" i="30"/>
  <c r="F44" i="30" s="1"/>
  <c r="B48" i="22"/>
  <c r="C47" i="22"/>
  <c r="C46" i="22"/>
  <c r="AE25" i="38"/>
  <c r="AF25" i="38"/>
  <c r="AJ24" i="38"/>
  <c r="AH24" i="38"/>
  <c r="AB24" i="38"/>
  <c r="AD24" i="38"/>
  <c r="AR43" i="30"/>
  <c r="AT43" i="30" s="1"/>
  <c r="AU43" i="30" s="1"/>
  <c r="R43" i="30"/>
  <c r="T43" i="30" s="1"/>
  <c r="U43" i="30" s="1"/>
  <c r="AR44" i="30"/>
  <c r="AT44" i="30" s="1"/>
  <c r="AU44" i="30" s="1"/>
  <c r="Z43" i="30"/>
  <c r="AB43" i="30" s="1"/>
  <c r="V44" i="30"/>
  <c r="X44" i="30" s="1"/>
  <c r="Y44" i="30" s="1"/>
  <c r="Z44" i="30"/>
  <c r="AB44" i="30" s="1"/>
  <c r="BK44" i="30"/>
  <c r="BM44" i="30" s="1"/>
  <c r="BN44" i="30" s="1"/>
  <c r="R44" i="30"/>
  <c r="T44" i="30" s="1"/>
  <c r="U44" i="30" s="1"/>
  <c r="V43" i="30"/>
  <c r="X43" i="30" s="1"/>
  <c r="Y43" i="30" s="1"/>
  <c r="BK43" i="30"/>
  <c r="BM43" i="30" s="1"/>
  <c r="BN43" i="30" s="1"/>
  <c r="H24" i="34"/>
  <c r="G24" i="34"/>
  <c r="BG41" i="30"/>
  <c r="BH41" i="30"/>
  <c r="O42" i="30"/>
  <c r="N42" i="30"/>
  <c r="AN41" i="30"/>
  <c r="AO41" i="30"/>
  <c r="N41" i="30"/>
  <c r="O41" i="30"/>
  <c r="X23" i="34"/>
  <c r="V23" i="34"/>
  <c r="AE24" i="34"/>
  <c r="AF24" i="34"/>
  <c r="G42" i="30"/>
  <c r="H42" i="30"/>
  <c r="AD23" i="34"/>
  <c r="AB23" i="34"/>
  <c r="R23" i="34"/>
  <c r="P23" i="34"/>
  <c r="F24" i="34"/>
  <c r="D24" i="34"/>
  <c r="J23" i="34"/>
  <c r="L23" i="34"/>
  <c r="AG41" i="30"/>
  <c r="BG42" i="30"/>
  <c r="BH42" i="30"/>
  <c r="H41" i="30"/>
  <c r="G41" i="30"/>
  <c r="T24" i="34"/>
  <c r="S24" i="34"/>
  <c r="B25" i="34"/>
  <c r="A25" i="34"/>
  <c r="B48" i="30"/>
  <c r="C46" i="30"/>
  <c r="C47" i="30"/>
  <c r="Y24" i="34"/>
  <c r="Z24" i="34"/>
  <c r="M24" i="34"/>
  <c r="N24" i="34"/>
  <c r="AJ23" i="34"/>
  <c r="AH23" i="34"/>
  <c r="AG42" i="30"/>
  <c r="BA42" i="30"/>
  <c r="AZ42" i="30"/>
  <c r="AO42" i="30"/>
  <c r="AN42" i="30"/>
  <c r="AZ41" i="30"/>
  <c r="BA41" i="30"/>
  <c r="D35" i="11"/>
  <c r="B36" i="11"/>
  <c r="C36" i="11" s="1"/>
  <c r="N35" i="11"/>
  <c r="X35" i="11"/>
  <c r="R35" i="11"/>
  <c r="L35" i="11"/>
  <c r="P35" i="11"/>
  <c r="W36" i="11"/>
  <c r="AD35" i="11" a="1"/>
  <c r="Z35" i="11"/>
  <c r="F35" i="11"/>
  <c r="Q36" i="11"/>
  <c r="J35" i="11"/>
  <c r="T35" i="11"/>
  <c r="AC36" i="11" a="1"/>
  <c r="O36" i="11"/>
  <c r="G36" i="11"/>
  <c r="AA36" i="11"/>
  <c r="K36" i="11"/>
  <c r="H35" i="11"/>
  <c r="S36" i="11"/>
  <c r="E36" i="11"/>
  <c r="Y36" i="11"/>
  <c r="I36" i="11"/>
  <c r="M36" i="11"/>
  <c r="AB35" i="11"/>
  <c r="BV25" i="45" l="1"/>
  <c r="BU25" i="45"/>
  <c r="BQ25" i="45"/>
  <c r="BR25" i="45"/>
  <c r="BN25" i="45"/>
  <c r="BM25" i="45"/>
  <c r="BI25" i="45"/>
  <c r="BJ25" i="45"/>
  <c r="BF25" i="45"/>
  <c r="BE25" i="45"/>
  <c r="BB25" i="45"/>
  <c r="BA25" i="45"/>
  <c r="AW25" i="45"/>
  <c r="AX25" i="45"/>
  <c r="AS25" i="45"/>
  <c r="AT25" i="45"/>
  <c r="AO25" i="45"/>
  <c r="AP25" i="45"/>
  <c r="AI26" i="45"/>
  <c r="AJ26" i="45"/>
  <c r="AE26" i="45"/>
  <c r="AF26" i="45"/>
  <c r="AA26" i="45"/>
  <c r="AB26" i="45"/>
  <c r="W26" i="45"/>
  <c r="X26" i="45"/>
  <c r="S26" i="45"/>
  <c r="O26" i="45"/>
  <c r="P26" i="45"/>
  <c r="K26" i="45"/>
  <c r="L26" i="45"/>
  <c r="H26" i="45"/>
  <c r="G26" i="45"/>
  <c r="D26" i="45"/>
  <c r="C26" i="45"/>
  <c r="AC44" i="30"/>
  <c r="AC43" i="30"/>
  <c r="BO46" i="30"/>
  <c r="BO45" i="30"/>
  <c r="BO48" i="30" s="1"/>
  <c r="X25" i="38"/>
  <c r="R25" i="38"/>
  <c r="S27" i="38"/>
  <c r="T26" i="38"/>
  <c r="V26" i="38" s="1"/>
  <c r="M27" i="38"/>
  <c r="N26" i="38"/>
  <c r="P26" i="38" s="1"/>
  <c r="J25" i="38"/>
  <c r="L25" i="38"/>
  <c r="G27" i="38"/>
  <c r="H27" i="38" s="1"/>
  <c r="H26" i="38"/>
  <c r="D26" i="38"/>
  <c r="F26" i="38"/>
  <c r="A27" i="38"/>
  <c r="B27" i="38"/>
  <c r="F27" i="38" s="1"/>
  <c r="K45" i="30"/>
  <c r="M45" i="30" s="1"/>
  <c r="AW45" i="30"/>
  <c r="AY45" i="30" s="1"/>
  <c r="AD45" i="30"/>
  <c r="AF45" i="30" s="1"/>
  <c r="AH45" i="30" s="1"/>
  <c r="BD46" i="30"/>
  <c r="BF46" i="30" s="1"/>
  <c r="AW46" i="30"/>
  <c r="AY46" i="30" s="1"/>
  <c r="AD46" i="30"/>
  <c r="AF46" i="30" s="1"/>
  <c r="AH46" i="30" s="1"/>
  <c r="AK45" i="30"/>
  <c r="AM45" i="30" s="1"/>
  <c r="BD45" i="30"/>
  <c r="BF45" i="30" s="1"/>
  <c r="K46" i="30"/>
  <c r="M46" i="30" s="1"/>
  <c r="AK46" i="30"/>
  <c r="AM46" i="30" s="1"/>
  <c r="D45" i="30"/>
  <c r="F45" i="30" s="1"/>
  <c r="D46" i="30"/>
  <c r="F46" i="30" s="1"/>
  <c r="B50" i="22"/>
  <c r="C49" i="22"/>
  <c r="C48" i="22"/>
  <c r="AF26" i="38"/>
  <c r="AE26" i="38"/>
  <c r="AB25" i="38"/>
  <c r="AD25" i="38"/>
  <c r="AJ25" i="38"/>
  <c r="AH25" i="38"/>
  <c r="AR46" i="30"/>
  <c r="AT46" i="30" s="1"/>
  <c r="AU46" i="30" s="1"/>
  <c r="R46" i="30"/>
  <c r="T46" i="30" s="1"/>
  <c r="U46" i="30" s="1"/>
  <c r="BK46" i="30"/>
  <c r="BM46" i="30" s="1"/>
  <c r="BN46" i="30" s="1"/>
  <c r="Z45" i="30"/>
  <c r="AB45" i="30" s="1"/>
  <c r="V45" i="30"/>
  <c r="X45" i="30" s="1"/>
  <c r="Y45" i="30" s="1"/>
  <c r="BK45" i="30"/>
  <c r="BM45" i="30" s="1"/>
  <c r="BN45" i="30" s="1"/>
  <c r="V46" i="30"/>
  <c r="X46" i="30" s="1"/>
  <c r="Y46" i="30" s="1"/>
  <c r="R45" i="30"/>
  <c r="T45" i="30" s="1"/>
  <c r="U45" i="30" s="1"/>
  <c r="Z46" i="30"/>
  <c r="AB46" i="30" s="1"/>
  <c r="AR45" i="30"/>
  <c r="AT45" i="30" s="1"/>
  <c r="AU45" i="30" s="1"/>
  <c r="R24" i="34"/>
  <c r="P24" i="34"/>
  <c r="AD24" i="34"/>
  <c r="AB24" i="34"/>
  <c r="C48" i="30"/>
  <c r="C49" i="30"/>
  <c r="B50" i="30"/>
  <c r="G25" i="34"/>
  <c r="H25" i="34"/>
  <c r="H43" i="30"/>
  <c r="G43" i="30"/>
  <c r="AO44" i="30"/>
  <c r="AN44" i="30"/>
  <c r="M25" i="34"/>
  <c r="N25" i="34"/>
  <c r="Y25" i="34"/>
  <c r="Z25" i="34"/>
  <c r="J24" i="34"/>
  <c r="L24" i="34"/>
  <c r="BA44" i="30"/>
  <c r="AZ44" i="30"/>
  <c r="AG43" i="30"/>
  <c r="A26" i="34"/>
  <c r="B26" i="34"/>
  <c r="S25" i="34"/>
  <c r="T25" i="34"/>
  <c r="AJ24" i="34"/>
  <c r="AH24" i="34"/>
  <c r="BH44" i="30"/>
  <c r="BG44" i="30"/>
  <c r="AN43" i="30"/>
  <c r="AO43" i="30"/>
  <c r="AG44" i="30"/>
  <c r="F25" i="34"/>
  <c r="D25" i="34"/>
  <c r="X24" i="34"/>
  <c r="V24" i="34"/>
  <c r="AF25" i="34"/>
  <c r="AE25" i="34"/>
  <c r="O44" i="30"/>
  <c r="N44" i="30"/>
  <c r="G44" i="30"/>
  <c r="H44" i="30"/>
  <c r="BG43" i="30"/>
  <c r="BH43" i="30"/>
  <c r="N43" i="30"/>
  <c r="O43" i="30"/>
  <c r="AZ43" i="30"/>
  <c r="BA43" i="30"/>
  <c r="D36" i="11"/>
  <c r="B37" i="11"/>
  <c r="C37" i="11" s="1"/>
  <c r="M37" i="11"/>
  <c r="L36" i="11"/>
  <c r="X36" i="11"/>
  <c r="I37" i="11"/>
  <c r="O37" i="11"/>
  <c r="AD36" i="11" a="1"/>
  <c r="N36" i="11"/>
  <c r="W37" i="11"/>
  <c r="K37" i="11"/>
  <c r="F36" i="11"/>
  <c r="Y37" i="11"/>
  <c r="Q37" i="11"/>
  <c r="P36" i="11"/>
  <c r="J36" i="11"/>
  <c r="AB36" i="11"/>
  <c r="E37" i="11"/>
  <c r="AC37" i="11" a="1"/>
  <c r="S37" i="11"/>
  <c r="AA37" i="11"/>
  <c r="T36" i="11"/>
  <c r="R36" i="11"/>
  <c r="H36" i="11"/>
  <c r="Z36" i="11"/>
  <c r="G37" i="11"/>
  <c r="BV26" i="45" l="1"/>
  <c r="BU26" i="45"/>
  <c r="BQ26" i="45"/>
  <c r="BR26" i="45"/>
  <c r="BM26" i="45"/>
  <c r="BN26" i="45"/>
  <c r="BI26" i="45"/>
  <c r="BJ26" i="45"/>
  <c r="BE26" i="45"/>
  <c r="BF26" i="45"/>
  <c r="BA26" i="45"/>
  <c r="BB26" i="45"/>
  <c r="AW26" i="45"/>
  <c r="AX26" i="45"/>
  <c r="AS26" i="45"/>
  <c r="AT26" i="45"/>
  <c r="AP26" i="45"/>
  <c r="AO26" i="45"/>
  <c r="AI27" i="45"/>
  <c r="AJ27" i="45"/>
  <c r="AE27" i="45"/>
  <c r="AF27" i="45"/>
  <c r="AA27" i="45"/>
  <c r="AB27" i="45"/>
  <c r="W27" i="45"/>
  <c r="X27" i="45"/>
  <c r="S27" i="45"/>
  <c r="O27" i="45"/>
  <c r="P27" i="45"/>
  <c r="K27" i="45"/>
  <c r="L27" i="45"/>
  <c r="G27" i="45"/>
  <c r="H27" i="45"/>
  <c r="D27" i="45"/>
  <c r="C27" i="45"/>
  <c r="AC46" i="30"/>
  <c r="AC45" i="30"/>
  <c r="BO47" i="30"/>
  <c r="BP45" i="30"/>
  <c r="BR45" i="30" s="1"/>
  <c r="BS38" i="30"/>
  <c r="BP46" i="30"/>
  <c r="BR46" i="30" s="1"/>
  <c r="BO50" i="30" s="1"/>
  <c r="BP47" i="30" s="1"/>
  <c r="BR47" i="30" s="1"/>
  <c r="J1" i="38"/>
  <c r="P64" i="22" s="1"/>
  <c r="Q64" i="22" s="1"/>
  <c r="X26" i="38"/>
  <c r="R26" i="38"/>
  <c r="T27" i="38"/>
  <c r="V1" i="38" s="1"/>
  <c r="M28" i="38"/>
  <c r="N27" i="38"/>
  <c r="J26" i="38"/>
  <c r="L26" i="38"/>
  <c r="J27" i="38"/>
  <c r="L27" i="38"/>
  <c r="I1" i="38"/>
  <c r="D27" i="38"/>
  <c r="BD47" i="30"/>
  <c r="BF47" i="30" s="1"/>
  <c r="AK47" i="30"/>
  <c r="AM47" i="30" s="1"/>
  <c r="AD47" i="30"/>
  <c r="AF47" i="30" s="1"/>
  <c r="AH47" i="30" s="1"/>
  <c r="BD48" i="30"/>
  <c r="BF48" i="30" s="1"/>
  <c r="AK48" i="30"/>
  <c r="AM48" i="30" s="1"/>
  <c r="AD48" i="30"/>
  <c r="AF48" i="30" s="1"/>
  <c r="AH48" i="30" s="1"/>
  <c r="K48" i="30"/>
  <c r="M48" i="30" s="1"/>
  <c r="AW47" i="30"/>
  <c r="AY47" i="30" s="1"/>
  <c r="AW48" i="30"/>
  <c r="AY48" i="30" s="1"/>
  <c r="K47" i="30"/>
  <c r="M47" i="30" s="1"/>
  <c r="D48" i="30"/>
  <c r="F48" i="30" s="1"/>
  <c r="D47" i="30"/>
  <c r="F47" i="30" s="1"/>
  <c r="C50" i="22"/>
  <c r="B52" i="22"/>
  <c r="C51" i="22"/>
  <c r="AF27" i="38"/>
  <c r="AI1" i="38" s="1"/>
  <c r="AE27" i="38"/>
  <c r="AH1" i="38"/>
  <c r="AB26" i="38"/>
  <c r="AD26" i="38"/>
  <c r="AJ26" i="38"/>
  <c r="AH26" i="38"/>
  <c r="R47" i="30"/>
  <c r="T47" i="30" s="1"/>
  <c r="U47" i="30" s="1"/>
  <c r="AR47" i="30"/>
  <c r="AT47" i="30" s="1"/>
  <c r="AU47" i="30" s="1"/>
  <c r="BK48" i="30"/>
  <c r="BM48" i="30" s="1"/>
  <c r="BN48" i="30" s="1"/>
  <c r="V48" i="30"/>
  <c r="X48" i="30" s="1"/>
  <c r="Y48" i="30" s="1"/>
  <c r="V47" i="30"/>
  <c r="X47" i="30" s="1"/>
  <c r="Y47" i="30" s="1"/>
  <c r="Z48" i="30"/>
  <c r="AB48" i="30" s="1"/>
  <c r="BK47" i="30"/>
  <c r="BM47" i="30" s="1"/>
  <c r="BN47" i="30" s="1"/>
  <c r="Z47" i="30"/>
  <c r="AB47" i="30" s="1"/>
  <c r="AR48" i="30"/>
  <c r="AT48" i="30" s="1"/>
  <c r="AU48" i="30" s="1"/>
  <c r="R48" i="30"/>
  <c r="T48" i="30" s="1"/>
  <c r="U48" i="30" s="1"/>
  <c r="AH25" i="34"/>
  <c r="AJ25" i="34"/>
  <c r="S26" i="34"/>
  <c r="T26" i="34"/>
  <c r="AB25" i="34"/>
  <c r="AD25" i="34"/>
  <c r="R25" i="34"/>
  <c r="P25" i="34"/>
  <c r="L25" i="34"/>
  <c r="J25" i="34"/>
  <c r="AZ46" i="30"/>
  <c r="BA46" i="30"/>
  <c r="AG45" i="30"/>
  <c r="O45" i="30"/>
  <c r="N45" i="30"/>
  <c r="Y26" i="34"/>
  <c r="Z26" i="34"/>
  <c r="N26" i="34"/>
  <c r="M26" i="34"/>
  <c r="H26" i="34"/>
  <c r="G26" i="34"/>
  <c r="F26" i="34"/>
  <c r="D26" i="34"/>
  <c r="AN45" i="30"/>
  <c r="AO45" i="30"/>
  <c r="BG46" i="30"/>
  <c r="BH46" i="30"/>
  <c r="BH45" i="30"/>
  <c r="BG45" i="30"/>
  <c r="G46" i="30"/>
  <c r="H46" i="30"/>
  <c r="AZ45" i="30"/>
  <c r="BA45" i="30"/>
  <c r="AE26" i="34"/>
  <c r="AF26" i="34"/>
  <c r="X25" i="34"/>
  <c r="V25" i="34"/>
  <c r="B27" i="34"/>
  <c r="A27" i="34"/>
  <c r="C50" i="30"/>
  <c r="C51" i="30"/>
  <c r="B52" i="30"/>
  <c r="AO46" i="30"/>
  <c r="AN46" i="30"/>
  <c r="H45" i="30"/>
  <c r="G45" i="30"/>
  <c r="N46" i="30"/>
  <c r="O46" i="30"/>
  <c r="AG46" i="30"/>
  <c r="D37" i="11"/>
  <c r="B38" i="11"/>
  <c r="T37" i="11"/>
  <c r="N37" i="11"/>
  <c r="L37" i="11"/>
  <c r="AD37" i="11" a="1"/>
  <c r="Z37" i="11"/>
  <c r="X37" i="11"/>
  <c r="P37" i="11"/>
  <c r="H37" i="11"/>
  <c r="R37" i="11"/>
  <c r="AB37" i="11"/>
  <c r="J37" i="11"/>
  <c r="F37" i="11"/>
  <c r="BU27" i="45" l="1"/>
  <c r="BV27" i="45"/>
  <c r="BQ27" i="45"/>
  <c r="BR27" i="45"/>
  <c r="BM27" i="45"/>
  <c r="BN27" i="45"/>
  <c r="BI27" i="45"/>
  <c r="BJ27" i="45"/>
  <c r="BE27" i="45"/>
  <c r="BF27" i="45"/>
  <c r="BA27" i="45"/>
  <c r="BB27" i="45"/>
  <c r="AW27" i="45"/>
  <c r="AX27" i="45"/>
  <c r="AS27" i="45"/>
  <c r="AT27" i="45"/>
  <c r="AO27" i="45"/>
  <c r="AP27" i="45"/>
  <c r="C38" i="11"/>
  <c r="AC47" i="30"/>
  <c r="AC48" i="30"/>
  <c r="BS40" i="30"/>
  <c r="BP48" i="30"/>
  <c r="BR48" i="30" s="1"/>
  <c r="BO49" i="30"/>
  <c r="BS39" i="30"/>
  <c r="BP49" i="30" s="1"/>
  <c r="BR49" i="30" s="1"/>
  <c r="I6" i="38"/>
  <c r="K20" i="38"/>
  <c r="K26" i="38"/>
  <c r="I26" i="38"/>
  <c r="I12" i="38"/>
  <c r="K7" i="38"/>
  <c r="F33" i="38"/>
  <c r="C42" i="38" s="1"/>
  <c r="K24" i="38"/>
  <c r="I10" i="38"/>
  <c r="I8" i="38"/>
  <c r="K22" i="38"/>
  <c r="I18" i="38"/>
  <c r="I25" i="38"/>
  <c r="I22" i="38"/>
  <c r="I16" i="38"/>
  <c r="K28" i="38"/>
  <c r="I20" i="38"/>
  <c r="I14" i="38"/>
  <c r="P25" i="22"/>
  <c r="Q25" i="22" s="1"/>
  <c r="P39" i="22"/>
  <c r="Q39" i="22" s="1"/>
  <c r="P9" i="22"/>
  <c r="Q9" i="22" s="1"/>
  <c r="P23" i="22"/>
  <c r="Q23" i="22" s="1"/>
  <c r="P5" i="22"/>
  <c r="Q5" i="22" s="1"/>
  <c r="P44" i="22"/>
  <c r="Q44" i="22" s="1"/>
  <c r="P52" i="22"/>
  <c r="Q52" i="22" s="1"/>
  <c r="P41" i="22"/>
  <c r="Q41" i="22" s="1"/>
  <c r="P55" i="22"/>
  <c r="Q55" i="22" s="1"/>
  <c r="P54" i="22"/>
  <c r="Q54" i="22" s="1"/>
  <c r="P16" i="22"/>
  <c r="Q16" i="22" s="1"/>
  <c r="P7" i="22"/>
  <c r="Q7" i="22" s="1"/>
  <c r="P38" i="22"/>
  <c r="Q38" i="22" s="1"/>
  <c r="P22" i="22"/>
  <c r="Q22" i="22" s="1"/>
  <c r="P24" i="22"/>
  <c r="Q24" i="22" s="1"/>
  <c r="P6" i="22"/>
  <c r="Q6" i="22" s="1"/>
  <c r="K27" i="38"/>
  <c r="I28" i="38"/>
  <c r="K8" i="38"/>
  <c r="K6" i="38"/>
  <c r="I23" i="38"/>
  <c r="I21" i="38"/>
  <c r="I19" i="38"/>
  <c r="I17" i="38"/>
  <c r="I15" i="38"/>
  <c r="I13" i="38"/>
  <c r="I11" i="38"/>
  <c r="I9" i="38"/>
  <c r="P65" i="22"/>
  <c r="Q65" i="22" s="1"/>
  <c r="P33" i="22"/>
  <c r="Q33" i="22" s="1"/>
  <c r="P17" i="22"/>
  <c r="Q17" i="22" s="1"/>
  <c r="P53" i="22"/>
  <c r="Q53" i="22" s="1"/>
  <c r="P28" i="22"/>
  <c r="Q28" i="22" s="1"/>
  <c r="P63" i="22"/>
  <c r="Q63" i="22" s="1"/>
  <c r="P47" i="22"/>
  <c r="Q47" i="22" s="1"/>
  <c r="P31" i="22"/>
  <c r="Q31" i="22" s="1"/>
  <c r="P15" i="22"/>
  <c r="Q15" i="22" s="1"/>
  <c r="P45" i="22"/>
  <c r="Q45" i="22" s="1"/>
  <c r="P40" i="22"/>
  <c r="Q40" i="22" s="1"/>
  <c r="P62" i="22"/>
  <c r="Q62" i="22" s="1"/>
  <c r="P46" i="22"/>
  <c r="Q46" i="22" s="1"/>
  <c r="P30" i="22"/>
  <c r="Q30" i="22" s="1"/>
  <c r="P14" i="22"/>
  <c r="Q14" i="22" s="1"/>
  <c r="K18" i="38"/>
  <c r="K16" i="38"/>
  <c r="K14" i="38"/>
  <c r="K12" i="38"/>
  <c r="K10" i="38"/>
  <c r="K25" i="38"/>
  <c r="P4" i="22"/>
  <c r="Q4" i="22" s="1"/>
  <c r="P37" i="22"/>
  <c r="Q37" i="22" s="1"/>
  <c r="P21" i="22"/>
  <c r="Q21" i="22" s="1"/>
  <c r="P61" i="22"/>
  <c r="Q61" i="22" s="1"/>
  <c r="P36" i="22"/>
  <c r="Q36" i="22" s="1"/>
  <c r="P8" i="22"/>
  <c r="Q8" i="22" s="1"/>
  <c r="P51" i="22"/>
  <c r="Q51" i="22" s="1"/>
  <c r="P35" i="22"/>
  <c r="Q35" i="22" s="1"/>
  <c r="P19" i="22"/>
  <c r="Q19" i="22" s="1"/>
  <c r="P57" i="22"/>
  <c r="Q57" i="22" s="1"/>
  <c r="P48" i="22"/>
  <c r="Q48" i="22" s="1"/>
  <c r="P12" i="22"/>
  <c r="Q12" i="22" s="1"/>
  <c r="P50" i="22"/>
  <c r="Q50" i="22" s="1"/>
  <c r="P34" i="22"/>
  <c r="Q34" i="22" s="1"/>
  <c r="P18" i="22"/>
  <c r="Q18" i="22" s="1"/>
  <c r="I27" i="38"/>
  <c r="I29" i="38"/>
  <c r="I7" i="38"/>
  <c r="K29" i="38"/>
  <c r="K23" i="38"/>
  <c r="K21" i="38"/>
  <c r="K19" i="38"/>
  <c r="K17" i="38"/>
  <c r="K15" i="38"/>
  <c r="K13" i="38"/>
  <c r="K11" i="38"/>
  <c r="K9" i="38"/>
  <c r="I24" i="38"/>
  <c r="P49" i="22"/>
  <c r="Q49" i="22" s="1"/>
  <c r="P29" i="22"/>
  <c r="Q29" i="22" s="1"/>
  <c r="P13" i="22"/>
  <c r="Q13" i="22" s="1"/>
  <c r="P56" i="22"/>
  <c r="Q56" i="22" s="1"/>
  <c r="P20" i="22"/>
  <c r="Q20" i="22" s="1"/>
  <c r="P59" i="22"/>
  <c r="Q59" i="22" s="1"/>
  <c r="P43" i="22"/>
  <c r="Q43" i="22" s="1"/>
  <c r="P27" i="22"/>
  <c r="Q27" i="22" s="1"/>
  <c r="P11" i="22"/>
  <c r="Q11" i="22" s="1"/>
  <c r="P60" i="22"/>
  <c r="Q60" i="22" s="1"/>
  <c r="P32" i="22"/>
  <c r="Q32" i="22" s="1"/>
  <c r="P58" i="22"/>
  <c r="Q58" i="22" s="1"/>
  <c r="P42" i="22"/>
  <c r="Q42" i="22" s="1"/>
  <c r="P26" i="22"/>
  <c r="Q26" i="22" s="1"/>
  <c r="P10" i="22"/>
  <c r="Q10" i="22" s="1"/>
  <c r="BF6" i="22"/>
  <c r="BG6" i="22" s="1"/>
  <c r="BF10" i="22"/>
  <c r="BG10" i="22" s="1"/>
  <c r="BF14" i="22"/>
  <c r="BG14" i="22" s="1"/>
  <c r="BF18" i="22"/>
  <c r="BG18" i="22" s="1"/>
  <c r="BF22" i="22"/>
  <c r="BG22" i="22" s="1"/>
  <c r="BF26" i="22"/>
  <c r="BG26" i="22" s="1"/>
  <c r="BF30" i="22"/>
  <c r="BG30" i="22" s="1"/>
  <c r="BF34" i="22"/>
  <c r="BG34" i="22" s="1"/>
  <c r="BF8" i="22"/>
  <c r="BG8" i="22" s="1"/>
  <c r="BF16" i="22"/>
  <c r="BG16" i="22" s="1"/>
  <c r="BF24" i="22"/>
  <c r="BG24" i="22" s="1"/>
  <c r="BF13" i="22"/>
  <c r="BG13" i="22" s="1"/>
  <c r="BF21" i="22"/>
  <c r="BG21" i="22" s="1"/>
  <c r="BF29" i="22"/>
  <c r="BG29" i="22" s="1"/>
  <c r="BF7" i="22"/>
  <c r="BG7" i="22" s="1"/>
  <c r="BF11" i="22"/>
  <c r="BG11" i="22" s="1"/>
  <c r="BF15" i="22"/>
  <c r="BG15" i="22" s="1"/>
  <c r="BF19" i="22"/>
  <c r="BG19" i="22" s="1"/>
  <c r="BF23" i="22"/>
  <c r="BG23" i="22" s="1"/>
  <c r="BF27" i="22"/>
  <c r="BG27" i="22" s="1"/>
  <c r="BF31" i="22"/>
  <c r="BG31" i="22" s="1"/>
  <c r="BF35" i="22"/>
  <c r="BG35" i="22" s="1"/>
  <c r="BF12" i="22"/>
  <c r="BG12" i="22" s="1"/>
  <c r="BF20" i="22"/>
  <c r="BG20" i="22" s="1"/>
  <c r="BF28" i="22"/>
  <c r="BG28" i="22" s="1"/>
  <c r="BF32" i="22"/>
  <c r="BG32" i="22" s="1"/>
  <c r="BF17" i="22"/>
  <c r="BG17" i="22" s="1"/>
  <c r="BF25" i="22"/>
  <c r="BG25" i="22" s="1"/>
  <c r="BF33" i="22"/>
  <c r="BG33" i="22" s="1"/>
  <c r="BF9" i="22"/>
  <c r="BG9" i="22" s="1"/>
  <c r="BF4" i="22"/>
  <c r="BG4" i="22" s="1"/>
  <c r="BF5" i="22"/>
  <c r="BG5" i="22" s="1"/>
  <c r="BF38" i="22"/>
  <c r="BG38" i="22" s="1"/>
  <c r="BF42" i="22"/>
  <c r="BG42" i="22" s="1"/>
  <c r="BF46" i="22"/>
  <c r="BG46" i="22" s="1"/>
  <c r="BF50" i="22"/>
  <c r="BG50" i="22" s="1"/>
  <c r="BF54" i="22"/>
  <c r="BG54" i="22" s="1"/>
  <c r="BF58" i="22"/>
  <c r="BG58" i="22" s="1"/>
  <c r="BF62" i="22"/>
  <c r="BG62" i="22" s="1"/>
  <c r="BF40" i="22"/>
  <c r="BG40" i="22" s="1"/>
  <c r="BF48" i="22"/>
  <c r="BG48" i="22" s="1"/>
  <c r="BF56" i="22"/>
  <c r="BG56" i="22" s="1"/>
  <c r="BF64" i="22"/>
  <c r="BG64" i="22" s="1"/>
  <c r="BF39" i="22"/>
  <c r="BG39" i="22" s="1"/>
  <c r="BF43" i="22"/>
  <c r="BG43" i="22" s="1"/>
  <c r="BF47" i="22"/>
  <c r="BG47" i="22" s="1"/>
  <c r="BF51" i="22"/>
  <c r="BG51" i="22" s="1"/>
  <c r="BF55" i="22"/>
  <c r="BG55" i="22" s="1"/>
  <c r="BF59" i="22"/>
  <c r="BG59" i="22" s="1"/>
  <c r="BF63" i="22"/>
  <c r="BG63" i="22" s="1"/>
  <c r="BF36" i="22"/>
  <c r="BG36" i="22" s="1"/>
  <c r="BF44" i="22"/>
  <c r="BG44" i="22" s="1"/>
  <c r="BF52" i="22"/>
  <c r="BG52" i="22" s="1"/>
  <c r="BF60" i="22"/>
  <c r="BG60" i="22" s="1"/>
  <c r="BF37" i="22"/>
  <c r="BG37" i="22" s="1"/>
  <c r="BF41" i="22"/>
  <c r="BG41" i="22" s="1"/>
  <c r="BF45" i="22"/>
  <c r="BG45" i="22" s="1"/>
  <c r="BF49" i="22"/>
  <c r="BG49" i="22" s="1"/>
  <c r="BF53" i="22"/>
  <c r="BG53" i="22" s="1"/>
  <c r="BF57" i="22"/>
  <c r="BG57" i="22" s="1"/>
  <c r="BF61" i="22"/>
  <c r="BG61" i="22" s="1"/>
  <c r="BF65" i="22"/>
  <c r="BG65" i="22" s="1"/>
  <c r="F37" i="38"/>
  <c r="G41" i="38" s="1"/>
  <c r="F36" i="38"/>
  <c r="F42" i="38" s="1"/>
  <c r="U1" i="38"/>
  <c r="AD12" i="22" s="1"/>
  <c r="AE12" i="22" s="1"/>
  <c r="AK5" i="22"/>
  <c r="AL5" i="22" s="1"/>
  <c r="AK6" i="22"/>
  <c r="AL6" i="22" s="1"/>
  <c r="AK10" i="22"/>
  <c r="AL10" i="22" s="1"/>
  <c r="AK14" i="22"/>
  <c r="AL14" i="22" s="1"/>
  <c r="AK18" i="22"/>
  <c r="AL18" i="22" s="1"/>
  <c r="AK22" i="22"/>
  <c r="AL22" i="22" s="1"/>
  <c r="AK26" i="22"/>
  <c r="AL26" i="22" s="1"/>
  <c r="AK30" i="22"/>
  <c r="AL30" i="22" s="1"/>
  <c r="AK34" i="22"/>
  <c r="AL34" i="22" s="1"/>
  <c r="AK38" i="22"/>
  <c r="AL38" i="22" s="1"/>
  <c r="AK42" i="22"/>
  <c r="AL42" i="22" s="1"/>
  <c r="AK46" i="22"/>
  <c r="AL46" i="22" s="1"/>
  <c r="AK50" i="22"/>
  <c r="AL50" i="22" s="1"/>
  <c r="AK54" i="22"/>
  <c r="AL54" i="22" s="1"/>
  <c r="AK58" i="22"/>
  <c r="AL58" i="22" s="1"/>
  <c r="AK62" i="22"/>
  <c r="AL62" i="22" s="1"/>
  <c r="AK7" i="22"/>
  <c r="AL7" i="22" s="1"/>
  <c r="AK11" i="22"/>
  <c r="AL11" i="22" s="1"/>
  <c r="AK15" i="22"/>
  <c r="AL15" i="22" s="1"/>
  <c r="AK19" i="22"/>
  <c r="AL19" i="22" s="1"/>
  <c r="AK23" i="22"/>
  <c r="AL23" i="22" s="1"/>
  <c r="AK27" i="22"/>
  <c r="AL27" i="22" s="1"/>
  <c r="AK31" i="22"/>
  <c r="AL31" i="22" s="1"/>
  <c r="AK35" i="22"/>
  <c r="AL35" i="22" s="1"/>
  <c r="AK39" i="22"/>
  <c r="AL39" i="22" s="1"/>
  <c r="AK43" i="22"/>
  <c r="AL43" i="22" s="1"/>
  <c r="AK47" i="22"/>
  <c r="AL47" i="22" s="1"/>
  <c r="AK51" i="22"/>
  <c r="AL51" i="22" s="1"/>
  <c r="AK55" i="22"/>
  <c r="AL55" i="22" s="1"/>
  <c r="AK8" i="22"/>
  <c r="AL8" i="22" s="1"/>
  <c r="AK16" i="22"/>
  <c r="AL16" i="22" s="1"/>
  <c r="AK20" i="22"/>
  <c r="AL20" i="22" s="1"/>
  <c r="AK24" i="22"/>
  <c r="AL24" i="22" s="1"/>
  <c r="AK32" i="22"/>
  <c r="AL32" i="22" s="1"/>
  <c r="AK40" i="22"/>
  <c r="AL40" i="22" s="1"/>
  <c r="AK48" i="22"/>
  <c r="AL48" i="22" s="1"/>
  <c r="AK56" i="22"/>
  <c r="AL56" i="22" s="1"/>
  <c r="AK64" i="22"/>
  <c r="AL64" i="22" s="1"/>
  <c r="AK9" i="22"/>
  <c r="AL9" i="22" s="1"/>
  <c r="AK13" i="22"/>
  <c r="AL13" i="22" s="1"/>
  <c r="AK17" i="22"/>
  <c r="AL17" i="22" s="1"/>
  <c r="AK21" i="22"/>
  <c r="AL21" i="22" s="1"/>
  <c r="AK25" i="22"/>
  <c r="AL25" i="22" s="1"/>
  <c r="AK29" i="22"/>
  <c r="AL29" i="22" s="1"/>
  <c r="AK33" i="22"/>
  <c r="AL33" i="22" s="1"/>
  <c r="AK37" i="22"/>
  <c r="AL37" i="22" s="1"/>
  <c r="AK41" i="22"/>
  <c r="AL41" i="22" s="1"/>
  <c r="AK45" i="22"/>
  <c r="AL45" i="22" s="1"/>
  <c r="AK49" i="22"/>
  <c r="AL49" i="22" s="1"/>
  <c r="AK53" i="22"/>
  <c r="AL53" i="22" s="1"/>
  <c r="AK57" i="22"/>
  <c r="AL57" i="22" s="1"/>
  <c r="AK61" i="22"/>
  <c r="AL61" i="22" s="1"/>
  <c r="AK65" i="22"/>
  <c r="AL65" i="22" s="1"/>
  <c r="AK59" i="22"/>
  <c r="AL59" i="22" s="1"/>
  <c r="AK63" i="22"/>
  <c r="AL63" i="22" s="1"/>
  <c r="AK12" i="22"/>
  <c r="AL12" i="22" s="1"/>
  <c r="AK28" i="22"/>
  <c r="AL28" i="22" s="1"/>
  <c r="AK36" i="22"/>
  <c r="AL36" i="22" s="1"/>
  <c r="AK44" i="22"/>
  <c r="AL44" i="22" s="1"/>
  <c r="AK52" i="22"/>
  <c r="AL52" i="22" s="1"/>
  <c r="AK60" i="22"/>
  <c r="AL60" i="22" s="1"/>
  <c r="AK4" i="22"/>
  <c r="AL4" i="22" s="1"/>
  <c r="I5" i="22"/>
  <c r="J5" i="22" s="1"/>
  <c r="I6" i="22"/>
  <c r="J6" i="22" s="1"/>
  <c r="I10" i="22"/>
  <c r="J10" i="22" s="1"/>
  <c r="I14" i="22"/>
  <c r="J14" i="22" s="1"/>
  <c r="I18" i="22"/>
  <c r="J18" i="22" s="1"/>
  <c r="I22" i="22"/>
  <c r="J22" i="22" s="1"/>
  <c r="I26" i="22"/>
  <c r="J26" i="22" s="1"/>
  <c r="I30" i="22"/>
  <c r="J30" i="22" s="1"/>
  <c r="I34" i="22"/>
  <c r="J34" i="22" s="1"/>
  <c r="I38" i="22"/>
  <c r="J38" i="22" s="1"/>
  <c r="I42" i="22"/>
  <c r="J42" i="22" s="1"/>
  <c r="I46" i="22"/>
  <c r="J46" i="22" s="1"/>
  <c r="I50" i="22"/>
  <c r="J50" i="22" s="1"/>
  <c r="I54" i="22"/>
  <c r="J54" i="22" s="1"/>
  <c r="I58" i="22"/>
  <c r="J58" i="22" s="1"/>
  <c r="I62" i="22"/>
  <c r="J62" i="22" s="1"/>
  <c r="I12" i="22"/>
  <c r="J12" i="22" s="1"/>
  <c r="I16" i="22"/>
  <c r="J16" i="22" s="1"/>
  <c r="I20" i="22"/>
  <c r="J20" i="22" s="1"/>
  <c r="I28" i="22"/>
  <c r="J28" i="22" s="1"/>
  <c r="I36" i="22"/>
  <c r="J36" i="22" s="1"/>
  <c r="I44" i="22"/>
  <c r="J44" i="22" s="1"/>
  <c r="I48" i="22"/>
  <c r="J48" i="22" s="1"/>
  <c r="I56" i="22"/>
  <c r="J56" i="22" s="1"/>
  <c r="I60" i="22"/>
  <c r="J60" i="22" s="1"/>
  <c r="I33" i="22"/>
  <c r="J33" i="22" s="1"/>
  <c r="I45" i="22"/>
  <c r="J45" i="22" s="1"/>
  <c r="I57" i="22"/>
  <c r="J57" i="22" s="1"/>
  <c r="I7" i="22"/>
  <c r="J7" i="22" s="1"/>
  <c r="I11" i="22"/>
  <c r="J11" i="22" s="1"/>
  <c r="I15" i="22"/>
  <c r="J15" i="22" s="1"/>
  <c r="I19" i="22"/>
  <c r="J19" i="22" s="1"/>
  <c r="I23" i="22"/>
  <c r="J23" i="22" s="1"/>
  <c r="I27" i="22"/>
  <c r="J27" i="22" s="1"/>
  <c r="I31" i="22"/>
  <c r="J31" i="22" s="1"/>
  <c r="I35" i="22"/>
  <c r="J35" i="22" s="1"/>
  <c r="I39" i="22"/>
  <c r="J39" i="22" s="1"/>
  <c r="I43" i="22"/>
  <c r="J43" i="22" s="1"/>
  <c r="I47" i="22"/>
  <c r="J47" i="22" s="1"/>
  <c r="I51" i="22"/>
  <c r="J51" i="22" s="1"/>
  <c r="I55" i="22"/>
  <c r="J55" i="22" s="1"/>
  <c r="I59" i="22"/>
  <c r="J59" i="22" s="1"/>
  <c r="I63" i="22"/>
  <c r="J63" i="22" s="1"/>
  <c r="I8" i="22"/>
  <c r="J8" i="22" s="1"/>
  <c r="I24" i="22"/>
  <c r="J24" i="22" s="1"/>
  <c r="I32" i="22"/>
  <c r="J32" i="22" s="1"/>
  <c r="I40" i="22"/>
  <c r="J40" i="22" s="1"/>
  <c r="I52" i="22"/>
  <c r="J52" i="22" s="1"/>
  <c r="I64" i="22"/>
  <c r="J64" i="22" s="1"/>
  <c r="I41" i="22"/>
  <c r="J41" i="22" s="1"/>
  <c r="I53" i="22"/>
  <c r="J53" i="22" s="1"/>
  <c r="I61" i="22"/>
  <c r="J61" i="22" s="1"/>
  <c r="I9" i="22"/>
  <c r="J9" i="22" s="1"/>
  <c r="I13" i="22"/>
  <c r="J13" i="22" s="1"/>
  <c r="I17" i="22"/>
  <c r="J17" i="22" s="1"/>
  <c r="I21" i="22"/>
  <c r="J21" i="22" s="1"/>
  <c r="I25" i="22"/>
  <c r="J25" i="22" s="1"/>
  <c r="I29" i="22"/>
  <c r="J29" i="22" s="1"/>
  <c r="I37" i="22"/>
  <c r="J37" i="22" s="1"/>
  <c r="I49" i="22"/>
  <c r="J49" i="22" s="1"/>
  <c r="I65" i="22"/>
  <c r="J65" i="22" s="1"/>
  <c r="I4" i="22"/>
  <c r="J4" i="22" s="1"/>
  <c r="U26" i="38"/>
  <c r="W6" i="38"/>
  <c r="W26" i="38"/>
  <c r="U6" i="38"/>
  <c r="U7" i="38"/>
  <c r="U8" i="38"/>
  <c r="W7" i="38"/>
  <c r="U9" i="38"/>
  <c r="W8" i="38"/>
  <c r="W9" i="38"/>
  <c r="U10" i="38"/>
  <c r="U11" i="38"/>
  <c r="W11" i="38"/>
  <c r="U12" i="38"/>
  <c r="W10" i="38"/>
  <c r="W12" i="38"/>
  <c r="U13" i="38"/>
  <c r="W13" i="38"/>
  <c r="U14" i="38"/>
  <c r="W14" i="38"/>
  <c r="U15" i="38"/>
  <c r="W15" i="38"/>
  <c r="U16" i="38"/>
  <c r="W16" i="38"/>
  <c r="U17" i="38"/>
  <c r="W17" i="38"/>
  <c r="U18" i="38"/>
  <c r="W18" i="38"/>
  <c r="U19" i="38"/>
  <c r="W19" i="38"/>
  <c r="U20" i="38"/>
  <c r="W20" i="38"/>
  <c r="U21" i="38"/>
  <c r="W21" i="38"/>
  <c r="U22" i="38"/>
  <c r="W22" i="38"/>
  <c r="U23" i="38"/>
  <c r="W23" i="38"/>
  <c r="U24" i="38"/>
  <c r="W24" i="38"/>
  <c r="U25" i="38"/>
  <c r="W25" i="38"/>
  <c r="F35" i="38"/>
  <c r="E42" i="38" s="1"/>
  <c r="P27" i="38"/>
  <c r="V27" i="38"/>
  <c r="S3" i="38"/>
  <c r="S29" i="38"/>
  <c r="T29" i="38" s="1"/>
  <c r="V29" i="38" s="1"/>
  <c r="T28" i="38"/>
  <c r="V28" i="38" s="1"/>
  <c r="M29" i="38"/>
  <c r="N29" i="38" s="1"/>
  <c r="P29" i="38" s="1"/>
  <c r="N28" i="38"/>
  <c r="P28" i="38" s="1"/>
  <c r="E6" i="38"/>
  <c r="C6" i="38"/>
  <c r="E7" i="38"/>
  <c r="C7" i="38"/>
  <c r="E8" i="38"/>
  <c r="C8" i="38"/>
  <c r="E9" i="38"/>
  <c r="C9" i="38"/>
  <c r="E10" i="38"/>
  <c r="C10" i="38"/>
  <c r="E11" i="38"/>
  <c r="C11" i="38"/>
  <c r="E12" i="38"/>
  <c r="C12" i="38"/>
  <c r="E13" i="38"/>
  <c r="C13" i="38"/>
  <c r="E14" i="38"/>
  <c r="C14" i="38"/>
  <c r="E15" i="38"/>
  <c r="C15" i="38"/>
  <c r="E16" i="38"/>
  <c r="C16" i="38"/>
  <c r="E17" i="38"/>
  <c r="C17" i="38"/>
  <c r="E18" i="38"/>
  <c r="C18" i="38"/>
  <c r="E19" i="38"/>
  <c r="C19" i="38"/>
  <c r="E20" i="38"/>
  <c r="C20" i="38"/>
  <c r="E21" i="38"/>
  <c r="C21" i="38"/>
  <c r="E22" i="38"/>
  <c r="C22" i="38"/>
  <c r="E23" i="38"/>
  <c r="C23" i="38"/>
  <c r="E24" i="38"/>
  <c r="C24" i="38"/>
  <c r="E25" i="38"/>
  <c r="C25" i="38"/>
  <c r="E27" i="38"/>
  <c r="C26" i="38"/>
  <c r="C27" i="38"/>
  <c r="E26" i="38"/>
  <c r="E29" i="38"/>
  <c r="E28" i="38"/>
  <c r="F32" i="38"/>
  <c r="B41" i="38" s="1"/>
  <c r="C28" i="38"/>
  <c r="C29" i="38"/>
  <c r="AW49" i="30"/>
  <c r="AY49" i="30" s="1"/>
  <c r="AD49" i="30"/>
  <c r="AF49" i="30" s="1"/>
  <c r="AH49" i="30" s="1"/>
  <c r="AK49" i="30"/>
  <c r="AM49" i="30" s="1"/>
  <c r="BD49" i="30"/>
  <c r="BF49" i="30" s="1"/>
  <c r="K49" i="30"/>
  <c r="M49" i="30" s="1"/>
  <c r="D49" i="30"/>
  <c r="F49" i="30" s="1"/>
  <c r="AI26" i="38"/>
  <c r="C53" i="22"/>
  <c r="C52" i="22"/>
  <c r="B54" i="22"/>
  <c r="AY7" i="22"/>
  <c r="AZ7" i="22" s="1"/>
  <c r="AY11" i="22"/>
  <c r="AZ11" i="22" s="1"/>
  <c r="AY15" i="22"/>
  <c r="AZ15" i="22" s="1"/>
  <c r="AY19" i="22"/>
  <c r="AZ19" i="22" s="1"/>
  <c r="AY23" i="22"/>
  <c r="AZ23" i="22" s="1"/>
  <c r="AY27" i="22"/>
  <c r="AZ27" i="22" s="1"/>
  <c r="AY31" i="22"/>
  <c r="AZ31" i="22" s="1"/>
  <c r="AY35" i="22"/>
  <c r="AZ35" i="22" s="1"/>
  <c r="AY39" i="22"/>
  <c r="AZ39" i="22" s="1"/>
  <c r="AY43" i="22"/>
  <c r="AZ43" i="22" s="1"/>
  <c r="AY47" i="22"/>
  <c r="AZ47" i="22" s="1"/>
  <c r="AY51" i="22"/>
  <c r="AZ51" i="22" s="1"/>
  <c r="AY55" i="22"/>
  <c r="AZ55" i="22" s="1"/>
  <c r="AY59" i="22"/>
  <c r="AZ59" i="22" s="1"/>
  <c r="AY63" i="22"/>
  <c r="AZ63" i="22" s="1"/>
  <c r="AY8" i="22"/>
  <c r="AZ8" i="22" s="1"/>
  <c r="AY12" i="22"/>
  <c r="AZ12" i="22" s="1"/>
  <c r="AY16" i="22"/>
  <c r="AZ16" i="22" s="1"/>
  <c r="AY20" i="22"/>
  <c r="AZ20" i="22" s="1"/>
  <c r="AY24" i="22"/>
  <c r="AZ24" i="22" s="1"/>
  <c r="AY28" i="22"/>
  <c r="AZ28" i="22" s="1"/>
  <c r="AY32" i="22"/>
  <c r="AZ32" i="22" s="1"/>
  <c r="AY36" i="22"/>
  <c r="AZ36" i="22" s="1"/>
  <c r="AY40" i="22"/>
  <c r="AZ40" i="22" s="1"/>
  <c r="AY44" i="22"/>
  <c r="AZ44" i="22" s="1"/>
  <c r="AY48" i="22"/>
  <c r="AZ48" i="22" s="1"/>
  <c r="AY52" i="22"/>
  <c r="AZ52" i="22" s="1"/>
  <c r="AY56" i="22"/>
  <c r="AZ56" i="22" s="1"/>
  <c r="AY60" i="22"/>
  <c r="AZ60" i="22" s="1"/>
  <c r="AY64" i="22"/>
  <c r="AZ64" i="22" s="1"/>
  <c r="AY6" i="22"/>
  <c r="AZ6" i="22" s="1"/>
  <c r="AY14" i="22"/>
  <c r="AZ14" i="22" s="1"/>
  <c r="AY22" i="22"/>
  <c r="AZ22" i="22" s="1"/>
  <c r="AY30" i="22"/>
  <c r="AZ30" i="22" s="1"/>
  <c r="AY38" i="22"/>
  <c r="AZ38" i="22" s="1"/>
  <c r="AY46" i="22"/>
  <c r="AZ46" i="22" s="1"/>
  <c r="AY54" i="22"/>
  <c r="AZ54" i="22" s="1"/>
  <c r="AY62" i="22"/>
  <c r="AZ62" i="22" s="1"/>
  <c r="AY5" i="22"/>
  <c r="AZ5" i="22" s="1"/>
  <c r="AY9" i="22"/>
  <c r="AZ9" i="22" s="1"/>
  <c r="AY13" i="22"/>
  <c r="AZ13" i="22" s="1"/>
  <c r="AY17" i="22"/>
  <c r="AZ17" i="22" s="1"/>
  <c r="AY21" i="22"/>
  <c r="AZ21" i="22" s="1"/>
  <c r="AY25" i="22"/>
  <c r="AZ25" i="22" s="1"/>
  <c r="AY29" i="22"/>
  <c r="AZ29" i="22" s="1"/>
  <c r="AY33" i="22"/>
  <c r="AZ33" i="22" s="1"/>
  <c r="AY37" i="22"/>
  <c r="AZ37" i="22" s="1"/>
  <c r="AY41" i="22"/>
  <c r="AZ41" i="22" s="1"/>
  <c r="AY45" i="22"/>
  <c r="AZ45" i="22" s="1"/>
  <c r="AY49" i="22"/>
  <c r="AZ49" i="22" s="1"/>
  <c r="AY53" i="22"/>
  <c r="AZ53" i="22" s="1"/>
  <c r="AY57" i="22"/>
  <c r="AZ57" i="22" s="1"/>
  <c r="AY61" i="22"/>
  <c r="AZ61" i="22" s="1"/>
  <c r="AY65" i="22"/>
  <c r="AZ65" i="22" s="1"/>
  <c r="AY10" i="22"/>
  <c r="AZ10" i="22" s="1"/>
  <c r="AY18" i="22"/>
  <c r="AZ18" i="22" s="1"/>
  <c r="AY26" i="22"/>
  <c r="AZ26" i="22" s="1"/>
  <c r="AY34" i="22"/>
  <c r="AZ34" i="22" s="1"/>
  <c r="AY42" i="22"/>
  <c r="AZ42" i="22" s="1"/>
  <c r="AY50" i="22"/>
  <c r="AZ50" i="22" s="1"/>
  <c r="AY58" i="22"/>
  <c r="AZ58" i="22" s="1"/>
  <c r="AY4" i="22"/>
  <c r="AZ4" i="22" s="1"/>
  <c r="AG27" i="38"/>
  <c r="AA28" i="38"/>
  <c r="AA29" i="38"/>
  <c r="AC29" i="38"/>
  <c r="AA6" i="38"/>
  <c r="AC6" i="38"/>
  <c r="AC7" i="38"/>
  <c r="AA8" i="38"/>
  <c r="AC9" i="38"/>
  <c r="AA10" i="38"/>
  <c r="AC11" i="38"/>
  <c r="AA12" i="38"/>
  <c r="AC13" i="38"/>
  <c r="AA14" i="38"/>
  <c r="AC15" i="38"/>
  <c r="AA16" i="38"/>
  <c r="AC17" i="38"/>
  <c r="AA17" i="38"/>
  <c r="AC19" i="38"/>
  <c r="AA19" i="38"/>
  <c r="AA20" i="38"/>
  <c r="AC21" i="38"/>
  <c r="AA22" i="38"/>
  <c r="AC23" i="38"/>
  <c r="AA24" i="38"/>
  <c r="AC25" i="38"/>
  <c r="AA25" i="38"/>
  <c r="AG28" i="38"/>
  <c r="AI28" i="38"/>
  <c r="AG29" i="38"/>
  <c r="AI6" i="38"/>
  <c r="AG6" i="38"/>
  <c r="AG7" i="38"/>
  <c r="AI7" i="38"/>
  <c r="AG8" i="38"/>
  <c r="AI9" i="38"/>
  <c r="AG9" i="38"/>
  <c r="AG10" i="38"/>
  <c r="AI11" i="38"/>
  <c r="AG11" i="38"/>
  <c r="AG12" i="38"/>
  <c r="AI13" i="38"/>
  <c r="AG13" i="38"/>
  <c r="AG14" i="38"/>
  <c r="AG15" i="38"/>
  <c r="AI15" i="38"/>
  <c r="AI16" i="38"/>
  <c r="AG16" i="38"/>
  <c r="AI17" i="38"/>
  <c r="AG17" i="38"/>
  <c r="AG18" i="38"/>
  <c r="AI19" i="38"/>
  <c r="AG19" i="38"/>
  <c r="AG20" i="38"/>
  <c r="AI20" i="38"/>
  <c r="AG21" i="38"/>
  <c r="AG22" i="38"/>
  <c r="AI22" i="38"/>
  <c r="AG23" i="38"/>
  <c r="AG24" i="38"/>
  <c r="AI24" i="38"/>
  <c r="AG25" i="38"/>
  <c r="AA27" i="38"/>
  <c r="AC27" i="38"/>
  <c r="AG26" i="38"/>
  <c r="AC28" i="38"/>
  <c r="AB27" i="38"/>
  <c r="AD27" i="38"/>
  <c r="AH27" i="38"/>
  <c r="AJ27" i="38"/>
  <c r="R49" i="30"/>
  <c r="T49" i="30" s="1"/>
  <c r="U49" i="30" s="1"/>
  <c r="V49" i="30"/>
  <c r="X49" i="30" s="1"/>
  <c r="Y49" i="30" s="1"/>
  <c r="BK49" i="30"/>
  <c r="BM49" i="30" s="1"/>
  <c r="BN49" i="30" s="1"/>
  <c r="Z49" i="30"/>
  <c r="AB49" i="30" s="1"/>
  <c r="AR49" i="30"/>
  <c r="AT49" i="30" s="1"/>
  <c r="AU49" i="30" s="1"/>
  <c r="F27" i="34"/>
  <c r="D27" i="34"/>
  <c r="I1" i="34"/>
  <c r="G47" i="30"/>
  <c r="H47" i="30"/>
  <c r="O48" i="30"/>
  <c r="N48" i="30"/>
  <c r="BG47" i="30"/>
  <c r="BH47" i="30"/>
  <c r="AZ48" i="30"/>
  <c r="BA48" i="30"/>
  <c r="N47" i="30"/>
  <c r="O47" i="30"/>
  <c r="BG48" i="30"/>
  <c r="BH48" i="30"/>
  <c r="AH26" i="34"/>
  <c r="AJ26" i="34"/>
  <c r="G27" i="34"/>
  <c r="H27" i="34"/>
  <c r="M27" i="34"/>
  <c r="N27" i="34"/>
  <c r="U1" i="34" s="1"/>
  <c r="AD26" i="34"/>
  <c r="AB26" i="34"/>
  <c r="V26" i="34"/>
  <c r="X26" i="34"/>
  <c r="AN48" i="30"/>
  <c r="AO48" i="30"/>
  <c r="BA47" i="30"/>
  <c r="AZ47" i="30"/>
  <c r="AG47" i="30"/>
  <c r="AG48" i="30"/>
  <c r="C53" i="30"/>
  <c r="C52" i="30"/>
  <c r="B54" i="30"/>
  <c r="AF27" i="34"/>
  <c r="AE27" i="34"/>
  <c r="L26" i="34"/>
  <c r="J26" i="34"/>
  <c r="P26" i="34"/>
  <c r="R26" i="34"/>
  <c r="Z27" i="34"/>
  <c r="Y27" i="34"/>
  <c r="T27" i="34"/>
  <c r="S27" i="34"/>
  <c r="G48" i="30"/>
  <c r="H48" i="30"/>
  <c r="AO47" i="30"/>
  <c r="AN47" i="30"/>
  <c r="B39" i="11"/>
  <c r="C39" i="11" s="1"/>
  <c r="Y38" i="11"/>
  <c r="M39" i="11"/>
  <c r="O39" i="11"/>
  <c r="G39" i="11"/>
  <c r="S38" i="11"/>
  <c r="K39" i="11"/>
  <c r="S39" i="11"/>
  <c r="AA38" i="11"/>
  <c r="Q38" i="11"/>
  <c r="E38" i="11"/>
  <c r="K38" i="11"/>
  <c r="Q39" i="11"/>
  <c r="Y39" i="11"/>
  <c r="W38" i="11"/>
  <c r="E39" i="11"/>
  <c r="AA39" i="11"/>
  <c r="W39" i="11"/>
  <c r="G38" i="11"/>
  <c r="I38" i="11"/>
  <c r="M38" i="11"/>
  <c r="O38" i="11"/>
  <c r="AC38" i="11" a="1"/>
  <c r="I39" i="11"/>
  <c r="AJ29" i="45" l="1"/>
  <c r="AI29" i="45"/>
  <c r="AJ28" i="45"/>
  <c r="AI28" i="45"/>
  <c r="AF29" i="45"/>
  <c r="AE29" i="45"/>
  <c r="AF28" i="45"/>
  <c r="AE28" i="45"/>
  <c r="AB28" i="45"/>
  <c r="AA28" i="45"/>
  <c r="AA29" i="45"/>
  <c r="AB29" i="45"/>
  <c r="W28" i="45"/>
  <c r="X28" i="45"/>
  <c r="X29" i="45"/>
  <c r="W29" i="45"/>
  <c r="S29" i="45"/>
  <c r="S28" i="45"/>
  <c r="P29" i="45"/>
  <c r="O29" i="45"/>
  <c r="O28" i="45"/>
  <c r="P28" i="45"/>
  <c r="K28" i="45"/>
  <c r="L28" i="45"/>
  <c r="K29" i="45"/>
  <c r="L29" i="45"/>
  <c r="G28" i="45"/>
  <c r="H28" i="45"/>
  <c r="G29" i="45"/>
  <c r="H29" i="45"/>
  <c r="D28" i="45"/>
  <c r="D29" i="45"/>
  <c r="C28" i="45"/>
  <c r="C29" i="45"/>
  <c r="G33" i="38"/>
  <c r="D38" i="11"/>
  <c r="G42" i="38"/>
  <c r="BP50" i="30" s="1"/>
  <c r="BR50" i="30" s="1"/>
  <c r="BS50" i="30" s="1"/>
  <c r="AC49" i="30"/>
  <c r="BO51" i="30"/>
  <c r="BS41" i="30"/>
  <c r="G36" i="38"/>
  <c r="C41" i="38"/>
  <c r="G35" i="38"/>
  <c r="E41" i="38"/>
  <c r="AD30" i="22"/>
  <c r="AE30" i="22" s="1"/>
  <c r="B42" i="38"/>
  <c r="B43" i="38" s="1"/>
  <c r="AD61" i="22"/>
  <c r="AE61" i="22" s="1"/>
  <c r="AD57" i="22"/>
  <c r="AE57" i="22" s="1"/>
  <c r="AD44" i="22"/>
  <c r="AE44" i="22" s="1"/>
  <c r="AD36" i="22"/>
  <c r="AE36" i="22" s="1"/>
  <c r="AD15" i="22"/>
  <c r="AE15" i="22" s="1"/>
  <c r="AD11" i="22"/>
  <c r="AE11" i="22" s="1"/>
  <c r="G32" i="38"/>
  <c r="AD45" i="22"/>
  <c r="AE45" i="22" s="1"/>
  <c r="AD63" i="22"/>
  <c r="AE63" i="22" s="1"/>
  <c r="AD56" i="22"/>
  <c r="AE56" i="22" s="1"/>
  <c r="AD10" i="22"/>
  <c r="AE10" i="22" s="1"/>
  <c r="AD41" i="22"/>
  <c r="AE41" i="22" s="1"/>
  <c r="AD59" i="22"/>
  <c r="AE59" i="22" s="1"/>
  <c r="AD48" i="22"/>
  <c r="AE48" i="22" s="1"/>
  <c r="AD29" i="22"/>
  <c r="AE29" i="22" s="1"/>
  <c r="AD47" i="22"/>
  <c r="AE47" i="22" s="1"/>
  <c r="AD28" i="22"/>
  <c r="AE28" i="22" s="1"/>
  <c r="AD4" i="22"/>
  <c r="AE4" i="22" s="1"/>
  <c r="AD25" i="22"/>
  <c r="AE25" i="22" s="1"/>
  <c r="AD43" i="22"/>
  <c r="AE43" i="22" s="1"/>
  <c r="AD20" i="22"/>
  <c r="AE20" i="22" s="1"/>
  <c r="AD42" i="22"/>
  <c r="AE42" i="22" s="1"/>
  <c r="AD13" i="22"/>
  <c r="AE13" i="22" s="1"/>
  <c r="AD31" i="22"/>
  <c r="AE31" i="22" s="1"/>
  <c r="AD62" i="22"/>
  <c r="AE62" i="22" s="1"/>
  <c r="AD34" i="22"/>
  <c r="AE34" i="22" s="1"/>
  <c r="AD9" i="22"/>
  <c r="AE9" i="22" s="1"/>
  <c r="AD27" i="22"/>
  <c r="AE27" i="22" s="1"/>
  <c r="AD54" i="22"/>
  <c r="AE54" i="22" s="1"/>
  <c r="AD26" i="22"/>
  <c r="AE26" i="22" s="1"/>
  <c r="AD6" i="22"/>
  <c r="AE6" i="22" s="1"/>
  <c r="AD58" i="22"/>
  <c r="AE58" i="22" s="1"/>
  <c r="AD22" i="22"/>
  <c r="AE22" i="22" s="1"/>
  <c r="AD53" i="22"/>
  <c r="AE53" i="22" s="1"/>
  <c r="AD21" i="22"/>
  <c r="AE21" i="22" s="1"/>
  <c r="AD60" i="22"/>
  <c r="AE60" i="22" s="1"/>
  <c r="AD55" i="22"/>
  <c r="AE55" i="22" s="1"/>
  <c r="AD37" i="22"/>
  <c r="AE37" i="22" s="1"/>
  <c r="AD23" i="22"/>
  <c r="AE23" i="22" s="1"/>
  <c r="AD40" i="22"/>
  <c r="AE40" i="22" s="1"/>
  <c r="AD16" i="22"/>
  <c r="AE16" i="22" s="1"/>
  <c r="AD39" i="22"/>
  <c r="AE39" i="22" s="1"/>
  <c r="AD18" i="22"/>
  <c r="AE18" i="22" s="1"/>
  <c r="AD24" i="22"/>
  <c r="AE24" i="22" s="1"/>
  <c r="AD7" i="22"/>
  <c r="AE7" i="22" s="1"/>
  <c r="AD49" i="22"/>
  <c r="AE49" i="22" s="1"/>
  <c r="AD50" i="22"/>
  <c r="AE50" i="22" s="1"/>
  <c r="AD51" i="22"/>
  <c r="AE51" i="22" s="1"/>
  <c r="AD46" i="22"/>
  <c r="AE46" i="22" s="1"/>
  <c r="AD65" i="22"/>
  <c r="AE65" i="22" s="1"/>
  <c r="AD32" i="22"/>
  <c r="AE32" i="22" s="1"/>
  <c r="AD5" i="22"/>
  <c r="AE5" i="22" s="1"/>
  <c r="AD33" i="22"/>
  <c r="AE33" i="22" s="1"/>
  <c r="AD52" i="22"/>
  <c r="AE52" i="22" s="1"/>
  <c r="AD19" i="22"/>
  <c r="AE19" i="22" s="1"/>
  <c r="AD38" i="22"/>
  <c r="AE38" i="22" s="1"/>
  <c r="AD8" i="22"/>
  <c r="AE8" i="22" s="1"/>
  <c r="AD64" i="22"/>
  <c r="AE64" i="22" s="1"/>
  <c r="AD14" i="22"/>
  <c r="AE14" i="22" s="1"/>
  <c r="AD17" i="22"/>
  <c r="AE17" i="22" s="1"/>
  <c r="AD35" i="22"/>
  <c r="AE35" i="22" s="1"/>
  <c r="I7" i="30"/>
  <c r="J7" i="30" s="1"/>
  <c r="I4" i="30"/>
  <c r="J4" i="30" s="1"/>
  <c r="Q6" i="38"/>
  <c r="Q7" i="38"/>
  <c r="Q9" i="38"/>
  <c r="Q8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X28" i="38"/>
  <c r="W28" i="38" s="1"/>
  <c r="U28" i="38"/>
  <c r="X29" i="38"/>
  <c r="W29" i="38" s="1"/>
  <c r="U29" i="38"/>
  <c r="X27" i="38"/>
  <c r="W27" i="38" s="1"/>
  <c r="U27" i="38"/>
  <c r="O7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R28" i="38"/>
  <c r="Q28" i="38" s="1"/>
  <c r="O28" i="38"/>
  <c r="R29" i="38"/>
  <c r="Q29" i="38" s="1"/>
  <c r="O29" i="38"/>
  <c r="R27" i="38"/>
  <c r="Q27" i="38" s="1"/>
  <c r="O27" i="38"/>
  <c r="F34" i="38"/>
  <c r="O6" i="38"/>
  <c r="O8" i="38"/>
  <c r="I22" i="30"/>
  <c r="J22" i="30" s="1"/>
  <c r="I5" i="30"/>
  <c r="J5" i="30" s="1"/>
  <c r="AW52" i="30"/>
  <c r="AY52" i="30" s="1"/>
  <c r="AK50" i="30"/>
  <c r="AM50" i="30" s="1"/>
  <c r="BD50" i="30"/>
  <c r="BF50" i="30" s="1"/>
  <c r="K50" i="30"/>
  <c r="M50" i="30" s="1"/>
  <c r="AW50" i="30"/>
  <c r="AY50" i="30" s="1"/>
  <c r="AD50" i="30"/>
  <c r="AF50" i="30" s="1"/>
  <c r="AH50" i="30" s="1"/>
  <c r="AK52" i="30"/>
  <c r="AM52" i="30" s="1"/>
  <c r="BD52" i="30"/>
  <c r="BF52" i="30" s="1"/>
  <c r="K52" i="30"/>
  <c r="M52" i="30" s="1"/>
  <c r="AD52" i="30"/>
  <c r="AF52" i="30" s="1"/>
  <c r="AH52" i="30" s="1"/>
  <c r="D52" i="30"/>
  <c r="F52" i="30" s="1"/>
  <c r="D50" i="30"/>
  <c r="F50" i="30" s="1"/>
  <c r="F41" i="38"/>
  <c r="G37" i="38"/>
  <c r="B56" i="22"/>
  <c r="C55" i="22"/>
  <c r="C54" i="22"/>
  <c r="AI27" i="38"/>
  <c r="AA7" i="38"/>
  <c r="AC8" i="38"/>
  <c r="AA9" i="38"/>
  <c r="AC10" i="38"/>
  <c r="AA11" i="38"/>
  <c r="AC12" i="38"/>
  <c r="AA13" i="38"/>
  <c r="AC14" i="38"/>
  <c r="AA15" i="38"/>
  <c r="AC16" i="38"/>
  <c r="AA18" i="38"/>
  <c r="AC18" i="38"/>
  <c r="AC20" i="38"/>
  <c r="AA21" i="38"/>
  <c r="AC22" i="38"/>
  <c r="AA23" i="38"/>
  <c r="AC24" i="38"/>
  <c r="AC26" i="38"/>
  <c r="AA26" i="38"/>
  <c r="AI29" i="38"/>
  <c r="AI8" i="38"/>
  <c r="AI10" i="38"/>
  <c r="AI12" i="38"/>
  <c r="AI14" i="38"/>
  <c r="AI18" i="38"/>
  <c r="AI21" i="38"/>
  <c r="AI23" i="38"/>
  <c r="AI25" i="38"/>
  <c r="Z52" i="30"/>
  <c r="AB52" i="30" s="1"/>
  <c r="AR50" i="30"/>
  <c r="AT50" i="30" s="1"/>
  <c r="AU50" i="30" s="1"/>
  <c r="R52" i="30"/>
  <c r="T52" i="30" s="1"/>
  <c r="U52" i="30" s="1"/>
  <c r="R50" i="30"/>
  <c r="T50" i="30" s="1"/>
  <c r="U50" i="30" s="1"/>
  <c r="Z50" i="30"/>
  <c r="AB50" i="30" s="1"/>
  <c r="AR52" i="30"/>
  <c r="AT52" i="30" s="1"/>
  <c r="AU52" i="30" s="1"/>
  <c r="BK52" i="30"/>
  <c r="BM52" i="30" s="1"/>
  <c r="BN52" i="30" s="1"/>
  <c r="BK50" i="30"/>
  <c r="BM50" i="30" s="1"/>
  <c r="BN50" i="30" s="1"/>
  <c r="V52" i="30"/>
  <c r="X52" i="30" s="1"/>
  <c r="Y52" i="30" s="1"/>
  <c r="V50" i="30"/>
  <c r="X50" i="30" s="1"/>
  <c r="Y50" i="30" s="1"/>
  <c r="C55" i="30"/>
  <c r="C54" i="30"/>
  <c r="B56" i="30"/>
  <c r="BG49" i="30"/>
  <c r="BH49" i="30"/>
  <c r="O27" i="34"/>
  <c r="P27" i="34"/>
  <c r="R27" i="34"/>
  <c r="J27" i="34"/>
  <c r="L27" i="34"/>
  <c r="J1" i="34"/>
  <c r="I27" i="34" s="1"/>
  <c r="AG49" i="30"/>
  <c r="I61" i="30"/>
  <c r="J61" i="30" s="1"/>
  <c r="I56" i="30"/>
  <c r="J56" i="30" s="1"/>
  <c r="I40" i="30"/>
  <c r="J40" i="30" s="1"/>
  <c r="I24" i="30"/>
  <c r="J24" i="30" s="1"/>
  <c r="I45" i="30"/>
  <c r="J45" i="30" s="1"/>
  <c r="I6" i="30"/>
  <c r="J6" i="30" s="1"/>
  <c r="I46" i="30"/>
  <c r="J46" i="30" s="1"/>
  <c r="I30" i="30"/>
  <c r="J30" i="30" s="1"/>
  <c r="I17" i="30"/>
  <c r="J17" i="30" s="1"/>
  <c r="I25" i="30"/>
  <c r="J25" i="30" s="1"/>
  <c r="I51" i="30"/>
  <c r="J51" i="30" s="1"/>
  <c r="I35" i="30"/>
  <c r="J35" i="30" s="1"/>
  <c r="I19" i="30"/>
  <c r="J19" i="30" s="1"/>
  <c r="F32" i="34"/>
  <c r="I59" i="30"/>
  <c r="J59" i="30" s="1"/>
  <c r="I52" i="30"/>
  <c r="J52" i="30" s="1"/>
  <c r="I36" i="30"/>
  <c r="J36" i="30" s="1"/>
  <c r="I20" i="30"/>
  <c r="J20" i="30" s="1"/>
  <c r="I58" i="30"/>
  <c r="J58" i="30" s="1"/>
  <c r="I41" i="30"/>
  <c r="J41" i="30" s="1"/>
  <c r="I60" i="30"/>
  <c r="J60" i="30" s="1"/>
  <c r="I42" i="30"/>
  <c r="J42" i="30" s="1"/>
  <c r="I26" i="30"/>
  <c r="J26" i="30" s="1"/>
  <c r="I16" i="30"/>
  <c r="J16" i="30" s="1"/>
  <c r="I21" i="30"/>
  <c r="J21" i="30" s="1"/>
  <c r="I47" i="30"/>
  <c r="J47" i="30" s="1"/>
  <c r="I31" i="30"/>
  <c r="J31" i="30" s="1"/>
  <c r="I15" i="30"/>
  <c r="J15" i="30" s="1"/>
  <c r="I37" i="30"/>
  <c r="J37" i="30" s="1"/>
  <c r="C28" i="34"/>
  <c r="E28" i="34"/>
  <c r="I65" i="30"/>
  <c r="J65" i="30" s="1"/>
  <c r="I57" i="30"/>
  <c r="J57" i="30" s="1"/>
  <c r="I48" i="30"/>
  <c r="J48" i="30" s="1"/>
  <c r="I32" i="30"/>
  <c r="J32" i="30" s="1"/>
  <c r="I13" i="30"/>
  <c r="J13" i="30" s="1"/>
  <c r="I53" i="30"/>
  <c r="J53" i="30" s="1"/>
  <c r="I33" i="30"/>
  <c r="J33" i="30" s="1"/>
  <c r="I54" i="30"/>
  <c r="J54" i="30" s="1"/>
  <c r="I38" i="30"/>
  <c r="J38" i="30" s="1"/>
  <c r="I9" i="30"/>
  <c r="J9" i="30" s="1"/>
  <c r="I62" i="30"/>
  <c r="J62" i="30" s="1"/>
  <c r="I43" i="30"/>
  <c r="J43" i="30" s="1"/>
  <c r="I27" i="30"/>
  <c r="J27" i="30" s="1"/>
  <c r="I14" i="30"/>
  <c r="J14" i="30" s="1"/>
  <c r="I29" i="30"/>
  <c r="J29" i="30" s="1"/>
  <c r="I63" i="30"/>
  <c r="J63" i="30" s="1"/>
  <c r="I64" i="30"/>
  <c r="J64" i="30" s="1"/>
  <c r="I44" i="30"/>
  <c r="J44" i="30" s="1"/>
  <c r="I28" i="30"/>
  <c r="J28" i="30" s="1"/>
  <c r="I12" i="30"/>
  <c r="J12" i="30" s="1"/>
  <c r="I49" i="30"/>
  <c r="J49" i="30" s="1"/>
  <c r="I10" i="30"/>
  <c r="J10" i="30" s="1"/>
  <c r="I50" i="30"/>
  <c r="J50" i="30" s="1"/>
  <c r="I34" i="30"/>
  <c r="J34" i="30" s="1"/>
  <c r="I18" i="30"/>
  <c r="J18" i="30" s="1"/>
  <c r="I55" i="30"/>
  <c r="J55" i="30" s="1"/>
  <c r="I39" i="30"/>
  <c r="J39" i="30" s="1"/>
  <c r="I23" i="30"/>
  <c r="J23" i="30" s="1"/>
  <c r="I8" i="30"/>
  <c r="J8" i="30" s="1"/>
  <c r="I11" i="30"/>
  <c r="J11" i="30" s="1"/>
  <c r="E29" i="34"/>
  <c r="C29" i="34"/>
  <c r="E6" i="34"/>
  <c r="E7" i="34"/>
  <c r="C6" i="34"/>
  <c r="C7" i="34"/>
  <c r="E8" i="34"/>
  <c r="E9" i="34"/>
  <c r="C8" i="34"/>
  <c r="C9" i="34"/>
  <c r="E10" i="34"/>
  <c r="C10" i="34"/>
  <c r="E11" i="34"/>
  <c r="E12" i="34"/>
  <c r="C11" i="34"/>
  <c r="E13" i="34"/>
  <c r="C12" i="34"/>
  <c r="E14" i="34"/>
  <c r="C13" i="34"/>
  <c r="E15" i="34"/>
  <c r="C14" i="34"/>
  <c r="E16" i="34"/>
  <c r="C15" i="34"/>
  <c r="E17" i="34"/>
  <c r="C16" i="34"/>
  <c r="E18" i="34"/>
  <c r="C17" i="34"/>
  <c r="E19" i="34"/>
  <c r="C18" i="34"/>
  <c r="E20" i="34"/>
  <c r="C19" i="34"/>
  <c r="E21" i="34"/>
  <c r="C20" i="34"/>
  <c r="E22" i="34"/>
  <c r="C21" i="34"/>
  <c r="E23" i="34"/>
  <c r="C22" i="34"/>
  <c r="E24" i="34"/>
  <c r="C23" i="34"/>
  <c r="C24" i="34"/>
  <c r="E25" i="34"/>
  <c r="C25" i="34"/>
  <c r="E26" i="34"/>
  <c r="AO49" i="30"/>
  <c r="AN49" i="30"/>
  <c r="AZ49" i="30"/>
  <c r="BA49" i="30"/>
  <c r="V27" i="34"/>
  <c r="X27" i="34"/>
  <c r="V1" i="34"/>
  <c r="AB27" i="34"/>
  <c r="AD27" i="34"/>
  <c r="AH1" i="34"/>
  <c r="AH27" i="34"/>
  <c r="AJ27" i="34"/>
  <c r="AI1" i="34"/>
  <c r="E27" i="34"/>
  <c r="C26" i="34"/>
  <c r="C27" i="34"/>
  <c r="O49" i="30"/>
  <c r="N49" i="30"/>
  <c r="G49" i="30"/>
  <c r="H49" i="30"/>
  <c r="D39" i="11"/>
  <c r="B40" i="11"/>
  <c r="C40" i="11" s="1"/>
  <c r="Z39" i="11"/>
  <c r="W40" i="11"/>
  <c r="AB38" i="11"/>
  <c r="T38" i="11"/>
  <c r="J39" i="11"/>
  <c r="N39" i="11"/>
  <c r="T39" i="11"/>
  <c r="X39" i="11"/>
  <c r="L39" i="11"/>
  <c r="Q40" i="11"/>
  <c r="G40" i="11"/>
  <c r="AD39" i="11" a="1"/>
  <c r="AA40" i="11"/>
  <c r="M40" i="11"/>
  <c r="H38" i="11"/>
  <c r="L38" i="11"/>
  <c r="R39" i="11"/>
  <c r="Y40" i="11"/>
  <c r="H39" i="11"/>
  <c r="AB39" i="11"/>
  <c r="K40" i="11"/>
  <c r="R38" i="11"/>
  <c r="F39" i="11"/>
  <c r="O40" i="11"/>
  <c r="S40" i="11"/>
  <c r="I40" i="11"/>
  <c r="P38" i="11"/>
  <c r="AC39" i="11" a="1"/>
  <c r="N38" i="11"/>
  <c r="Z38" i="11"/>
  <c r="AC40" i="11" a="1"/>
  <c r="P39" i="11"/>
  <c r="J38" i="11"/>
  <c r="AD38" i="11" a="1"/>
  <c r="E40" i="11"/>
  <c r="X38" i="11"/>
  <c r="F38" i="11"/>
  <c r="BV28" i="45" l="1"/>
  <c r="BU28" i="45"/>
  <c r="BV29" i="45"/>
  <c r="BU29" i="45"/>
  <c r="BQ28" i="45"/>
  <c r="BR28" i="45"/>
  <c r="BR29" i="45"/>
  <c r="BQ29" i="45"/>
  <c r="BN28" i="45"/>
  <c r="BM28" i="45"/>
  <c r="BM29" i="45"/>
  <c r="BN29" i="45"/>
  <c r="BJ29" i="45"/>
  <c r="BI29" i="45"/>
  <c r="BI28" i="45"/>
  <c r="BJ28" i="45"/>
  <c r="BF29" i="45"/>
  <c r="BE29" i="45"/>
  <c r="BE28" i="45"/>
  <c r="BF28" i="45"/>
  <c r="BB28" i="45"/>
  <c r="BA28" i="45"/>
  <c r="BA29" i="45"/>
  <c r="BB29" i="45"/>
  <c r="AW29" i="45"/>
  <c r="AX29" i="45"/>
  <c r="AW28" i="45"/>
  <c r="AX28" i="45"/>
  <c r="AS29" i="45"/>
  <c r="AT29" i="45"/>
  <c r="AT28" i="45"/>
  <c r="AS28" i="45"/>
  <c r="AP29" i="45"/>
  <c r="AO29" i="45"/>
  <c r="AO28" i="45"/>
  <c r="AP28" i="45"/>
  <c r="AJ30" i="45"/>
  <c r="AI30" i="45"/>
  <c r="AE30" i="45"/>
  <c r="AF30" i="45"/>
  <c r="AA30" i="45"/>
  <c r="AB30" i="45"/>
  <c r="W30" i="45"/>
  <c r="X30" i="45"/>
  <c r="S30" i="45"/>
  <c r="O30" i="45"/>
  <c r="P30" i="45"/>
  <c r="K30" i="45"/>
  <c r="L30" i="45"/>
  <c r="G30" i="45"/>
  <c r="H30" i="45"/>
  <c r="D30" i="45"/>
  <c r="C30" i="45"/>
  <c r="BD51" i="30"/>
  <c r="BF51" i="30" s="1"/>
  <c r="BH51" i="30" s="1"/>
  <c r="V51" i="30"/>
  <c r="X51" i="30" s="1"/>
  <c r="Y51" i="30" s="1"/>
  <c r="AW51" i="30"/>
  <c r="AY51" i="30" s="1"/>
  <c r="BA51" i="30" s="1"/>
  <c r="R51" i="30"/>
  <c r="T51" i="30" s="1"/>
  <c r="U51" i="30" s="1"/>
  <c r="AR51" i="30"/>
  <c r="AT51" i="30" s="1"/>
  <c r="AU51" i="30" s="1"/>
  <c r="K51" i="30"/>
  <c r="M51" i="30" s="1"/>
  <c r="O51" i="30" s="1"/>
  <c r="AD51" i="30"/>
  <c r="AF51" i="30" s="1"/>
  <c r="AH51" i="30" s="1"/>
  <c r="Z51" i="30"/>
  <c r="AB51" i="30" s="1"/>
  <c r="AC51" i="30" s="1"/>
  <c r="AK51" i="30"/>
  <c r="AM51" i="30" s="1"/>
  <c r="AO51" i="30" s="1"/>
  <c r="D51" i="30"/>
  <c r="F51" i="30" s="1"/>
  <c r="H51" i="30" s="1"/>
  <c r="BK51" i="30"/>
  <c r="BM51" i="30" s="1"/>
  <c r="BN51" i="30" s="1"/>
  <c r="BP52" i="30" s="1"/>
  <c r="BR52" i="30" s="1"/>
  <c r="BS52" i="30" s="1"/>
  <c r="BP51" i="30" s="1"/>
  <c r="BO52" i="30"/>
  <c r="AC50" i="30"/>
  <c r="AC52" i="30"/>
  <c r="BP54" i="30" s="1"/>
  <c r="BP53" i="30" s="1"/>
  <c r="D41" i="38"/>
  <c r="D42" i="38"/>
  <c r="G34" i="38"/>
  <c r="AK53" i="30"/>
  <c r="AM53" i="30" s="1"/>
  <c r="K53" i="30"/>
  <c r="M53" i="30" s="1"/>
  <c r="AW53" i="30"/>
  <c r="AY53" i="30" s="1"/>
  <c r="AW54" i="30"/>
  <c r="AY54" i="30" s="1"/>
  <c r="AD54" i="30"/>
  <c r="AF54" i="30" s="1"/>
  <c r="AH54" i="30" s="1"/>
  <c r="AD53" i="30"/>
  <c r="AF53" i="30" s="1"/>
  <c r="AH53" i="30" s="1"/>
  <c r="AK54" i="30"/>
  <c r="AM54" i="30" s="1"/>
  <c r="BD54" i="30"/>
  <c r="BF54" i="30" s="1"/>
  <c r="K54" i="30"/>
  <c r="M54" i="30" s="1"/>
  <c r="BD53" i="30"/>
  <c r="BF53" i="30" s="1"/>
  <c r="D54" i="30"/>
  <c r="F54" i="30" s="1"/>
  <c r="D53" i="30"/>
  <c r="F53" i="30" s="1"/>
  <c r="G43" i="38"/>
  <c r="W27" i="34"/>
  <c r="AP4" i="30"/>
  <c r="AQ4" i="30" s="1"/>
  <c r="B58" i="22"/>
  <c r="C57" i="22"/>
  <c r="C56" i="22"/>
  <c r="Q27" i="34"/>
  <c r="K27" i="34"/>
  <c r="Z53" i="30"/>
  <c r="AB53" i="30" s="1"/>
  <c r="R54" i="30"/>
  <c r="T54" i="30" s="1"/>
  <c r="U54" i="30" s="1"/>
  <c r="Z54" i="30"/>
  <c r="AB54" i="30" s="1"/>
  <c r="BK53" i="30"/>
  <c r="BM53" i="30" s="1"/>
  <c r="BN53" i="30" s="1"/>
  <c r="AR53" i="30"/>
  <c r="AT53" i="30" s="1"/>
  <c r="AU53" i="30" s="1"/>
  <c r="V53" i="30"/>
  <c r="X53" i="30" s="1"/>
  <c r="Y53" i="30" s="1"/>
  <c r="BK54" i="30"/>
  <c r="BM54" i="30" s="1"/>
  <c r="BN54" i="30" s="1"/>
  <c r="V54" i="30"/>
  <c r="X54" i="30" s="1"/>
  <c r="Y54" i="30" s="1"/>
  <c r="AR54" i="30"/>
  <c r="AT54" i="30" s="1"/>
  <c r="AU54" i="30" s="1"/>
  <c r="R53" i="30"/>
  <c r="T53" i="30" s="1"/>
  <c r="U53" i="30" s="1"/>
  <c r="BI61" i="30"/>
  <c r="BJ61" i="30" s="1"/>
  <c r="BI53" i="30"/>
  <c r="BJ53" i="30" s="1"/>
  <c r="BI37" i="30"/>
  <c r="BJ37" i="30" s="1"/>
  <c r="BI21" i="30"/>
  <c r="BJ21" i="30" s="1"/>
  <c r="BI7" i="30"/>
  <c r="BJ7" i="30" s="1"/>
  <c r="BI46" i="30"/>
  <c r="BJ46" i="30" s="1"/>
  <c r="BI22" i="30"/>
  <c r="BJ22" i="30" s="1"/>
  <c r="BI51" i="30"/>
  <c r="BJ51" i="30" s="1"/>
  <c r="BI35" i="30"/>
  <c r="BJ35" i="30" s="1"/>
  <c r="BI19" i="30"/>
  <c r="BJ19" i="30" s="1"/>
  <c r="BI34" i="30"/>
  <c r="BJ34" i="30" s="1"/>
  <c r="BI56" i="30"/>
  <c r="BJ56" i="30" s="1"/>
  <c r="BI40" i="30"/>
  <c r="BJ40" i="30" s="1"/>
  <c r="BI24" i="30"/>
  <c r="BJ24" i="30" s="1"/>
  <c r="BI8" i="30"/>
  <c r="BJ8" i="30" s="1"/>
  <c r="AG29" i="34"/>
  <c r="BI59" i="30"/>
  <c r="BJ59" i="30" s="1"/>
  <c r="BI49" i="30"/>
  <c r="BJ49" i="30" s="1"/>
  <c r="BI33" i="30"/>
  <c r="BJ33" i="30" s="1"/>
  <c r="BI17" i="30"/>
  <c r="BJ17" i="30" s="1"/>
  <c r="BI60" i="30"/>
  <c r="BJ60" i="30" s="1"/>
  <c r="BI42" i="30"/>
  <c r="BJ42" i="30" s="1"/>
  <c r="BI13" i="30"/>
  <c r="BJ13" i="30" s="1"/>
  <c r="BI47" i="30"/>
  <c r="BJ47" i="30" s="1"/>
  <c r="BI31" i="30"/>
  <c r="BJ31" i="30" s="1"/>
  <c r="BI12" i="30"/>
  <c r="BJ12" i="30" s="1"/>
  <c r="BI26" i="30"/>
  <c r="BJ26" i="30" s="1"/>
  <c r="BI52" i="30"/>
  <c r="BJ52" i="30" s="1"/>
  <c r="BI36" i="30"/>
  <c r="BJ36" i="30" s="1"/>
  <c r="BI20" i="30"/>
  <c r="BJ20" i="30" s="1"/>
  <c r="BI4" i="30"/>
  <c r="BJ4" i="30" s="1"/>
  <c r="AG28" i="34"/>
  <c r="AI29" i="34"/>
  <c r="F37" i="34"/>
  <c r="BI65" i="30"/>
  <c r="BJ65" i="30" s="1"/>
  <c r="BI57" i="30"/>
  <c r="BJ57" i="30" s="1"/>
  <c r="BI45" i="30"/>
  <c r="BJ45" i="30" s="1"/>
  <c r="BI29" i="30"/>
  <c r="BJ29" i="30" s="1"/>
  <c r="BI16" i="30"/>
  <c r="BJ16" i="30" s="1"/>
  <c r="BI54" i="30"/>
  <c r="BJ54" i="30" s="1"/>
  <c r="BI38" i="30"/>
  <c r="BJ38" i="30" s="1"/>
  <c r="BI62" i="30"/>
  <c r="BJ62" i="30" s="1"/>
  <c r="BI43" i="30"/>
  <c r="BJ43" i="30" s="1"/>
  <c r="BI27" i="30"/>
  <c r="BJ27" i="30" s="1"/>
  <c r="BI11" i="30"/>
  <c r="BJ11" i="30" s="1"/>
  <c r="BI6" i="30"/>
  <c r="BJ6" i="30" s="1"/>
  <c r="BI48" i="30"/>
  <c r="BJ48" i="30" s="1"/>
  <c r="BI32" i="30"/>
  <c r="BJ32" i="30" s="1"/>
  <c r="BI10" i="30"/>
  <c r="BJ10" i="30" s="1"/>
  <c r="BI18" i="30"/>
  <c r="BJ18" i="30" s="1"/>
  <c r="BI63" i="30"/>
  <c r="BJ63" i="30" s="1"/>
  <c r="BI58" i="30"/>
  <c r="BJ58" i="30" s="1"/>
  <c r="BI41" i="30"/>
  <c r="BJ41" i="30" s="1"/>
  <c r="BI25" i="30"/>
  <c r="BJ25" i="30" s="1"/>
  <c r="BI15" i="30"/>
  <c r="BJ15" i="30" s="1"/>
  <c r="BI50" i="30"/>
  <c r="BJ50" i="30" s="1"/>
  <c r="BI30" i="30"/>
  <c r="BJ30" i="30" s="1"/>
  <c r="BI55" i="30"/>
  <c r="BJ55" i="30" s="1"/>
  <c r="BI39" i="30"/>
  <c r="BJ39" i="30" s="1"/>
  <c r="BI23" i="30"/>
  <c r="BJ23" i="30" s="1"/>
  <c r="BI5" i="30"/>
  <c r="BJ5" i="30" s="1"/>
  <c r="BI64" i="30"/>
  <c r="BJ64" i="30" s="1"/>
  <c r="BI44" i="30"/>
  <c r="BJ44" i="30" s="1"/>
  <c r="BI28" i="30"/>
  <c r="BJ28" i="30" s="1"/>
  <c r="BI9" i="30"/>
  <c r="BJ9" i="30" s="1"/>
  <c r="BI14" i="30"/>
  <c r="BJ14" i="30" s="1"/>
  <c r="AI28" i="34"/>
  <c r="AG6" i="34"/>
  <c r="AI6" i="34"/>
  <c r="AI7" i="34"/>
  <c r="AG7" i="34"/>
  <c r="AG8" i="34"/>
  <c r="AI8" i="34"/>
  <c r="AG9" i="34"/>
  <c r="AI9" i="34"/>
  <c r="AG10" i="34"/>
  <c r="AI10" i="34"/>
  <c r="AI11" i="34"/>
  <c r="AG11" i="34"/>
  <c r="AG12" i="34"/>
  <c r="AI12" i="34"/>
  <c r="AG13" i="34"/>
  <c r="AI13" i="34"/>
  <c r="AI14" i="34"/>
  <c r="AG14" i="34"/>
  <c r="AI15" i="34"/>
  <c r="AG15" i="34"/>
  <c r="AI16" i="34"/>
  <c r="AG16" i="34"/>
  <c r="AG17" i="34"/>
  <c r="AI17" i="34"/>
  <c r="AI18" i="34"/>
  <c r="AG18" i="34"/>
  <c r="AG19" i="34"/>
  <c r="AI19" i="34"/>
  <c r="AI20" i="34"/>
  <c r="AG20" i="34"/>
  <c r="AI21" i="34"/>
  <c r="AG21" i="34"/>
  <c r="AI22" i="34"/>
  <c r="AG22" i="34"/>
  <c r="AI23" i="34"/>
  <c r="AG23" i="34"/>
  <c r="AG24" i="34"/>
  <c r="AI24" i="34"/>
  <c r="AI25" i="34"/>
  <c r="AG25" i="34"/>
  <c r="AI26" i="34"/>
  <c r="AG26" i="34"/>
  <c r="G32" i="34"/>
  <c r="AI27" i="34"/>
  <c r="U27" i="34"/>
  <c r="B58" i="30"/>
  <c r="C56" i="30"/>
  <c r="C57" i="30"/>
  <c r="AN52" i="30"/>
  <c r="AO52" i="30"/>
  <c r="BG52" i="30"/>
  <c r="BH52" i="30"/>
  <c r="AZ52" i="30"/>
  <c r="BA52" i="30"/>
  <c r="H52" i="30"/>
  <c r="G52" i="30"/>
  <c r="AG27" i="34"/>
  <c r="AN50" i="30"/>
  <c r="AO50" i="30"/>
  <c r="AG50" i="30"/>
  <c r="AG52" i="30"/>
  <c r="AP65" i="30"/>
  <c r="AQ65" i="30" s="1"/>
  <c r="AP57" i="30"/>
  <c r="AQ57" i="30" s="1"/>
  <c r="AP49" i="30"/>
  <c r="AQ49" i="30" s="1"/>
  <c r="AP41" i="30"/>
  <c r="AQ41" i="30" s="1"/>
  <c r="AP33" i="30"/>
  <c r="AQ33" i="30" s="1"/>
  <c r="AP25" i="30"/>
  <c r="AQ25" i="30" s="1"/>
  <c r="AP17" i="30"/>
  <c r="AQ17" i="30" s="1"/>
  <c r="AP58" i="30"/>
  <c r="AQ58" i="30" s="1"/>
  <c r="AP50" i="30"/>
  <c r="AQ50" i="30" s="1"/>
  <c r="AP42" i="30"/>
  <c r="AQ42" i="30" s="1"/>
  <c r="AP34" i="30"/>
  <c r="AQ34" i="30" s="1"/>
  <c r="AP26" i="30"/>
  <c r="AQ26" i="30" s="1"/>
  <c r="AP18" i="30"/>
  <c r="AQ18" i="30" s="1"/>
  <c r="AP10" i="30"/>
  <c r="AQ10" i="30" s="1"/>
  <c r="AP7" i="30"/>
  <c r="AQ7" i="30" s="1"/>
  <c r="AP9" i="30"/>
  <c r="AQ9" i="30" s="1"/>
  <c r="W28" i="34"/>
  <c r="U29" i="34"/>
  <c r="AP63" i="30"/>
  <c r="AQ63" i="30" s="1"/>
  <c r="AP55" i="30"/>
  <c r="AQ55" i="30" s="1"/>
  <c r="AP47" i="30"/>
  <c r="AQ47" i="30" s="1"/>
  <c r="AP39" i="30"/>
  <c r="AQ39" i="30" s="1"/>
  <c r="AP31" i="30"/>
  <c r="AQ31" i="30" s="1"/>
  <c r="AP23" i="30"/>
  <c r="AQ23" i="30" s="1"/>
  <c r="AP64" i="30"/>
  <c r="AQ64" i="30" s="1"/>
  <c r="AP56" i="30"/>
  <c r="AQ56" i="30" s="1"/>
  <c r="AP48" i="30"/>
  <c r="AQ48" i="30" s="1"/>
  <c r="AP40" i="30"/>
  <c r="AQ40" i="30" s="1"/>
  <c r="AP32" i="30"/>
  <c r="AQ32" i="30" s="1"/>
  <c r="AP24" i="30"/>
  <c r="AQ24" i="30" s="1"/>
  <c r="AP16" i="30"/>
  <c r="AQ16" i="30" s="1"/>
  <c r="AP15" i="30"/>
  <c r="AQ15" i="30" s="1"/>
  <c r="AP11" i="30"/>
  <c r="AQ11" i="30" s="1"/>
  <c r="AP13" i="30"/>
  <c r="AQ13" i="30" s="1"/>
  <c r="W29" i="34"/>
  <c r="F35" i="34"/>
  <c r="AP61" i="30"/>
  <c r="AQ61" i="30" s="1"/>
  <c r="AP53" i="30"/>
  <c r="AQ53" i="30" s="1"/>
  <c r="AP45" i="30"/>
  <c r="AQ45" i="30" s="1"/>
  <c r="AP37" i="30"/>
  <c r="AQ37" i="30" s="1"/>
  <c r="AP29" i="30"/>
  <c r="AQ29" i="30" s="1"/>
  <c r="AP21" i="30"/>
  <c r="AQ21" i="30" s="1"/>
  <c r="AP62" i="30"/>
  <c r="AQ62" i="30" s="1"/>
  <c r="AP54" i="30"/>
  <c r="AQ54" i="30" s="1"/>
  <c r="AP46" i="30"/>
  <c r="AQ46" i="30" s="1"/>
  <c r="AP38" i="30"/>
  <c r="AQ38" i="30" s="1"/>
  <c r="AP30" i="30"/>
  <c r="AQ30" i="30" s="1"/>
  <c r="AP22" i="30"/>
  <c r="AQ22" i="30" s="1"/>
  <c r="AP14" i="30"/>
  <c r="AQ14" i="30" s="1"/>
  <c r="AP8" i="30"/>
  <c r="AQ8" i="30" s="1"/>
  <c r="AP6" i="30"/>
  <c r="AQ6" i="30" s="1"/>
  <c r="AP59" i="30"/>
  <c r="AQ59" i="30" s="1"/>
  <c r="AP51" i="30"/>
  <c r="AQ51" i="30" s="1"/>
  <c r="AP43" i="30"/>
  <c r="AQ43" i="30" s="1"/>
  <c r="AP35" i="30"/>
  <c r="AQ35" i="30" s="1"/>
  <c r="AP27" i="30"/>
  <c r="AQ27" i="30" s="1"/>
  <c r="AP19" i="30"/>
  <c r="AQ19" i="30" s="1"/>
  <c r="AP60" i="30"/>
  <c r="AQ60" i="30" s="1"/>
  <c r="AP52" i="30"/>
  <c r="AQ52" i="30" s="1"/>
  <c r="AP44" i="30"/>
  <c r="AQ44" i="30" s="1"/>
  <c r="AP36" i="30"/>
  <c r="AQ36" i="30" s="1"/>
  <c r="AP28" i="30"/>
  <c r="AQ28" i="30" s="1"/>
  <c r="AP20" i="30"/>
  <c r="AQ20" i="30" s="1"/>
  <c r="AP12" i="30"/>
  <c r="AQ12" i="30" s="1"/>
  <c r="AP5" i="30"/>
  <c r="AQ5" i="30" s="1"/>
  <c r="U28" i="34"/>
  <c r="U6" i="34"/>
  <c r="W6" i="34"/>
  <c r="W7" i="34"/>
  <c r="U7" i="34"/>
  <c r="W8" i="34"/>
  <c r="U8" i="34"/>
  <c r="W9" i="34"/>
  <c r="U9" i="34"/>
  <c r="U10" i="34"/>
  <c r="W10" i="34"/>
  <c r="W11" i="34"/>
  <c r="U11" i="34"/>
  <c r="U12" i="34"/>
  <c r="W12" i="34"/>
  <c r="W13" i="34"/>
  <c r="U13" i="34"/>
  <c r="U14" i="34"/>
  <c r="W14" i="34"/>
  <c r="W15" i="34"/>
  <c r="U15" i="34"/>
  <c r="U16" i="34"/>
  <c r="W16" i="34"/>
  <c r="W17" i="34"/>
  <c r="U17" i="34"/>
  <c r="W18" i="34"/>
  <c r="U18" i="34"/>
  <c r="U19" i="34"/>
  <c r="W19" i="34"/>
  <c r="U20" i="34"/>
  <c r="W20" i="34"/>
  <c r="W21" i="34"/>
  <c r="U21" i="34"/>
  <c r="W22" i="34"/>
  <c r="U22" i="34"/>
  <c r="W23" i="34"/>
  <c r="U23" i="34"/>
  <c r="U24" i="34"/>
  <c r="W24" i="34"/>
  <c r="W25" i="34"/>
  <c r="U25" i="34"/>
  <c r="W26" i="34"/>
  <c r="U26" i="34"/>
  <c r="BB64" i="30"/>
  <c r="BC64" i="30" s="1"/>
  <c r="BB56" i="30"/>
  <c r="BC56" i="30" s="1"/>
  <c r="BB48" i="30"/>
  <c r="BC48" i="30" s="1"/>
  <c r="BB40" i="30"/>
  <c r="BC40" i="30" s="1"/>
  <c r="BB32" i="30"/>
  <c r="BC32" i="30" s="1"/>
  <c r="BB24" i="30"/>
  <c r="BC24" i="30" s="1"/>
  <c r="BB65" i="30"/>
  <c r="BC65" i="30" s="1"/>
  <c r="BB57" i="30"/>
  <c r="BC57" i="30" s="1"/>
  <c r="BB49" i="30"/>
  <c r="BC49" i="30" s="1"/>
  <c r="BB41" i="30"/>
  <c r="BC41" i="30" s="1"/>
  <c r="BB33" i="30"/>
  <c r="BC33" i="30" s="1"/>
  <c r="BB25" i="30"/>
  <c r="BC25" i="30" s="1"/>
  <c r="BB17" i="30"/>
  <c r="BC17" i="30" s="1"/>
  <c r="BB9" i="30"/>
  <c r="BC9" i="30" s="1"/>
  <c r="BB8" i="30"/>
  <c r="BC8" i="30" s="1"/>
  <c r="BB7" i="30"/>
  <c r="BC7" i="30" s="1"/>
  <c r="AA28" i="34"/>
  <c r="BB62" i="30"/>
  <c r="BC62" i="30" s="1"/>
  <c r="BB54" i="30"/>
  <c r="BC54" i="30" s="1"/>
  <c r="BB46" i="30"/>
  <c r="BC46" i="30" s="1"/>
  <c r="BB38" i="30"/>
  <c r="BC38" i="30" s="1"/>
  <c r="BB30" i="30"/>
  <c r="BC30" i="30" s="1"/>
  <c r="BB22" i="30"/>
  <c r="BC22" i="30" s="1"/>
  <c r="BB63" i="30"/>
  <c r="BC63" i="30" s="1"/>
  <c r="BB55" i="30"/>
  <c r="BC55" i="30" s="1"/>
  <c r="BB47" i="30"/>
  <c r="BC47" i="30" s="1"/>
  <c r="BB39" i="30"/>
  <c r="BC39" i="30" s="1"/>
  <c r="BB31" i="30"/>
  <c r="BC31" i="30" s="1"/>
  <c r="BB23" i="30"/>
  <c r="BC23" i="30" s="1"/>
  <c r="BB15" i="30"/>
  <c r="BC15" i="30" s="1"/>
  <c r="BB14" i="30"/>
  <c r="BC14" i="30" s="1"/>
  <c r="BB4" i="30"/>
  <c r="BC4" i="30" s="1"/>
  <c r="BB12" i="30"/>
  <c r="BC12" i="30" s="1"/>
  <c r="AA29" i="34"/>
  <c r="F36" i="34"/>
  <c r="BB60" i="30"/>
  <c r="BC60" i="30" s="1"/>
  <c r="BB52" i="30"/>
  <c r="BC52" i="30" s="1"/>
  <c r="BB44" i="30"/>
  <c r="BC44" i="30" s="1"/>
  <c r="BB36" i="30"/>
  <c r="BC36" i="30" s="1"/>
  <c r="BB28" i="30"/>
  <c r="BC28" i="30" s="1"/>
  <c r="BB20" i="30"/>
  <c r="BC20" i="30" s="1"/>
  <c r="BB61" i="30"/>
  <c r="BC61" i="30" s="1"/>
  <c r="BB53" i="30"/>
  <c r="BC53" i="30" s="1"/>
  <c r="BB45" i="30"/>
  <c r="BC45" i="30" s="1"/>
  <c r="BB37" i="30"/>
  <c r="BC37" i="30" s="1"/>
  <c r="BB29" i="30"/>
  <c r="BC29" i="30" s="1"/>
  <c r="BB21" i="30"/>
  <c r="BC21" i="30" s="1"/>
  <c r="BB13" i="30"/>
  <c r="BC13" i="30" s="1"/>
  <c r="BB6" i="30"/>
  <c r="BC6" i="30" s="1"/>
  <c r="BB5" i="30"/>
  <c r="BC5" i="30" s="1"/>
  <c r="AC28" i="34"/>
  <c r="BB58" i="30"/>
  <c r="BC58" i="30" s="1"/>
  <c r="BB50" i="30"/>
  <c r="BC50" i="30" s="1"/>
  <c r="BB42" i="30"/>
  <c r="BC42" i="30" s="1"/>
  <c r="BB34" i="30"/>
  <c r="BC34" i="30" s="1"/>
  <c r="BB26" i="30"/>
  <c r="BC26" i="30" s="1"/>
  <c r="BB18" i="30"/>
  <c r="BC18" i="30" s="1"/>
  <c r="BB59" i="30"/>
  <c r="BC59" i="30" s="1"/>
  <c r="BB51" i="30"/>
  <c r="BC51" i="30" s="1"/>
  <c r="BB43" i="30"/>
  <c r="BC43" i="30" s="1"/>
  <c r="BB35" i="30"/>
  <c r="BC35" i="30" s="1"/>
  <c r="BB27" i="30"/>
  <c r="BC27" i="30" s="1"/>
  <c r="BB19" i="30"/>
  <c r="BC19" i="30" s="1"/>
  <c r="BB11" i="30"/>
  <c r="BC11" i="30" s="1"/>
  <c r="BB10" i="30"/>
  <c r="BC10" i="30" s="1"/>
  <c r="BB16" i="30"/>
  <c r="BC16" i="30" s="1"/>
  <c r="AC29" i="34"/>
  <c r="AA6" i="34"/>
  <c r="AC6" i="34"/>
  <c r="AA7" i="34"/>
  <c r="AC7" i="34"/>
  <c r="AA8" i="34"/>
  <c r="AC8" i="34"/>
  <c r="AC9" i="34"/>
  <c r="AA9" i="34"/>
  <c r="AA10" i="34"/>
  <c r="AC10" i="34"/>
  <c r="AC11" i="34"/>
  <c r="AA11" i="34"/>
  <c r="AC12" i="34"/>
  <c r="AA12" i="34"/>
  <c r="AC13" i="34"/>
  <c r="AA13" i="34"/>
  <c r="AC14" i="34"/>
  <c r="AA14" i="34"/>
  <c r="AA15" i="34"/>
  <c r="AC15" i="34"/>
  <c r="AC16" i="34"/>
  <c r="AA16" i="34"/>
  <c r="AA17" i="34"/>
  <c r="AC17" i="34"/>
  <c r="AC18" i="34"/>
  <c r="AA18" i="34"/>
  <c r="AC19" i="34"/>
  <c r="AA19" i="34"/>
  <c r="AC20" i="34"/>
  <c r="AA20" i="34"/>
  <c r="AA21" i="34"/>
  <c r="AC21" i="34"/>
  <c r="AA22" i="34"/>
  <c r="AC22" i="34"/>
  <c r="AC23" i="34"/>
  <c r="AA23" i="34"/>
  <c r="AA24" i="34"/>
  <c r="AC24" i="34"/>
  <c r="AC25" i="34"/>
  <c r="AA25" i="34"/>
  <c r="AC26" i="34"/>
  <c r="AA26" i="34"/>
  <c r="P65" i="30"/>
  <c r="Q65" i="30" s="1"/>
  <c r="P57" i="30"/>
  <c r="Q57" i="30" s="1"/>
  <c r="P49" i="30"/>
  <c r="Q49" i="30" s="1"/>
  <c r="P41" i="30"/>
  <c r="Q41" i="30" s="1"/>
  <c r="P33" i="30"/>
  <c r="Q33" i="30" s="1"/>
  <c r="P25" i="30"/>
  <c r="Q25" i="30" s="1"/>
  <c r="P64" i="30"/>
  <c r="Q64" i="30" s="1"/>
  <c r="P56" i="30"/>
  <c r="Q56" i="30" s="1"/>
  <c r="P48" i="30"/>
  <c r="Q48" i="30" s="1"/>
  <c r="P40" i="30"/>
  <c r="Q40" i="30" s="1"/>
  <c r="P32" i="30"/>
  <c r="Q32" i="30" s="1"/>
  <c r="P24" i="30"/>
  <c r="Q24" i="30" s="1"/>
  <c r="P16" i="30"/>
  <c r="Q16" i="30" s="1"/>
  <c r="P15" i="30"/>
  <c r="Q15" i="30" s="1"/>
  <c r="P6" i="30"/>
  <c r="Q6" i="30" s="1"/>
  <c r="P9" i="30"/>
  <c r="Q9" i="30" s="1"/>
  <c r="K28" i="34"/>
  <c r="F33" i="34"/>
  <c r="P63" i="30"/>
  <c r="Q63" i="30" s="1"/>
  <c r="P55" i="30"/>
  <c r="Q55" i="30" s="1"/>
  <c r="P47" i="30"/>
  <c r="Q47" i="30" s="1"/>
  <c r="P39" i="30"/>
  <c r="Q39" i="30" s="1"/>
  <c r="P31" i="30"/>
  <c r="Q31" i="30" s="1"/>
  <c r="P23" i="30"/>
  <c r="Q23" i="30" s="1"/>
  <c r="P62" i="30"/>
  <c r="Q62" i="30" s="1"/>
  <c r="P54" i="30"/>
  <c r="Q54" i="30" s="1"/>
  <c r="P46" i="30"/>
  <c r="Q46" i="30" s="1"/>
  <c r="P38" i="30"/>
  <c r="Q38" i="30" s="1"/>
  <c r="P30" i="30"/>
  <c r="Q30" i="30" s="1"/>
  <c r="P22" i="30"/>
  <c r="Q22" i="30" s="1"/>
  <c r="P14" i="30"/>
  <c r="Q14" i="30" s="1"/>
  <c r="P8" i="30"/>
  <c r="Q8" i="30" s="1"/>
  <c r="P5" i="30"/>
  <c r="Q5" i="30" s="1"/>
  <c r="P13" i="30"/>
  <c r="Q13" i="30" s="1"/>
  <c r="I29" i="34"/>
  <c r="K29" i="34"/>
  <c r="I28" i="34"/>
  <c r="P61" i="30"/>
  <c r="Q61" i="30" s="1"/>
  <c r="P53" i="30"/>
  <c r="Q53" i="30" s="1"/>
  <c r="P45" i="30"/>
  <c r="Q45" i="30" s="1"/>
  <c r="P37" i="30"/>
  <c r="Q37" i="30" s="1"/>
  <c r="P29" i="30"/>
  <c r="Q29" i="30" s="1"/>
  <c r="P21" i="30"/>
  <c r="Q21" i="30" s="1"/>
  <c r="P60" i="30"/>
  <c r="Q60" i="30" s="1"/>
  <c r="P52" i="30"/>
  <c r="Q52" i="30" s="1"/>
  <c r="P44" i="30"/>
  <c r="Q44" i="30" s="1"/>
  <c r="P36" i="30"/>
  <c r="Q36" i="30" s="1"/>
  <c r="P28" i="30"/>
  <c r="Q28" i="30" s="1"/>
  <c r="P20" i="30"/>
  <c r="Q20" i="30" s="1"/>
  <c r="P12" i="30"/>
  <c r="Q12" i="30" s="1"/>
  <c r="P4" i="30"/>
  <c r="Q4" i="30" s="1"/>
  <c r="P7" i="30"/>
  <c r="Q7" i="30" s="1"/>
  <c r="P59" i="30"/>
  <c r="Q59" i="30" s="1"/>
  <c r="P51" i="30"/>
  <c r="Q51" i="30" s="1"/>
  <c r="P43" i="30"/>
  <c r="Q43" i="30" s="1"/>
  <c r="P35" i="30"/>
  <c r="Q35" i="30" s="1"/>
  <c r="P27" i="30"/>
  <c r="Q27" i="30" s="1"/>
  <c r="P19" i="30"/>
  <c r="Q19" i="30" s="1"/>
  <c r="P58" i="30"/>
  <c r="Q58" i="30" s="1"/>
  <c r="P50" i="30"/>
  <c r="Q50" i="30" s="1"/>
  <c r="P42" i="30"/>
  <c r="Q42" i="30" s="1"/>
  <c r="P34" i="30"/>
  <c r="Q34" i="30" s="1"/>
  <c r="P26" i="30"/>
  <c r="Q26" i="30" s="1"/>
  <c r="P18" i="30"/>
  <c r="Q18" i="30" s="1"/>
  <c r="P10" i="30"/>
  <c r="Q10" i="30" s="1"/>
  <c r="P11" i="30"/>
  <c r="Q11" i="30" s="1"/>
  <c r="P17" i="30"/>
  <c r="Q17" i="30" s="1"/>
  <c r="K6" i="34"/>
  <c r="I6" i="34"/>
  <c r="I7" i="34"/>
  <c r="K7" i="34"/>
  <c r="K8" i="34"/>
  <c r="I8" i="34"/>
  <c r="I9" i="34"/>
  <c r="K9" i="34"/>
  <c r="I10" i="34"/>
  <c r="K10" i="34"/>
  <c r="I11" i="34"/>
  <c r="K11" i="34"/>
  <c r="I12" i="34"/>
  <c r="K12" i="34"/>
  <c r="I13" i="34"/>
  <c r="K13" i="34"/>
  <c r="K14" i="34"/>
  <c r="I14" i="34"/>
  <c r="K15" i="34"/>
  <c r="I15" i="34"/>
  <c r="I16" i="34"/>
  <c r="K16" i="34"/>
  <c r="I17" i="34"/>
  <c r="K17" i="34"/>
  <c r="K18" i="34"/>
  <c r="I18" i="34"/>
  <c r="K19" i="34"/>
  <c r="I19" i="34"/>
  <c r="I20" i="34"/>
  <c r="K20" i="34"/>
  <c r="I21" i="34"/>
  <c r="K21" i="34"/>
  <c r="I22" i="34"/>
  <c r="K22" i="34"/>
  <c r="K23" i="34"/>
  <c r="I23" i="34"/>
  <c r="I24" i="34"/>
  <c r="K24" i="34"/>
  <c r="K25" i="34"/>
  <c r="I25" i="34"/>
  <c r="I26" i="34"/>
  <c r="K26" i="34"/>
  <c r="AC27" i="34"/>
  <c r="BH50" i="30"/>
  <c r="BG50" i="30"/>
  <c r="N52" i="30"/>
  <c r="O52" i="30"/>
  <c r="AI65" i="30"/>
  <c r="AJ65" i="30" s="1"/>
  <c r="AI57" i="30"/>
  <c r="AJ57" i="30" s="1"/>
  <c r="AI47" i="30"/>
  <c r="AJ47" i="30" s="1"/>
  <c r="AI31" i="30"/>
  <c r="AJ31" i="30" s="1"/>
  <c r="AI14" i="30"/>
  <c r="AJ14" i="30" s="1"/>
  <c r="AI56" i="30"/>
  <c r="AJ56" i="30" s="1"/>
  <c r="AI40" i="30"/>
  <c r="AJ40" i="30" s="1"/>
  <c r="AI24" i="30"/>
  <c r="AJ24" i="30" s="1"/>
  <c r="AI53" i="30"/>
  <c r="AJ53" i="30" s="1"/>
  <c r="AI37" i="30"/>
  <c r="AJ37" i="30" s="1"/>
  <c r="AI21" i="30"/>
  <c r="AJ21" i="30" s="1"/>
  <c r="AI5" i="30"/>
  <c r="AJ5" i="30" s="1"/>
  <c r="AI46" i="30"/>
  <c r="AJ46" i="30" s="1"/>
  <c r="AI30" i="30"/>
  <c r="AJ30" i="30" s="1"/>
  <c r="AI16" i="30"/>
  <c r="AJ16" i="30" s="1"/>
  <c r="AI11" i="30"/>
  <c r="AJ11" i="30" s="1"/>
  <c r="F34" i="34"/>
  <c r="Q28" i="34"/>
  <c r="AI63" i="30"/>
  <c r="AJ63" i="30" s="1"/>
  <c r="AI62" i="30"/>
  <c r="AJ62" i="30" s="1"/>
  <c r="AI43" i="30"/>
  <c r="AJ43" i="30" s="1"/>
  <c r="AI27" i="30"/>
  <c r="AJ27" i="30" s="1"/>
  <c r="AI13" i="30"/>
  <c r="AJ13" i="30" s="1"/>
  <c r="AI52" i="30"/>
  <c r="AJ52" i="30" s="1"/>
  <c r="AI36" i="30"/>
  <c r="AJ36" i="30" s="1"/>
  <c r="AI20" i="30"/>
  <c r="AJ20" i="30" s="1"/>
  <c r="AI49" i="30"/>
  <c r="AJ49" i="30" s="1"/>
  <c r="AI33" i="30"/>
  <c r="AJ33" i="30" s="1"/>
  <c r="AI17" i="30"/>
  <c r="AJ17" i="30" s="1"/>
  <c r="AI60" i="30"/>
  <c r="AJ60" i="30" s="1"/>
  <c r="AI42" i="30"/>
  <c r="AJ42" i="30" s="1"/>
  <c r="AI26" i="30"/>
  <c r="AJ26" i="30" s="1"/>
  <c r="AI15" i="30"/>
  <c r="AJ15" i="30" s="1"/>
  <c r="AI6" i="30"/>
  <c r="AJ6" i="30" s="1"/>
  <c r="O29" i="34"/>
  <c r="Q29" i="34"/>
  <c r="AI61" i="30"/>
  <c r="AJ61" i="30" s="1"/>
  <c r="AI55" i="30"/>
  <c r="AJ55" i="30" s="1"/>
  <c r="AI39" i="30"/>
  <c r="AJ39" i="30" s="1"/>
  <c r="AI23" i="30"/>
  <c r="AJ23" i="30" s="1"/>
  <c r="AI7" i="30"/>
  <c r="AJ7" i="30" s="1"/>
  <c r="AI48" i="30"/>
  <c r="AJ48" i="30" s="1"/>
  <c r="AI32" i="30"/>
  <c r="AJ32" i="30" s="1"/>
  <c r="AI12" i="30"/>
  <c r="AJ12" i="30" s="1"/>
  <c r="AI45" i="30"/>
  <c r="AJ45" i="30" s="1"/>
  <c r="AI29" i="30"/>
  <c r="AJ29" i="30" s="1"/>
  <c r="AI10" i="30"/>
  <c r="AJ10" i="30" s="1"/>
  <c r="AI54" i="30"/>
  <c r="AJ54" i="30" s="1"/>
  <c r="AI38" i="30"/>
  <c r="AJ38" i="30" s="1"/>
  <c r="AI22" i="30"/>
  <c r="AJ22" i="30" s="1"/>
  <c r="AI8" i="30"/>
  <c r="AJ8" i="30" s="1"/>
  <c r="AI59" i="30"/>
  <c r="AJ59" i="30" s="1"/>
  <c r="AI51" i="30"/>
  <c r="AJ51" i="30" s="1"/>
  <c r="AI35" i="30"/>
  <c r="AJ35" i="30" s="1"/>
  <c r="AI19" i="30"/>
  <c r="AJ19" i="30" s="1"/>
  <c r="AI64" i="30"/>
  <c r="AJ64" i="30" s="1"/>
  <c r="AI44" i="30"/>
  <c r="AJ44" i="30" s="1"/>
  <c r="AI28" i="30"/>
  <c r="AJ28" i="30" s="1"/>
  <c r="AI58" i="30"/>
  <c r="AJ58" i="30" s="1"/>
  <c r="AI41" i="30"/>
  <c r="AJ41" i="30" s="1"/>
  <c r="AI25" i="30"/>
  <c r="AJ25" i="30" s="1"/>
  <c r="AI9" i="30"/>
  <c r="AJ9" i="30" s="1"/>
  <c r="AI50" i="30"/>
  <c r="AJ50" i="30" s="1"/>
  <c r="AI34" i="30"/>
  <c r="AJ34" i="30" s="1"/>
  <c r="AI18" i="30"/>
  <c r="AJ18" i="30" s="1"/>
  <c r="AI4" i="30"/>
  <c r="AJ4" i="30" s="1"/>
  <c r="O28" i="34"/>
  <c r="Q6" i="34"/>
  <c r="O6" i="34"/>
  <c r="O7" i="34"/>
  <c r="Q7" i="34"/>
  <c r="O8" i="34"/>
  <c r="Q8" i="34"/>
  <c r="Q9" i="34"/>
  <c r="O9" i="34"/>
  <c r="Q10" i="34"/>
  <c r="O10" i="34"/>
  <c r="O11" i="34"/>
  <c r="Q11" i="34"/>
  <c r="Q12" i="34"/>
  <c r="O12" i="34"/>
  <c r="O13" i="34"/>
  <c r="Q13" i="34"/>
  <c r="Q14" i="34"/>
  <c r="O14" i="34"/>
  <c r="Q15" i="34"/>
  <c r="O15" i="34"/>
  <c r="Q16" i="34"/>
  <c r="O16" i="34"/>
  <c r="Q17" i="34"/>
  <c r="O17" i="34"/>
  <c r="Q18" i="34"/>
  <c r="O18" i="34"/>
  <c r="Q19" i="34"/>
  <c r="O19" i="34"/>
  <c r="Q20" i="34"/>
  <c r="O20" i="34"/>
  <c r="O21" i="34"/>
  <c r="Q21" i="34"/>
  <c r="Q22" i="34"/>
  <c r="O22" i="34"/>
  <c r="O23" i="34"/>
  <c r="Q23" i="34"/>
  <c r="Q24" i="34"/>
  <c r="O24" i="34"/>
  <c r="Q25" i="34"/>
  <c r="O25" i="34"/>
  <c r="O26" i="34"/>
  <c r="Q26" i="34"/>
  <c r="AA27" i="34"/>
  <c r="N50" i="30"/>
  <c r="O50" i="30"/>
  <c r="G50" i="30"/>
  <c r="H50" i="30"/>
  <c r="AZ50" i="30"/>
  <c r="BA50" i="30"/>
  <c r="D40" i="11"/>
  <c r="B41" i="11"/>
  <c r="C41" i="11" s="1"/>
  <c r="L40" i="11"/>
  <c r="AB40" i="11"/>
  <c r="I41" i="11"/>
  <c r="P40" i="11"/>
  <c r="J40" i="11"/>
  <c r="H40" i="11"/>
  <c r="S41" i="11"/>
  <c r="E41" i="11"/>
  <c r="T40" i="11"/>
  <c r="N40" i="11"/>
  <c r="X40" i="11"/>
  <c r="W41" i="11"/>
  <c r="O41" i="11"/>
  <c r="Z40" i="11"/>
  <c r="AC41" i="11" a="1"/>
  <c r="G41" i="11"/>
  <c r="Q41" i="11"/>
  <c r="AA41" i="11"/>
  <c r="F40" i="11"/>
  <c r="M41" i="11"/>
  <c r="R40" i="11"/>
  <c r="K41" i="11"/>
  <c r="AD40" i="11" a="1"/>
  <c r="Y41" i="11"/>
  <c r="BV30" i="45" l="1"/>
  <c r="BU30" i="45"/>
  <c r="BQ30" i="45"/>
  <c r="BR30" i="45"/>
  <c r="BN30" i="45"/>
  <c r="BM30" i="45"/>
  <c r="BJ30" i="45"/>
  <c r="BI30" i="45"/>
  <c r="BF30" i="45"/>
  <c r="BE30" i="45"/>
  <c r="BB30" i="45"/>
  <c r="BA30" i="45"/>
  <c r="AW30" i="45"/>
  <c r="AX30" i="45"/>
  <c r="AS30" i="45"/>
  <c r="AT30" i="45"/>
  <c r="AO30" i="45"/>
  <c r="AP30" i="45"/>
  <c r="AJ31" i="45"/>
  <c r="AI31" i="45"/>
  <c r="AE31" i="45"/>
  <c r="AF31" i="45"/>
  <c r="AB31" i="45"/>
  <c r="AA31" i="45"/>
  <c r="W31" i="45"/>
  <c r="X31" i="45"/>
  <c r="S31" i="45"/>
  <c r="O31" i="45"/>
  <c r="P31" i="45"/>
  <c r="K31" i="45"/>
  <c r="L31" i="45"/>
  <c r="G31" i="45"/>
  <c r="H31" i="45"/>
  <c r="D31" i="45"/>
  <c r="C31" i="45"/>
  <c r="AN51" i="30"/>
  <c r="BO53" i="30"/>
  <c r="BG51" i="30"/>
  <c r="AG51" i="30"/>
  <c r="N51" i="30"/>
  <c r="G51" i="30"/>
  <c r="AZ51" i="30"/>
  <c r="BO54" i="30"/>
  <c r="BR51" i="30"/>
  <c r="BS51" i="30" s="1"/>
  <c r="BR53" i="30"/>
  <c r="BS53" i="30" s="1"/>
  <c r="BR54" i="30"/>
  <c r="BS54" i="30" s="1"/>
  <c r="BO56" i="30"/>
  <c r="AC54" i="30"/>
  <c r="AC53" i="30"/>
  <c r="BO55" i="30"/>
  <c r="BS42" i="30"/>
  <c r="BP55" i="30" s="1"/>
  <c r="AK56" i="30"/>
  <c r="AM56" i="30" s="1"/>
  <c r="AW55" i="30"/>
  <c r="AY55" i="30" s="1"/>
  <c r="K56" i="30"/>
  <c r="M56" i="30" s="1"/>
  <c r="AK55" i="30"/>
  <c r="AM55" i="30" s="1"/>
  <c r="BD56" i="30"/>
  <c r="BF56" i="30" s="1"/>
  <c r="AD56" i="30"/>
  <c r="AF56" i="30" s="1"/>
  <c r="AH56" i="30" s="1"/>
  <c r="AD55" i="30"/>
  <c r="AF55" i="30" s="1"/>
  <c r="AH55" i="30" s="1"/>
  <c r="BD55" i="30"/>
  <c r="BF55" i="30" s="1"/>
  <c r="K55" i="30"/>
  <c r="M55" i="30" s="1"/>
  <c r="AW56" i="30"/>
  <c r="AY56" i="30" s="1"/>
  <c r="D55" i="30"/>
  <c r="F55" i="30" s="1"/>
  <c r="D56" i="30"/>
  <c r="F56" i="30" s="1"/>
  <c r="G47" i="38"/>
  <c r="G46" i="38"/>
  <c r="C58" i="22"/>
  <c r="B60" i="22"/>
  <c r="C59" i="22"/>
  <c r="F43" i="38"/>
  <c r="F46" i="38" s="1"/>
  <c r="R55" i="30"/>
  <c r="T55" i="30" s="1"/>
  <c r="U55" i="30" s="1"/>
  <c r="AR55" i="30"/>
  <c r="AT55" i="30" s="1"/>
  <c r="AU55" i="30" s="1"/>
  <c r="AR56" i="30"/>
  <c r="AT56" i="30" s="1"/>
  <c r="AU56" i="30" s="1"/>
  <c r="BK56" i="30"/>
  <c r="BM56" i="30" s="1"/>
  <c r="BN56" i="30" s="1"/>
  <c r="R56" i="30"/>
  <c r="T56" i="30" s="1"/>
  <c r="U56" i="30" s="1"/>
  <c r="Z56" i="30"/>
  <c r="AB56" i="30" s="1"/>
  <c r="V56" i="30"/>
  <c r="X56" i="30" s="1"/>
  <c r="Y56" i="30" s="1"/>
  <c r="Z55" i="30"/>
  <c r="AB55" i="30" s="1"/>
  <c r="V55" i="30"/>
  <c r="X55" i="30" s="1"/>
  <c r="Y55" i="30" s="1"/>
  <c r="BK55" i="30"/>
  <c r="BM55" i="30" s="1"/>
  <c r="BN55" i="30" s="1"/>
  <c r="G34" i="34"/>
  <c r="B60" i="30"/>
  <c r="C59" i="30"/>
  <c r="C58" i="30"/>
  <c r="G37" i="34"/>
  <c r="AN54" i="30"/>
  <c r="AO54" i="30"/>
  <c r="N53" i="30"/>
  <c r="O53" i="30"/>
  <c r="BG53" i="30"/>
  <c r="BH53" i="30"/>
  <c r="G33" i="34"/>
  <c r="G36" i="34"/>
  <c r="G35" i="34"/>
  <c r="H53" i="30"/>
  <c r="G53" i="30"/>
  <c r="N54" i="30"/>
  <c r="O54" i="30"/>
  <c r="BH54" i="30"/>
  <c r="BG54" i="30"/>
  <c r="AG54" i="30"/>
  <c r="AG53" i="30"/>
  <c r="AZ54" i="30"/>
  <c r="BA54" i="30"/>
  <c r="AN53" i="30"/>
  <c r="AO53" i="30"/>
  <c r="BA53" i="30"/>
  <c r="AZ53" i="30"/>
  <c r="H54" i="30"/>
  <c r="G54" i="30"/>
  <c r="D41" i="11"/>
  <c r="B42" i="11"/>
  <c r="R41" i="11"/>
  <c r="H41" i="11"/>
  <c r="T41" i="11"/>
  <c r="X41" i="11"/>
  <c r="AD41" i="11" a="1"/>
  <c r="P41" i="11"/>
  <c r="J41" i="11"/>
  <c r="AB41" i="11"/>
  <c r="N41" i="11"/>
  <c r="Z41" i="11"/>
  <c r="F41" i="11"/>
  <c r="L41" i="11"/>
  <c r="BV31" i="45" l="1"/>
  <c r="BU31" i="45"/>
  <c r="BQ31" i="45"/>
  <c r="BR31" i="45"/>
  <c r="BM31" i="45"/>
  <c r="BN31" i="45"/>
  <c r="BI31" i="45"/>
  <c r="BJ31" i="45"/>
  <c r="BF31" i="45"/>
  <c r="BE31" i="45"/>
  <c r="BB31" i="45"/>
  <c r="BA31" i="45"/>
  <c r="AW31" i="45"/>
  <c r="AX31" i="45"/>
  <c r="AT31" i="45"/>
  <c r="AS31" i="45"/>
  <c r="AO31" i="45"/>
  <c r="AP31" i="45"/>
  <c r="C42" i="11"/>
  <c r="BR55" i="30"/>
  <c r="BS55" i="30" s="1"/>
  <c r="AC55" i="30"/>
  <c r="AC56" i="30"/>
  <c r="BO58" i="30"/>
  <c r="BP56" i="30"/>
  <c r="BS44" i="30"/>
  <c r="BO57" i="30"/>
  <c r="BS43" i="30"/>
  <c r="BP57" i="30" s="1"/>
  <c r="K57" i="30"/>
  <c r="M57" i="30" s="1"/>
  <c r="BD57" i="30"/>
  <c r="BF57" i="30" s="1"/>
  <c r="AK57" i="30"/>
  <c r="AM57" i="30" s="1"/>
  <c r="AD57" i="30"/>
  <c r="AF57" i="30" s="1"/>
  <c r="AH57" i="30" s="1"/>
  <c r="AW57" i="30"/>
  <c r="AY57" i="30" s="1"/>
  <c r="D57" i="30"/>
  <c r="F57" i="30" s="1"/>
  <c r="C61" i="22"/>
  <c r="C60" i="22"/>
  <c r="B62" i="22"/>
  <c r="F47" i="38"/>
  <c r="V57" i="30"/>
  <c r="X57" i="30" s="1"/>
  <c r="Y57" i="30" s="1"/>
  <c r="BK57" i="30"/>
  <c r="BM57" i="30" s="1"/>
  <c r="BN57" i="30" s="1"/>
  <c r="R57" i="30"/>
  <c r="T57" i="30" s="1"/>
  <c r="U57" i="30" s="1"/>
  <c r="AR57" i="30"/>
  <c r="AT57" i="30" s="1"/>
  <c r="AU57" i="30" s="1"/>
  <c r="Z57" i="30"/>
  <c r="AB57" i="30" s="1"/>
  <c r="AG56" i="30"/>
  <c r="O55" i="30"/>
  <c r="N55" i="30"/>
  <c r="H55" i="30"/>
  <c r="G55" i="30"/>
  <c r="AN55" i="30"/>
  <c r="AO55" i="30"/>
  <c r="C61" i="30"/>
  <c r="B62" i="30"/>
  <c r="B64" i="30" s="1"/>
  <c r="B65" i="30" s="1"/>
  <c r="C60" i="30"/>
  <c r="BG55" i="30"/>
  <c r="BH55" i="30"/>
  <c r="BG56" i="30"/>
  <c r="BH56" i="30"/>
  <c r="N56" i="30"/>
  <c r="O56" i="30"/>
  <c r="BA56" i="30"/>
  <c r="AZ56" i="30"/>
  <c r="G56" i="30"/>
  <c r="H56" i="30"/>
  <c r="AG55" i="30"/>
  <c r="AO56" i="30"/>
  <c r="AN56" i="30"/>
  <c r="BA55" i="30"/>
  <c r="AZ55" i="30"/>
  <c r="B43" i="11"/>
  <c r="C43" i="11" s="1"/>
  <c r="M42" i="11"/>
  <c r="G42" i="11"/>
  <c r="AA42" i="11"/>
  <c r="W42" i="11"/>
  <c r="Q43" i="11"/>
  <c r="E43" i="11"/>
  <c r="AC42" i="11" a="1"/>
  <c r="O42" i="11"/>
  <c r="K42" i="11"/>
  <c r="Y43" i="11"/>
  <c r="K43" i="11"/>
  <c r="E42" i="11"/>
  <c r="Y42" i="11"/>
  <c r="Q42" i="11"/>
  <c r="M43" i="11"/>
  <c r="I42" i="11"/>
  <c r="S42" i="11"/>
  <c r="I43" i="11"/>
  <c r="W43" i="11"/>
  <c r="O43" i="11"/>
  <c r="AA43" i="11"/>
  <c r="G43" i="11"/>
  <c r="S43" i="11"/>
  <c r="AI32" i="45" l="1"/>
  <c r="AJ32" i="45"/>
  <c r="AI33" i="45"/>
  <c r="AJ33" i="45"/>
  <c r="AE32" i="45"/>
  <c r="AF32" i="45"/>
  <c r="AE33" i="45"/>
  <c r="AF33" i="45"/>
  <c r="AB32" i="45"/>
  <c r="AA32" i="45"/>
  <c r="AA33" i="45"/>
  <c r="AB33" i="45"/>
  <c r="W32" i="45"/>
  <c r="X32" i="45"/>
  <c r="W33" i="45"/>
  <c r="X33" i="45"/>
  <c r="S33" i="45"/>
  <c r="S32" i="45"/>
  <c r="O33" i="45"/>
  <c r="P33" i="45"/>
  <c r="O32" i="45"/>
  <c r="P32" i="45"/>
  <c r="K32" i="45"/>
  <c r="L32" i="45"/>
  <c r="K33" i="45"/>
  <c r="L33" i="45"/>
  <c r="G32" i="45"/>
  <c r="H32" i="45"/>
  <c r="H33" i="45"/>
  <c r="G33" i="45"/>
  <c r="D33" i="45"/>
  <c r="D32" i="45"/>
  <c r="C33" i="45"/>
  <c r="C32" i="45"/>
  <c r="D42" i="11"/>
  <c r="BP58" i="30" s="1"/>
  <c r="BR58" i="30" s="1"/>
  <c r="BS58" i="30" s="1"/>
  <c r="BR57" i="30"/>
  <c r="BS57" i="30" s="1"/>
  <c r="BR56" i="30"/>
  <c r="BS56" i="30" s="1"/>
  <c r="AC57" i="30"/>
  <c r="BO59" i="30"/>
  <c r="BS45" i="30"/>
  <c r="AW58" i="30"/>
  <c r="AY58" i="30" s="1"/>
  <c r="K58" i="30"/>
  <c r="M58" i="30" s="1"/>
  <c r="AK58" i="30"/>
  <c r="AM58" i="30" s="1"/>
  <c r="BD58" i="30"/>
  <c r="BF58" i="30" s="1"/>
  <c r="AD58" i="30"/>
  <c r="AF58" i="30" s="1"/>
  <c r="AH58" i="30" s="1"/>
  <c r="AD60" i="30"/>
  <c r="AF60" i="30" s="1"/>
  <c r="AH60" i="30" s="1"/>
  <c r="AK60" i="30"/>
  <c r="AM60" i="30" s="1"/>
  <c r="K60" i="30"/>
  <c r="M60" i="30" s="1"/>
  <c r="BD60" i="30"/>
  <c r="BF60" i="30" s="1"/>
  <c r="AW60" i="30"/>
  <c r="AY60" i="30" s="1"/>
  <c r="D60" i="30"/>
  <c r="F60" i="30" s="1"/>
  <c r="B64" i="22"/>
  <c r="C63" i="22"/>
  <c r="C62" i="22"/>
  <c r="V58" i="30"/>
  <c r="X58" i="30" s="1"/>
  <c r="Y58" i="30" s="1"/>
  <c r="AR60" i="30"/>
  <c r="AT60" i="30" s="1"/>
  <c r="AU60" i="30" s="1"/>
  <c r="BK58" i="30"/>
  <c r="BM58" i="30" s="1"/>
  <c r="BN58" i="30" s="1"/>
  <c r="R60" i="30"/>
  <c r="T60" i="30" s="1"/>
  <c r="U60" i="30" s="1"/>
  <c r="AR58" i="30"/>
  <c r="AT58" i="30" s="1"/>
  <c r="AU58" i="30" s="1"/>
  <c r="BK60" i="30"/>
  <c r="BM60" i="30" s="1"/>
  <c r="BN60" i="30" s="1"/>
  <c r="R58" i="30"/>
  <c r="T58" i="30" s="1"/>
  <c r="U58" i="30" s="1"/>
  <c r="V60" i="30"/>
  <c r="X60" i="30" s="1"/>
  <c r="Y60" i="30" s="1"/>
  <c r="Z60" i="30"/>
  <c r="AB60" i="30" s="1"/>
  <c r="Z58" i="30"/>
  <c r="AB58" i="30" s="1"/>
  <c r="AO57" i="30"/>
  <c r="AN57" i="30"/>
  <c r="C63" i="30"/>
  <c r="C62" i="30"/>
  <c r="H57" i="30"/>
  <c r="G57" i="30"/>
  <c r="O57" i="30"/>
  <c r="N57" i="30"/>
  <c r="BH57" i="30"/>
  <c r="BG57" i="30"/>
  <c r="BA57" i="30"/>
  <c r="AZ57" i="30"/>
  <c r="AG57" i="30"/>
  <c r="D43" i="11"/>
  <c r="B44" i="11"/>
  <c r="N42" i="11"/>
  <c r="L42" i="11"/>
  <c r="L43" i="11"/>
  <c r="R42" i="11"/>
  <c r="F42" i="11"/>
  <c r="AD43" i="11" a="1"/>
  <c r="AB43" i="11"/>
  <c r="P43" i="11"/>
  <c r="X42" i="11"/>
  <c r="T43" i="11"/>
  <c r="AB42" i="11"/>
  <c r="Z43" i="11"/>
  <c r="AC43" i="11" a="1"/>
  <c r="H42" i="11"/>
  <c r="N43" i="11"/>
  <c r="J42" i="11"/>
  <c r="X43" i="11"/>
  <c r="P42" i="11"/>
  <c r="H43" i="11"/>
  <c r="J43" i="11"/>
  <c r="R43" i="11"/>
  <c r="F43" i="11"/>
  <c r="T42" i="11"/>
  <c r="AD42" i="11" a="1"/>
  <c r="Z42" i="11"/>
  <c r="BU32" i="45" l="1"/>
  <c r="BV32" i="45"/>
  <c r="BU33" i="45"/>
  <c r="BV33" i="45"/>
  <c r="BQ32" i="45"/>
  <c r="BR32" i="45"/>
  <c r="BR33" i="45"/>
  <c r="BQ33" i="45"/>
  <c r="BM32" i="45"/>
  <c r="BN32" i="45"/>
  <c r="BM33" i="45"/>
  <c r="BN33" i="45"/>
  <c r="BJ33" i="45"/>
  <c r="BI33" i="45"/>
  <c r="BI32" i="45"/>
  <c r="BJ32" i="45"/>
  <c r="BE32" i="45"/>
  <c r="BF32" i="45"/>
  <c r="BE33" i="45"/>
  <c r="BF33" i="45"/>
  <c r="BB32" i="45"/>
  <c r="BA32" i="45"/>
  <c r="BA33" i="45"/>
  <c r="BB33" i="45"/>
  <c r="AW33" i="45"/>
  <c r="AX33" i="45"/>
  <c r="AW32" i="45"/>
  <c r="AX32" i="45"/>
  <c r="AS32" i="45"/>
  <c r="AT32" i="45"/>
  <c r="AS33" i="45"/>
  <c r="AT33" i="45"/>
  <c r="AO33" i="45"/>
  <c r="AP33" i="45"/>
  <c r="AP32" i="45"/>
  <c r="AO32" i="45"/>
  <c r="AR59" i="30"/>
  <c r="AT59" i="30" s="1"/>
  <c r="AU59" i="30" s="1"/>
  <c r="K59" i="30"/>
  <c r="M59" i="30" s="1"/>
  <c r="O59" i="30" s="1"/>
  <c r="AK59" i="30"/>
  <c r="AM59" i="30" s="1"/>
  <c r="AN59" i="30" s="1"/>
  <c r="D59" i="30"/>
  <c r="F59" i="30" s="1"/>
  <c r="G59" i="30" s="1"/>
  <c r="D58" i="30"/>
  <c r="F58" i="30" s="1"/>
  <c r="G58" i="30" s="1"/>
  <c r="V59" i="30"/>
  <c r="X59" i="30" s="1"/>
  <c r="Y59" i="30" s="1"/>
  <c r="AD59" i="30"/>
  <c r="AF59" i="30" s="1"/>
  <c r="AH59" i="30" s="1"/>
  <c r="BD59" i="30"/>
  <c r="BF59" i="30" s="1"/>
  <c r="BG59" i="30" s="1"/>
  <c r="BK59" i="30"/>
  <c r="BM59" i="30" s="1"/>
  <c r="BN59" i="30" s="1"/>
  <c r="Z59" i="30"/>
  <c r="AB59" i="30" s="1"/>
  <c r="AC59" i="30" s="1"/>
  <c r="AW59" i="30"/>
  <c r="AY59" i="30" s="1"/>
  <c r="AZ59" i="30" s="1"/>
  <c r="R59" i="30"/>
  <c r="T59" i="30" s="1"/>
  <c r="U59" i="30" s="1"/>
  <c r="BP60" i="30" s="1"/>
  <c r="BR60" i="30" s="1"/>
  <c r="BS60" i="30" s="1"/>
  <c r="BP59" i="30" s="1"/>
  <c r="BR59" i="30" s="1"/>
  <c r="BS59" i="30" s="1"/>
  <c r="BO60" i="30"/>
  <c r="C44" i="11"/>
  <c r="AC58" i="30"/>
  <c r="AC60" i="30"/>
  <c r="BD61" i="30"/>
  <c r="BF61" i="30" s="1"/>
  <c r="AK61" i="30"/>
  <c r="AM61" i="30" s="1"/>
  <c r="AD61" i="30"/>
  <c r="AF61" i="30" s="1"/>
  <c r="AH61" i="30" s="1"/>
  <c r="K61" i="30"/>
  <c r="M61" i="30" s="1"/>
  <c r="AW61" i="30"/>
  <c r="AY61" i="30" s="1"/>
  <c r="D61" i="30"/>
  <c r="F61" i="30" s="1"/>
  <c r="C65" i="22"/>
  <c r="B65" i="22"/>
  <c r="C64" i="22"/>
  <c r="V61" i="30"/>
  <c r="X61" i="30" s="1"/>
  <c r="Y61" i="30" s="1"/>
  <c r="Z61" i="30"/>
  <c r="AB61" i="30" s="1"/>
  <c r="R61" i="30"/>
  <c r="T61" i="30" s="1"/>
  <c r="U61" i="30" s="1"/>
  <c r="AR61" i="30"/>
  <c r="AT61" i="30" s="1"/>
  <c r="AU61" i="30" s="1"/>
  <c r="BK61" i="30"/>
  <c r="BM61" i="30" s="1"/>
  <c r="BN61" i="30" s="1"/>
  <c r="C64" i="30"/>
  <c r="C65" i="30"/>
  <c r="G60" i="30"/>
  <c r="H60" i="30"/>
  <c r="BG60" i="30"/>
  <c r="BH60" i="30"/>
  <c r="BG58" i="30"/>
  <c r="BH58" i="30"/>
  <c r="AG60" i="30"/>
  <c r="N58" i="30"/>
  <c r="O58" i="30"/>
  <c r="AG58" i="30"/>
  <c r="AZ60" i="30"/>
  <c r="BA60" i="30"/>
  <c r="O60" i="30"/>
  <c r="N60" i="30"/>
  <c r="AN58" i="30"/>
  <c r="AO58" i="30"/>
  <c r="BA58" i="30"/>
  <c r="AZ58" i="30"/>
  <c r="AN60" i="30"/>
  <c r="AO60" i="30"/>
  <c r="B45" i="11"/>
  <c r="I44" i="11"/>
  <c r="E44" i="11"/>
  <c r="W44" i="11"/>
  <c r="S44" i="11"/>
  <c r="Q44" i="11"/>
  <c r="K44" i="11"/>
  <c r="AA44" i="11"/>
  <c r="M44" i="11"/>
  <c r="Y44" i="11"/>
  <c r="AC44" i="11" a="1"/>
  <c r="O44" i="11"/>
  <c r="G44" i="11"/>
  <c r="H59" i="30" l="1"/>
  <c r="AI34" i="45"/>
  <c r="AJ34" i="45"/>
  <c r="AF34" i="45"/>
  <c r="AE34" i="45"/>
  <c r="AA34" i="45"/>
  <c r="AB34" i="45"/>
  <c r="W34" i="45"/>
  <c r="X34" i="45"/>
  <c r="S34" i="45"/>
  <c r="O34" i="45"/>
  <c r="P34" i="45"/>
  <c r="K34" i="45"/>
  <c r="L34" i="45"/>
  <c r="G34" i="45"/>
  <c r="H34" i="45"/>
  <c r="D34" i="45"/>
  <c r="C34" i="45"/>
  <c r="N59" i="30"/>
  <c r="BA59" i="30"/>
  <c r="AG59" i="30"/>
  <c r="AO59" i="30"/>
  <c r="BH59" i="30"/>
  <c r="BO61" i="30"/>
  <c r="BO62" i="30"/>
  <c r="H58" i="30"/>
  <c r="D44" i="11"/>
  <c r="BO64" i="30" s="1"/>
  <c r="AC61" i="30"/>
  <c r="BO63" i="30"/>
  <c r="BP61" i="30"/>
  <c r="BS46" i="30"/>
  <c r="AK62" i="30"/>
  <c r="AM62" i="30" s="1"/>
  <c r="K62" i="30"/>
  <c r="M62" i="30" s="1"/>
  <c r="AD62" i="30"/>
  <c r="AF62" i="30" s="1"/>
  <c r="AH62" i="30" s="1"/>
  <c r="BD62" i="30"/>
  <c r="BF62" i="30" s="1"/>
  <c r="AW62" i="30"/>
  <c r="AY62" i="30" s="1"/>
  <c r="D62" i="30"/>
  <c r="F62" i="30" s="1"/>
  <c r="C45" i="11"/>
  <c r="AR62" i="30"/>
  <c r="AT62" i="30" s="1"/>
  <c r="AU62" i="30" s="1"/>
  <c r="Z62" i="30"/>
  <c r="AB62" i="30" s="1"/>
  <c r="R62" i="30"/>
  <c r="T62" i="30" s="1"/>
  <c r="U62" i="30" s="1"/>
  <c r="V62" i="30"/>
  <c r="X62" i="30" s="1"/>
  <c r="Y62" i="30" s="1"/>
  <c r="BK62" i="30"/>
  <c r="BM62" i="30" s="1"/>
  <c r="BN62" i="30" s="1"/>
  <c r="BA61" i="30"/>
  <c r="AZ61" i="30"/>
  <c r="AO61" i="30"/>
  <c r="AN61" i="30"/>
  <c r="BG61" i="30"/>
  <c r="BH61" i="30"/>
  <c r="G61" i="30"/>
  <c r="H61" i="30"/>
  <c r="AG61" i="30"/>
  <c r="N61" i="30"/>
  <c r="O61" i="30"/>
  <c r="M45" i="11"/>
  <c r="N44" i="11"/>
  <c r="I45" i="11"/>
  <c r="J44" i="11"/>
  <c r="E45" i="11"/>
  <c r="R44" i="11"/>
  <c r="Q45" i="11"/>
  <c r="W45" i="11"/>
  <c r="H44" i="11"/>
  <c r="O45" i="11"/>
  <c r="G45" i="11"/>
  <c r="L44" i="11"/>
  <c r="AB44" i="11"/>
  <c r="AC45" i="11" a="1"/>
  <c r="F44" i="11"/>
  <c r="S45" i="11"/>
  <c r="AD44" i="11" a="1"/>
  <c r="P44" i="11"/>
  <c r="Z44" i="11"/>
  <c r="K45" i="11"/>
  <c r="Y45" i="11"/>
  <c r="X44" i="11"/>
  <c r="AA45" i="11"/>
  <c r="T44" i="11"/>
  <c r="BU34" i="45" l="1"/>
  <c r="BV34" i="45"/>
  <c r="BQ34" i="45"/>
  <c r="BR34" i="45"/>
  <c r="BM34" i="45"/>
  <c r="BN34" i="45"/>
  <c r="BI34" i="45"/>
  <c r="BJ34" i="45"/>
  <c r="BF34" i="45"/>
  <c r="BE34" i="45"/>
  <c r="BA34" i="45"/>
  <c r="BB34" i="45"/>
  <c r="AX34" i="45"/>
  <c r="AW34" i="45"/>
  <c r="AS34" i="45"/>
  <c r="AT34" i="45"/>
  <c r="AO34" i="45"/>
  <c r="AP34" i="45"/>
  <c r="AI35" i="45"/>
  <c r="AJ35" i="45"/>
  <c r="AE35" i="45"/>
  <c r="AF35" i="45"/>
  <c r="AA35" i="45"/>
  <c r="AB35" i="45"/>
  <c r="X35" i="45"/>
  <c r="W35" i="45"/>
  <c r="S35" i="45"/>
  <c r="P35" i="45"/>
  <c r="O35" i="45"/>
  <c r="K35" i="45"/>
  <c r="L35" i="45"/>
  <c r="H35" i="45"/>
  <c r="G35" i="45"/>
  <c r="D35" i="45"/>
  <c r="C35" i="45"/>
  <c r="E11" i="2"/>
  <c r="BD63" i="30"/>
  <c r="BF63" i="30" s="1"/>
  <c r="BG63" i="30" s="1"/>
  <c r="V63" i="30"/>
  <c r="X63" i="30" s="1"/>
  <c r="Y63" i="30" s="1"/>
  <c r="Z63" i="30"/>
  <c r="AB63" i="30" s="1"/>
  <c r="AC63" i="30" s="1"/>
  <c r="AW63" i="30"/>
  <c r="AY63" i="30" s="1"/>
  <c r="BA63" i="30" s="1"/>
  <c r="R63" i="30"/>
  <c r="T63" i="30" s="1"/>
  <c r="U63" i="30" s="1"/>
  <c r="BK63" i="30"/>
  <c r="BM63" i="30" s="1"/>
  <c r="BN63" i="30" s="1"/>
  <c r="AR63" i="30"/>
  <c r="AT63" i="30" s="1"/>
  <c r="AU63" i="30" s="1"/>
  <c r="K63" i="30"/>
  <c r="M63" i="30" s="1"/>
  <c r="O63" i="30" s="1"/>
  <c r="AK63" i="30"/>
  <c r="AM63" i="30" s="1"/>
  <c r="AN63" i="30" s="1"/>
  <c r="D63" i="30"/>
  <c r="F63" i="30" s="1"/>
  <c r="G63" i="30" s="1"/>
  <c r="AD63" i="30"/>
  <c r="AF63" i="30" s="1"/>
  <c r="AH63" i="30" s="1"/>
  <c r="BP63" i="30" s="1"/>
  <c r="BR63" i="30" s="1"/>
  <c r="BS63" i="30" s="1"/>
  <c r="BP62" i="30"/>
  <c r="BR62" i="30" s="1"/>
  <c r="BS62" i="30" s="1"/>
  <c r="BR61" i="30"/>
  <c r="BS61" i="30" s="1"/>
  <c r="AC62" i="30"/>
  <c r="BS47" i="30"/>
  <c r="E37" i="2" s="1"/>
  <c r="E38" i="2" s="1"/>
  <c r="F38" i="2" s="1"/>
  <c r="D45" i="11"/>
  <c r="AW64" i="30"/>
  <c r="AY64" i="30" s="1"/>
  <c r="AZ64" i="30" s="1"/>
  <c r="AD64" i="30"/>
  <c r="K64" i="30"/>
  <c r="M64" i="30" s="1"/>
  <c r="O64" i="30" s="1"/>
  <c r="BD64" i="30"/>
  <c r="BF64" i="30" s="1"/>
  <c r="BG64" i="30" s="1"/>
  <c r="AK64" i="30"/>
  <c r="AM64" i="30" s="1"/>
  <c r="AO64" i="30" s="1"/>
  <c r="D64" i="30"/>
  <c r="F64" i="30" s="1"/>
  <c r="G64" i="30" s="1"/>
  <c r="Z64" i="30"/>
  <c r="AB64" i="30" s="1"/>
  <c r="V64" i="30"/>
  <c r="X64" i="30" s="1"/>
  <c r="Y64" i="30" s="1"/>
  <c r="BK64" i="30"/>
  <c r="BM64" i="30" s="1"/>
  <c r="BN64" i="30" s="1"/>
  <c r="AR64" i="30"/>
  <c r="AT64" i="30" s="1"/>
  <c r="AU64" i="30" s="1"/>
  <c r="R64" i="30"/>
  <c r="T64" i="30" s="1"/>
  <c r="U64" i="30" s="1"/>
  <c r="C46" i="11"/>
  <c r="AN62" i="30"/>
  <c r="AO62" i="30"/>
  <c r="BG62" i="30"/>
  <c r="BH62" i="30"/>
  <c r="O62" i="30"/>
  <c r="N62" i="30"/>
  <c r="G62" i="30"/>
  <c r="H62" i="30"/>
  <c r="AG62" i="30"/>
  <c r="AZ62" i="30"/>
  <c r="BA62" i="30"/>
  <c r="E31" i="2"/>
  <c r="E24" i="2"/>
  <c r="E25" i="2" s="1"/>
  <c r="F25" i="2" s="1"/>
  <c r="I24" i="2"/>
  <c r="I25" i="2" s="1"/>
  <c r="J25" i="2" s="1"/>
  <c r="M31" i="2"/>
  <c r="M32" i="2" s="1"/>
  <c r="N32" i="2" s="1"/>
  <c r="M24" i="2"/>
  <c r="M25" i="2" s="1"/>
  <c r="N25" i="2" s="1"/>
  <c r="E17" i="2"/>
  <c r="E18" i="2" s="1"/>
  <c r="F18" i="2" s="1"/>
  <c r="M11" i="2"/>
  <c r="M12" i="2" s="1"/>
  <c r="N12" i="2" s="1"/>
  <c r="I17" i="2"/>
  <c r="I18" i="2" s="1"/>
  <c r="J18" i="2" s="1"/>
  <c r="I11" i="2"/>
  <c r="I12" i="2" s="1"/>
  <c r="J12" i="2" s="1"/>
  <c r="I31" i="2"/>
  <c r="AD45" i="11" a="1"/>
  <c r="L45" i="11"/>
  <c r="X45" i="11"/>
  <c r="P45" i="11"/>
  <c r="J45" i="11"/>
  <c r="AB45" i="11"/>
  <c r="T45" i="11"/>
  <c r="H45" i="11"/>
  <c r="N45" i="11"/>
  <c r="R45" i="11"/>
  <c r="Z45" i="11"/>
  <c r="F45" i="11"/>
  <c r="B41" i="34" l="1"/>
  <c r="BU35" i="45"/>
  <c r="BV35" i="45"/>
  <c r="BQ35" i="45"/>
  <c r="BR35" i="45"/>
  <c r="BM35" i="45"/>
  <c r="BN35" i="45"/>
  <c r="BI35" i="45"/>
  <c r="BJ35" i="45"/>
  <c r="BE35" i="45"/>
  <c r="BF35" i="45"/>
  <c r="BB35" i="45"/>
  <c r="BA35" i="45"/>
  <c r="AX35" i="45"/>
  <c r="AW35" i="45"/>
  <c r="AS35" i="45"/>
  <c r="AT35" i="45"/>
  <c r="AO35" i="45"/>
  <c r="AP35" i="45"/>
  <c r="AO63" i="30"/>
  <c r="BH63" i="30"/>
  <c r="N63" i="30"/>
  <c r="AZ63" i="30"/>
  <c r="F42" i="34" s="1"/>
  <c r="H63" i="30"/>
  <c r="AG63" i="30"/>
  <c r="BO65" i="30"/>
  <c r="E12" i="2"/>
  <c r="F12" i="2" s="1"/>
  <c r="AD65" i="30"/>
  <c r="AF65" i="30" s="1"/>
  <c r="AH65" i="30" s="1"/>
  <c r="AF64" i="30"/>
  <c r="AH64" i="30" s="1"/>
  <c r="AC64" i="30"/>
  <c r="BS48" i="30"/>
  <c r="BP64" i="30"/>
  <c r="G37" i="2" s="1"/>
  <c r="G38" i="2" s="1"/>
  <c r="H38" i="2" s="1"/>
  <c r="D65" i="30"/>
  <c r="F65" i="30" s="1"/>
  <c r="F66" i="30" s="1"/>
  <c r="K65" i="30"/>
  <c r="M65" i="30" s="1"/>
  <c r="M66" i="30" s="1"/>
  <c r="BK65" i="30"/>
  <c r="BM65" i="30" s="1"/>
  <c r="BN65" i="30" s="1"/>
  <c r="BN66" i="30" s="1"/>
  <c r="O49" i="2" s="1"/>
  <c r="R65" i="30"/>
  <c r="T65" i="30" s="1"/>
  <c r="T66" i="30" s="1"/>
  <c r="Z65" i="30"/>
  <c r="AB65" i="30" s="1"/>
  <c r="AC65" i="30" s="1"/>
  <c r="BD65" i="30"/>
  <c r="BF65" i="30" s="1"/>
  <c r="BH65" i="30" s="1"/>
  <c r="AR65" i="30"/>
  <c r="AT65" i="30" s="1"/>
  <c r="AU65" i="30" s="1"/>
  <c r="AU66" i="30" s="1"/>
  <c r="L49" i="2" s="1"/>
  <c r="AW65" i="30"/>
  <c r="AY65" i="30" s="1"/>
  <c r="BA65" i="30" s="1"/>
  <c r="V65" i="30"/>
  <c r="X65" i="30" s="1"/>
  <c r="Y65" i="30" s="1"/>
  <c r="Y66" i="30" s="1"/>
  <c r="AK65" i="30"/>
  <c r="AM65" i="30" s="1"/>
  <c r="AO65" i="30" s="1"/>
  <c r="B42" i="34"/>
  <c r="G42" i="34"/>
  <c r="G41" i="34"/>
  <c r="AN64" i="30"/>
  <c r="H64" i="30"/>
  <c r="N64" i="30"/>
  <c r="BA64" i="30"/>
  <c r="BH64" i="30"/>
  <c r="I32" i="2"/>
  <c r="J32" i="2" s="1"/>
  <c r="I44" i="2"/>
  <c r="E32" i="2"/>
  <c r="F32" i="2" s="1"/>
  <c r="E44" i="2"/>
  <c r="G11" i="2"/>
  <c r="G12" i="2" s="1"/>
  <c r="H12" i="2" s="1"/>
  <c r="G17" i="2"/>
  <c r="G18" i="2" s="1"/>
  <c r="H18" i="2" s="1"/>
  <c r="O11" i="2"/>
  <c r="O12" i="2" s="1"/>
  <c r="P12" i="2" s="1"/>
  <c r="K31" i="2"/>
  <c r="K11" i="2"/>
  <c r="K12" i="2" s="1"/>
  <c r="L12" i="2" s="1"/>
  <c r="O31" i="2"/>
  <c r="O32" i="2" s="1"/>
  <c r="P32" i="2" s="1"/>
  <c r="K24" i="2"/>
  <c r="K25" i="2" s="1"/>
  <c r="L25" i="2" s="1"/>
  <c r="G24" i="2"/>
  <c r="G25" i="2" s="1"/>
  <c r="H25" i="2" s="1"/>
  <c r="G31" i="2"/>
  <c r="O24" i="2"/>
  <c r="O25" i="2" s="1"/>
  <c r="P25" i="2" s="1"/>
  <c r="AO66" i="30" l="1"/>
  <c r="K49" i="2" s="1"/>
  <c r="C41" i="34"/>
  <c r="F41" i="34"/>
  <c r="F43" i="34" s="1"/>
  <c r="F46" i="34" s="1"/>
  <c r="AC66" i="30"/>
  <c r="BM66" i="30"/>
  <c r="AT66" i="30"/>
  <c r="O65" i="30"/>
  <c r="O66" i="30" s="1"/>
  <c r="H49" i="2" s="1"/>
  <c r="U65" i="30"/>
  <c r="U66" i="30" s="1"/>
  <c r="I49" i="2" s="1"/>
  <c r="AY66" i="30"/>
  <c r="AF66" i="30"/>
  <c r="AB66" i="30"/>
  <c r="AM66" i="30"/>
  <c r="BF66" i="30"/>
  <c r="H65" i="30"/>
  <c r="H66" i="30" s="1"/>
  <c r="G49" i="2" s="1"/>
  <c r="X66" i="30"/>
  <c r="BR64" i="30"/>
  <c r="BS64" i="30" s="1"/>
  <c r="AG64" i="30"/>
  <c r="BS49" i="30"/>
  <c r="BP65" i="30"/>
  <c r="BR65" i="30" s="1"/>
  <c r="E43" i="38"/>
  <c r="E47" i="38" s="1"/>
  <c r="E42" i="34"/>
  <c r="E41" i="34"/>
  <c r="C42" i="34"/>
  <c r="D43" i="38"/>
  <c r="D46" i="38" s="1"/>
  <c r="AH66" i="30"/>
  <c r="J49" i="2" s="1"/>
  <c r="B46" i="38"/>
  <c r="BA66" i="30"/>
  <c r="M49" i="2" s="1"/>
  <c r="BH66" i="30"/>
  <c r="N49" i="2" s="1"/>
  <c r="G43" i="34"/>
  <c r="G46" i="34" s="1"/>
  <c r="B43" i="34"/>
  <c r="B47" i="34" s="1"/>
  <c r="G32" i="2"/>
  <c r="H32" i="2" s="1"/>
  <c r="G44" i="2"/>
  <c r="K32" i="2"/>
  <c r="L32" i="2" s="1"/>
  <c r="K44" i="2"/>
  <c r="C43" i="34" l="1"/>
  <c r="C47" i="34" s="1"/>
  <c r="BR66" i="30"/>
  <c r="BS65" i="30"/>
  <c r="BS66" i="30" s="1"/>
  <c r="D42" i="34"/>
  <c r="D41" i="34"/>
  <c r="E43" i="34"/>
  <c r="E47" i="34" s="1"/>
  <c r="D47" i="38"/>
  <c r="E46" i="38"/>
  <c r="B47" i="38"/>
  <c r="C43" i="38"/>
  <c r="C46" i="38" s="1"/>
  <c r="F47" i="34"/>
  <c r="B46" i="34"/>
  <c r="G47" i="34"/>
  <c r="C46" i="34" l="1"/>
  <c r="D43" i="34"/>
  <c r="D47" i="34" s="1"/>
  <c r="E46" i="34"/>
  <c r="C47" i="38"/>
  <c r="D46" i="34" l="1"/>
  <c r="C30" i="42" l="1"/>
  <c r="C29" i="42"/>
  <c r="M29" i="42"/>
  <c r="E30" i="42"/>
  <c r="S30" i="42"/>
  <c r="O29" i="42"/>
  <c r="S29" i="42"/>
  <c r="K29" i="42"/>
  <c r="I30" i="42"/>
  <c r="I29" i="42"/>
  <c r="U29" i="42"/>
  <c r="Q30" i="42"/>
  <c r="Q29" i="42"/>
  <c r="E29" i="42"/>
  <c r="G29" i="42"/>
  <c r="G30" i="42"/>
  <c r="O30" i="42"/>
  <c r="M30" i="42"/>
  <c r="K30" i="42"/>
  <c r="U30" i="42"/>
  <c r="G26" i="48" l="1"/>
  <c r="G25" i="48"/>
  <c r="D26" i="48"/>
  <c r="D25" i="48"/>
  <c r="AJ26" i="48"/>
  <c r="AJ25" i="48"/>
  <c r="AI26" i="48"/>
  <c r="AI25" i="48"/>
  <c r="AE26" i="48"/>
  <c r="AE25" i="48"/>
  <c r="H26" i="48"/>
  <c r="H25" i="48"/>
  <c r="AF26" i="48"/>
  <c r="AF25" i="48"/>
  <c r="AB26" i="48"/>
  <c r="AB25" i="48"/>
  <c r="AA26" i="48"/>
  <c r="AA25" i="48"/>
  <c r="C25" i="48"/>
  <c r="C26" i="48"/>
  <c r="D29" i="42"/>
  <c r="C31" i="42"/>
  <c r="D30" i="42"/>
  <c r="N30" i="42"/>
  <c r="T29" i="42"/>
  <c r="F29" i="42"/>
  <c r="Q31" i="42"/>
  <c r="R30" i="42"/>
  <c r="F30" i="42"/>
  <c r="T30" i="42"/>
  <c r="V29" i="42"/>
  <c r="H29" i="42"/>
  <c r="J29" i="42"/>
  <c r="M31" i="42"/>
  <c r="L30" i="42"/>
  <c r="J30" i="42"/>
  <c r="S31" i="42"/>
  <c r="G31" i="42"/>
  <c r="P30" i="42"/>
  <c r="O31" i="42"/>
  <c r="H30" i="42"/>
  <c r="V30" i="42"/>
  <c r="U31" i="42"/>
  <c r="E31" i="42"/>
  <c r="N29" i="42"/>
  <c r="I31" i="42"/>
  <c r="K31" i="42"/>
  <c r="P29" i="42"/>
  <c r="L29" i="42"/>
  <c r="R29" i="42"/>
  <c r="BV26" i="48" l="1"/>
  <c r="BV25" i="48"/>
  <c r="BU26" i="48"/>
  <c r="BU25" i="48"/>
  <c r="E26" i="48"/>
  <c r="G27" i="48"/>
  <c r="E25" i="48"/>
  <c r="D27" i="48"/>
  <c r="BJ25" i="48"/>
  <c r="BJ26" i="48"/>
  <c r="AJ27" i="48"/>
  <c r="AI27" i="48"/>
  <c r="AE27" i="48"/>
  <c r="BR26" i="48"/>
  <c r="BR25" i="48"/>
  <c r="H27" i="48"/>
  <c r="AG25" i="48"/>
  <c r="BN25" i="48"/>
  <c r="BN26" i="48"/>
  <c r="BM25" i="48"/>
  <c r="BM26" i="48"/>
  <c r="AG26" i="48"/>
  <c r="BQ26" i="48"/>
  <c r="BQ25" i="48"/>
  <c r="AF27" i="48"/>
  <c r="AB27" i="48"/>
  <c r="AA27" i="48"/>
  <c r="BB26" i="48"/>
  <c r="BB25" i="48"/>
  <c r="C27" i="48"/>
  <c r="Q26" i="48"/>
  <c r="R26" i="48" s="1"/>
  <c r="C32" i="42"/>
  <c r="D31" i="42"/>
  <c r="H31" i="42"/>
  <c r="G32" i="42"/>
  <c r="L31" i="42"/>
  <c r="O32" i="42"/>
  <c r="M32" i="42"/>
  <c r="S32" i="42"/>
  <c r="Q32" i="42"/>
  <c r="J31" i="42"/>
  <c r="K32" i="42"/>
  <c r="V31" i="42"/>
  <c r="U32" i="42"/>
  <c r="T31" i="42"/>
  <c r="P31" i="42"/>
  <c r="R31" i="42"/>
  <c r="F31" i="42"/>
  <c r="N31" i="42"/>
  <c r="E32" i="42"/>
  <c r="I32" i="42"/>
  <c r="BO25" i="48" l="1"/>
  <c r="BO26" i="48"/>
  <c r="BV27" i="48"/>
  <c r="BU27" i="48"/>
  <c r="E27" i="48"/>
  <c r="F27" i="48" s="1"/>
  <c r="G28" i="48"/>
  <c r="D28" i="48"/>
  <c r="BJ27" i="48"/>
  <c r="AJ28" i="48"/>
  <c r="AI28" i="48"/>
  <c r="BS25" i="48"/>
  <c r="BT25" i="48" s="1"/>
  <c r="BS26" i="48"/>
  <c r="BT26" i="48" s="1"/>
  <c r="AE28" i="48"/>
  <c r="BR27" i="48"/>
  <c r="H28" i="48"/>
  <c r="AG27" i="48"/>
  <c r="BN27" i="48"/>
  <c r="BM27" i="48"/>
  <c r="BQ27" i="48"/>
  <c r="AF28" i="48"/>
  <c r="AB28" i="48"/>
  <c r="AA28" i="48"/>
  <c r="BB27" i="48"/>
  <c r="C28" i="48"/>
  <c r="AH25" i="48"/>
  <c r="I26" i="48"/>
  <c r="J26" i="48" s="1"/>
  <c r="Q25" i="48"/>
  <c r="R25" i="48" s="1"/>
  <c r="U26" i="48"/>
  <c r="V26" i="48" s="1"/>
  <c r="Y26" i="48"/>
  <c r="Z26" i="48" s="1"/>
  <c r="Y25" i="48"/>
  <c r="Z25" i="48" s="1"/>
  <c r="AH26" i="48"/>
  <c r="AK25" i="48"/>
  <c r="AL25" i="48" s="1"/>
  <c r="U25" i="48"/>
  <c r="V25" i="48" s="1"/>
  <c r="M26" i="48"/>
  <c r="N26" i="48" s="1"/>
  <c r="AC25" i="48"/>
  <c r="AD25" i="48" s="1"/>
  <c r="M25" i="48"/>
  <c r="N25" i="48" s="1"/>
  <c r="AK26" i="48"/>
  <c r="AL26" i="48" s="1"/>
  <c r="I25" i="48"/>
  <c r="J25" i="48" s="1"/>
  <c r="AC26" i="48"/>
  <c r="AD26" i="48" s="1"/>
  <c r="C33" i="42"/>
  <c r="D32" i="42"/>
  <c r="J32" i="42"/>
  <c r="E33" i="42"/>
  <c r="F32" i="42"/>
  <c r="N32" i="42"/>
  <c r="V32" i="42"/>
  <c r="O33" i="42"/>
  <c r="P32" i="42"/>
  <c r="L32" i="42"/>
  <c r="T32" i="42"/>
  <c r="U33" i="42"/>
  <c r="R32" i="42"/>
  <c r="Q33" i="42"/>
  <c r="S33" i="42"/>
  <c r="G33" i="42"/>
  <c r="M33" i="42"/>
  <c r="H32" i="42"/>
  <c r="K33" i="42"/>
  <c r="I33" i="42"/>
  <c r="BO27" i="48" l="1"/>
  <c r="BV28" i="48"/>
  <c r="BU28" i="48"/>
  <c r="E28" i="48"/>
  <c r="F28" i="48" s="1"/>
  <c r="G29" i="48"/>
  <c r="D29" i="48"/>
  <c r="BJ28" i="48"/>
  <c r="AJ29" i="48"/>
  <c r="AI29" i="48"/>
  <c r="BS27" i="48"/>
  <c r="BT27" i="48" s="1"/>
  <c r="AE29" i="48"/>
  <c r="BR28" i="48"/>
  <c r="H29" i="48"/>
  <c r="BN28" i="48"/>
  <c r="BM28" i="48"/>
  <c r="AG28" i="48"/>
  <c r="BQ28" i="48"/>
  <c r="AF29" i="48"/>
  <c r="AB29" i="48"/>
  <c r="AA29" i="48"/>
  <c r="BB28" i="48"/>
  <c r="AQ26" i="48"/>
  <c r="AR26" i="48" s="1"/>
  <c r="C29" i="48"/>
  <c r="BC25" i="48"/>
  <c r="BD25" i="48" s="1"/>
  <c r="BP26" i="48"/>
  <c r="BC26" i="48"/>
  <c r="BD26" i="48" s="1"/>
  <c r="M27" i="48"/>
  <c r="N27" i="48" s="1"/>
  <c r="AQ25" i="48"/>
  <c r="AR25" i="48" s="1"/>
  <c r="BG25" i="48"/>
  <c r="BH25" i="48" s="1"/>
  <c r="BP25" i="48"/>
  <c r="BW26" i="48"/>
  <c r="BX26" i="48" s="1"/>
  <c r="BK26" i="48"/>
  <c r="BL26" i="48" s="1"/>
  <c r="BK25" i="48"/>
  <c r="BL25" i="48" s="1"/>
  <c r="Q27" i="48"/>
  <c r="R27" i="48" s="1"/>
  <c r="BW25" i="48"/>
  <c r="BX25" i="48" s="1"/>
  <c r="BG26" i="48"/>
  <c r="BH26" i="48" s="1"/>
  <c r="AC27" i="48"/>
  <c r="AD27" i="48" s="1"/>
  <c r="AK27" i="48"/>
  <c r="AL27" i="48" s="1"/>
  <c r="Y27" i="48"/>
  <c r="Z27" i="48" s="1"/>
  <c r="AY25" i="48"/>
  <c r="AZ25" i="48" s="1"/>
  <c r="AU26" i="48"/>
  <c r="AV26" i="48" s="1"/>
  <c r="AH27" i="48"/>
  <c r="AU25" i="48"/>
  <c r="AV25" i="48" s="1"/>
  <c r="I27" i="48"/>
  <c r="J27" i="48" s="1"/>
  <c r="AY26" i="48"/>
  <c r="AZ26" i="48" s="1"/>
  <c r="U27" i="48"/>
  <c r="V27" i="48" s="1"/>
  <c r="C34" i="42"/>
  <c r="D33" i="42"/>
  <c r="K34" i="42"/>
  <c r="R33" i="42"/>
  <c r="P33" i="42"/>
  <c r="E34" i="42"/>
  <c r="O34" i="42"/>
  <c r="G34" i="42"/>
  <c r="F33" i="42"/>
  <c r="N33" i="42"/>
  <c r="Q34" i="42"/>
  <c r="V33" i="42"/>
  <c r="J33" i="42"/>
  <c r="H33" i="42"/>
  <c r="I34" i="42"/>
  <c r="U34" i="42"/>
  <c r="S34" i="42"/>
  <c r="T33" i="42"/>
  <c r="L33" i="42"/>
  <c r="M34" i="42"/>
  <c r="BO28" i="48" l="1"/>
  <c r="BV29" i="48"/>
  <c r="BU29" i="48"/>
  <c r="E29" i="48"/>
  <c r="F29" i="48" s="1"/>
  <c r="G30" i="48"/>
  <c r="D30" i="48"/>
  <c r="BJ29" i="48"/>
  <c r="AJ30" i="48"/>
  <c r="AI30" i="48"/>
  <c r="BS28" i="48"/>
  <c r="BT28" i="48" s="1"/>
  <c r="AE30" i="48"/>
  <c r="BR29" i="48"/>
  <c r="H30" i="48"/>
  <c r="BN29" i="48"/>
  <c r="BM29" i="48"/>
  <c r="AG29" i="48"/>
  <c r="BQ29" i="48"/>
  <c r="AF30" i="48"/>
  <c r="AB30" i="48"/>
  <c r="AA30" i="48"/>
  <c r="BB29" i="48"/>
  <c r="U28" i="48"/>
  <c r="V28" i="48" s="1"/>
  <c r="AU27" i="48"/>
  <c r="AV27" i="48" s="1"/>
  <c r="AY27" i="48"/>
  <c r="AZ27" i="48" s="1"/>
  <c r="C30" i="48"/>
  <c r="M28" i="48"/>
  <c r="N28" i="48" s="1"/>
  <c r="BG27" i="48"/>
  <c r="BH27" i="48" s="1"/>
  <c r="AH28" i="48"/>
  <c r="BP27" i="48"/>
  <c r="Y28" i="48"/>
  <c r="Z28" i="48" s="1"/>
  <c r="BK27" i="48"/>
  <c r="BL27" i="48" s="1"/>
  <c r="AQ27" i="48"/>
  <c r="AR27" i="48" s="1"/>
  <c r="BW27" i="48"/>
  <c r="BX27" i="48" s="1"/>
  <c r="BC27" i="48"/>
  <c r="BD27" i="48" s="1"/>
  <c r="Q28" i="48"/>
  <c r="R28" i="48" s="1"/>
  <c r="AC28" i="48"/>
  <c r="AD28" i="48" s="1"/>
  <c r="I28" i="48"/>
  <c r="J28" i="48" s="1"/>
  <c r="AK28" i="48"/>
  <c r="AL28" i="48" s="1"/>
  <c r="C35" i="42"/>
  <c r="D34" i="42"/>
  <c r="S35" i="42"/>
  <c r="U35" i="42"/>
  <c r="V34" i="42"/>
  <c r="L34" i="42"/>
  <c r="H34" i="42"/>
  <c r="R34" i="42"/>
  <c r="M35" i="42"/>
  <c r="N34" i="42"/>
  <c r="Q35" i="42"/>
  <c r="F34" i="42"/>
  <c r="E35" i="42"/>
  <c r="G35" i="42"/>
  <c r="J34" i="42"/>
  <c r="P34" i="42"/>
  <c r="O35" i="42"/>
  <c r="I35" i="42"/>
  <c r="T34" i="42"/>
  <c r="K35" i="42"/>
  <c r="BO29" i="48" l="1"/>
  <c r="BV30" i="48"/>
  <c r="BU30" i="48"/>
  <c r="E30" i="48"/>
  <c r="F30" i="48" s="1"/>
  <c r="G31" i="48"/>
  <c r="D31" i="48"/>
  <c r="BJ30" i="48"/>
  <c r="AJ31" i="48"/>
  <c r="AI31" i="48"/>
  <c r="BS29" i="48"/>
  <c r="BT29" i="48" s="1"/>
  <c r="AE31" i="48"/>
  <c r="BR30" i="48"/>
  <c r="H31" i="48"/>
  <c r="BN30" i="48"/>
  <c r="BM30" i="48"/>
  <c r="AG30" i="48"/>
  <c r="BQ30" i="48"/>
  <c r="AF31" i="48"/>
  <c r="AB31" i="48"/>
  <c r="AA31" i="48"/>
  <c r="BB30" i="48"/>
  <c r="BW28" i="48"/>
  <c r="BX28" i="48" s="1"/>
  <c r="AY28" i="48"/>
  <c r="AZ28" i="48" s="1"/>
  <c r="C31" i="48"/>
  <c r="Y29" i="48"/>
  <c r="Z29" i="48" s="1"/>
  <c r="BP28" i="48"/>
  <c r="BC28" i="48"/>
  <c r="BD28" i="48" s="1"/>
  <c r="BK28" i="48"/>
  <c r="BL28" i="48" s="1"/>
  <c r="Q29" i="48"/>
  <c r="R29" i="48" s="1"/>
  <c r="BG28" i="48"/>
  <c r="BH28" i="48" s="1"/>
  <c r="AK29" i="48"/>
  <c r="AL29" i="48" s="1"/>
  <c r="AU28" i="48"/>
  <c r="AV28" i="48" s="1"/>
  <c r="M29" i="48"/>
  <c r="N29" i="48" s="1"/>
  <c r="AC29" i="48"/>
  <c r="AD29" i="48" s="1"/>
  <c r="AH29" i="48"/>
  <c r="AQ28" i="48"/>
  <c r="AR28" i="48" s="1"/>
  <c r="U29" i="48"/>
  <c r="V29" i="48" s="1"/>
  <c r="I29" i="48"/>
  <c r="J29" i="48" s="1"/>
  <c r="C36" i="42"/>
  <c r="D35" i="42"/>
  <c r="O36" i="42"/>
  <c r="E36" i="42"/>
  <c r="J35" i="42"/>
  <c r="R35" i="42"/>
  <c r="Q36" i="42"/>
  <c r="U36" i="42"/>
  <c r="S36" i="42"/>
  <c r="G36" i="42"/>
  <c r="K36" i="42"/>
  <c r="I36" i="42"/>
  <c r="N35" i="42"/>
  <c r="T35" i="42"/>
  <c r="F35" i="42"/>
  <c r="V35" i="42"/>
  <c r="L35" i="42"/>
  <c r="M36" i="42"/>
  <c r="H35" i="42"/>
  <c r="P35" i="42"/>
  <c r="BO30" i="48" l="1"/>
  <c r="BV31" i="48"/>
  <c r="BU31" i="48"/>
  <c r="E31" i="48"/>
  <c r="F31" i="48" s="1"/>
  <c r="G32" i="48"/>
  <c r="D32" i="48"/>
  <c r="BJ31" i="48"/>
  <c r="AJ32" i="48"/>
  <c r="AI32" i="48"/>
  <c r="BS30" i="48"/>
  <c r="BT30" i="48" s="1"/>
  <c r="AE32" i="48"/>
  <c r="BR31" i="48"/>
  <c r="H32" i="48"/>
  <c r="BN31" i="48"/>
  <c r="BM31" i="48"/>
  <c r="AG31" i="48"/>
  <c r="BQ31" i="48"/>
  <c r="AF32" i="48"/>
  <c r="AB32" i="48"/>
  <c r="AA32" i="48"/>
  <c r="BB31" i="48"/>
  <c r="BP29" i="48"/>
  <c r="Q30" i="48"/>
  <c r="R30" i="48" s="1"/>
  <c r="BG29" i="48"/>
  <c r="BH29" i="48" s="1"/>
  <c r="C32" i="48"/>
  <c r="U30" i="48"/>
  <c r="V30" i="48" s="1"/>
  <c r="AY29" i="48"/>
  <c r="AZ29" i="48" s="1"/>
  <c r="AQ29" i="48"/>
  <c r="AR29" i="48" s="1"/>
  <c r="AH30" i="48"/>
  <c r="M30" i="48"/>
  <c r="N30" i="48" s="1"/>
  <c r="BK29" i="48"/>
  <c r="BL29" i="48" s="1"/>
  <c r="AK30" i="48"/>
  <c r="AL30" i="48" s="1"/>
  <c r="BW29" i="48"/>
  <c r="BX29" i="48" s="1"/>
  <c r="AU29" i="48"/>
  <c r="AV29" i="48" s="1"/>
  <c r="I30" i="48"/>
  <c r="J30" i="48" s="1"/>
  <c r="BC29" i="48"/>
  <c r="BD29" i="48" s="1"/>
  <c r="Y30" i="48"/>
  <c r="Z30" i="48" s="1"/>
  <c r="AC30" i="48"/>
  <c r="AD30" i="48" s="1"/>
  <c r="C37" i="42"/>
  <c r="D36" i="42"/>
  <c r="H36" i="42"/>
  <c r="R36" i="42"/>
  <c r="Q37" i="42"/>
  <c r="J36" i="42"/>
  <c r="K37" i="42"/>
  <c r="L36" i="42"/>
  <c r="E37" i="42"/>
  <c r="U37" i="42"/>
  <c r="T36" i="42"/>
  <c r="I37" i="42"/>
  <c r="O37" i="42"/>
  <c r="V36" i="42"/>
  <c r="M37" i="42"/>
  <c r="P36" i="42"/>
  <c r="G37" i="42"/>
  <c r="F36" i="42"/>
  <c r="N36" i="42"/>
  <c r="S37" i="42"/>
  <c r="BO31" i="48" l="1"/>
  <c r="BV32" i="48"/>
  <c r="BU32" i="48"/>
  <c r="E32" i="48"/>
  <c r="F32" i="48" s="1"/>
  <c r="G33" i="48"/>
  <c r="D33" i="48"/>
  <c r="BJ32" i="48"/>
  <c r="AJ33" i="48"/>
  <c r="AI33" i="48"/>
  <c r="BS31" i="48"/>
  <c r="BT31" i="48" s="1"/>
  <c r="AE33" i="48"/>
  <c r="BR32" i="48"/>
  <c r="H33" i="48"/>
  <c r="BN32" i="48"/>
  <c r="BM32" i="48"/>
  <c r="AG32" i="48"/>
  <c r="BQ32" i="48"/>
  <c r="AF33" i="48"/>
  <c r="AB33" i="48"/>
  <c r="AA33" i="48"/>
  <c r="BB32" i="48"/>
  <c r="BP30" i="48"/>
  <c r="AY30" i="48"/>
  <c r="AZ30" i="48" s="1"/>
  <c r="AC31" i="48"/>
  <c r="AD31" i="48" s="1"/>
  <c r="BW30" i="48"/>
  <c r="BX30" i="48" s="1"/>
  <c r="C33" i="48"/>
  <c r="BC30" i="48"/>
  <c r="BD30" i="48" s="1"/>
  <c r="Y31" i="48"/>
  <c r="Z31" i="48" s="1"/>
  <c r="M31" i="48"/>
  <c r="N31" i="48" s="1"/>
  <c r="AK31" i="48"/>
  <c r="AL31" i="48" s="1"/>
  <c r="BK30" i="48"/>
  <c r="BL30" i="48" s="1"/>
  <c r="AU30" i="48"/>
  <c r="AV30" i="48" s="1"/>
  <c r="AQ30" i="48"/>
  <c r="AR30" i="48" s="1"/>
  <c r="AH31" i="48"/>
  <c r="Q31" i="48"/>
  <c r="R31" i="48" s="1"/>
  <c r="BG30" i="48"/>
  <c r="BH30" i="48" s="1"/>
  <c r="I31" i="48"/>
  <c r="J31" i="48" s="1"/>
  <c r="U31" i="48"/>
  <c r="V31" i="48" s="1"/>
  <c r="Y32" i="48"/>
  <c r="Z32" i="48" s="1"/>
  <c r="C38" i="42"/>
  <c r="D37" i="42"/>
  <c r="P37" i="42"/>
  <c r="M38" i="42"/>
  <c r="F37" i="42"/>
  <c r="N37" i="42"/>
  <c r="S38" i="42"/>
  <c r="R37" i="42"/>
  <c r="H37" i="42"/>
  <c r="L37" i="42"/>
  <c r="G38" i="42"/>
  <c r="I38" i="42"/>
  <c r="O38" i="42"/>
  <c r="V37" i="42"/>
  <c r="E38" i="42"/>
  <c r="J37" i="42"/>
  <c r="Q38" i="42"/>
  <c r="T37" i="42"/>
  <c r="K38" i="42"/>
  <c r="U38" i="42"/>
  <c r="BO32" i="48" l="1"/>
  <c r="BV33" i="48"/>
  <c r="BU33" i="48"/>
  <c r="E33" i="48"/>
  <c r="F33" i="48" s="1"/>
  <c r="G34" i="48"/>
  <c r="D34" i="48"/>
  <c r="BJ33" i="48"/>
  <c r="AJ34" i="48"/>
  <c r="AI34" i="48"/>
  <c r="BS32" i="48"/>
  <c r="BT32" i="48" s="1"/>
  <c r="AE34" i="48"/>
  <c r="BR33" i="48"/>
  <c r="H34" i="48"/>
  <c r="BN33" i="48"/>
  <c r="BM33" i="48"/>
  <c r="AG33" i="48"/>
  <c r="BQ33" i="48"/>
  <c r="AF34" i="48"/>
  <c r="AB34" i="48"/>
  <c r="AA34" i="48"/>
  <c r="BB33" i="48"/>
  <c r="BP31" i="48"/>
  <c r="AY31" i="48"/>
  <c r="AZ31" i="48" s="1"/>
  <c r="AK32" i="48"/>
  <c r="AL32" i="48" s="1"/>
  <c r="C34" i="48"/>
  <c r="BK31" i="48"/>
  <c r="BL31" i="48" s="1"/>
  <c r="Q32" i="48"/>
  <c r="R32" i="48" s="1"/>
  <c r="BW31" i="48"/>
  <c r="BX31" i="48" s="1"/>
  <c r="M32" i="48"/>
  <c r="N32" i="48" s="1"/>
  <c r="AC32" i="48"/>
  <c r="AD32" i="48" s="1"/>
  <c r="AH32" i="48"/>
  <c r="AU31" i="48"/>
  <c r="AV31" i="48" s="1"/>
  <c r="U32" i="48"/>
  <c r="V32" i="48" s="1"/>
  <c r="AQ31" i="48"/>
  <c r="AR31" i="48" s="1"/>
  <c r="I32" i="48"/>
  <c r="J32" i="48" s="1"/>
  <c r="BG31" i="48"/>
  <c r="BH31" i="48" s="1"/>
  <c r="BC31" i="48"/>
  <c r="BD31" i="48" s="1"/>
  <c r="Q33" i="48"/>
  <c r="R33" i="48" s="1"/>
  <c r="D38" i="42"/>
  <c r="V38" i="42"/>
  <c r="T38" i="42"/>
  <c r="L38" i="42"/>
  <c r="J38" i="42"/>
  <c r="P38" i="42"/>
  <c r="R38" i="42"/>
  <c r="N38" i="42"/>
  <c r="H38" i="42"/>
  <c r="F38" i="42"/>
  <c r="BO33" i="48" l="1"/>
  <c r="BV34" i="48"/>
  <c r="BU34" i="48"/>
  <c r="E34" i="48"/>
  <c r="F34" i="48" s="1"/>
  <c r="BJ34" i="48"/>
  <c r="BS33" i="48"/>
  <c r="BT33" i="48" s="1"/>
  <c r="BR34" i="48"/>
  <c r="BN34" i="48"/>
  <c r="BM34" i="48"/>
  <c r="AG34" i="48"/>
  <c r="BQ34" i="48"/>
  <c r="BB34" i="48"/>
  <c r="AQ32" i="48"/>
  <c r="AR32" i="48" s="1"/>
  <c r="BW32" i="48"/>
  <c r="BX32" i="48" s="1"/>
  <c r="AU32" i="48"/>
  <c r="AV32" i="48" s="1"/>
  <c r="Y33" i="48"/>
  <c r="Z33" i="48" s="1"/>
  <c r="AY32" i="48"/>
  <c r="AZ32" i="48" s="1"/>
  <c r="BK32" i="48"/>
  <c r="BL32" i="48" s="1"/>
  <c r="AC33" i="48"/>
  <c r="AD33" i="48" s="1"/>
  <c r="M33" i="48"/>
  <c r="N33" i="48" s="1"/>
  <c r="BP32" i="48"/>
  <c r="U33" i="48"/>
  <c r="V33" i="48" s="1"/>
  <c r="BC32" i="48"/>
  <c r="BD32" i="48" s="1"/>
  <c r="BG32" i="48"/>
  <c r="BH32" i="48" s="1"/>
  <c r="AH33" i="48"/>
  <c r="AK33" i="48"/>
  <c r="AL33" i="48" s="1"/>
  <c r="I33" i="48"/>
  <c r="J33" i="48" s="1"/>
  <c r="C20" i="42"/>
  <c r="C19" i="42"/>
  <c r="I20" i="42"/>
  <c r="S20" i="42"/>
  <c r="Q19" i="42"/>
  <c r="M19" i="42"/>
  <c r="O20" i="42"/>
  <c r="G19" i="42"/>
  <c r="E19" i="42"/>
  <c r="U19" i="42"/>
  <c r="O19" i="42"/>
  <c r="U20" i="42"/>
  <c r="K20" i="42"/>
  <c r="G20" i="42"/>
  <c r="Q20" i="42"/>
  <c r="E20" i="42"/>
  <c r="S19" i="42"/>
  <c r="M20" i="42"/>
  <c r="I19" i="42"/>
  <c r="K19" i="42"/>
  <c r="BO34" i="48" l="1"/>
  <c r="G16" i="48"/>
  <c r="G15" i="48"/>
  <c r="D16" i="48"/>
  <c r="D15" i="48"/>
  <c r="AJ15" i="48"/>
  <c r="AJ16" i="48"/>
  <c r="AI15" i="48"/>
  <c r="AI16" i="48"/>
  <c r="BS34" i="48"/>
  <c r="BT34" i="48" s="1"/>
  <c r="AE16" i="48"/>
  <c r="AE15" i="48"/>
  <c r="H16" i="48"/>
  <c r="H15" i="48"/>
  <c r="AF16" i="48"/>
  <c r="AF15" i="48"/>
  <c r="AB15" i="48"/>
  <c r="AB16" i="48"/>
  <c r="AA15" i="48"/>
  <c r="AA16" i="48"/>
  <c r="I34" i="48"/>
  <c r="J34" i="48" s="1"/>
  <c r="C15" i="48"/>
  <c r="C16" i="48"/>
  <c r="Q34" i="48"/>
  <c r="R34" i="48" s="1"/>
  <c r="Y34" i="48"/>
  <c r="Z34" i="48" s="1"/>
  <c r="AH34" i="48"/>
  <c r="BK33" i="48"/>
  <c r="BL33" i="48" s="1"/>
  <c r="AU33" i="48"/>
  <c r="AV33" i="48" s="1"/>
  <c r="AK34" i="48"/>
  <c r="AL34" i="48" s="1"/>
  <c r="AQ33" i="48"/>
  <c r="AR33" i="48" s="1"/>
  <c r="BC33" i="48"/>
  <c r="BD33" i="48" s="1"/>
  <c r="BP33" i="48"/>
  <c r="BW33" i="48"/>
  <c r="BX33" i="48" s="1"/>
  <c r="M34" i="48"/>
  <c r="N34" i="48" s="1"/>
  <c r="U34" i="48"/>
  <c r="V34" i="48" s="1"/>
  <c r="BG33" i="48"/>
  <c r="BH33" i="48" s="1"/>
  <c r="AY33" i="48"/>
  <c r="AZ33" i="48" s="1"/>
  <c r="AC34" i="48"/>
  <c r="AD34" i="48" s="1"/>
  <c r="D19" i="42"/>
  <c r="C21" i="42"/>
  <c r="D20" i="42"/>
  <c r="R20" i="42"/>
  <c r="M21" i="42"/>
  <c r="K21" i="42"/>
  <c r="U21" i="42"/>
  <c r="P20" i="42"/>
  <c r="Q21" i="42"/>
  <c r="V20" i="42"/>
  <c r="N20" i="42"/>
  <c r="F19" i="42"/>
  <c r="P19" i="42"/>
  <c r="L19" i="42"/>
  <c r="N19" i="42"/>
  <c r="I21" i="42"/>
  <c r="O21" i="42"/>
  <c r="H19" i="42"/>
  <c r="V19" i="42"/>
  <c r="E21" i="42"/>
  <c r="T19" i="42"/>
  <c r="T20" i="42"/>
  <c r="G21" i="42"/>
  <c r="H20" i="42"/>
  <c r="F20" i="42"/>
  <c r="L20" i="42"/>
  <c r="R19" i="42"/>
  <c r="J20" i="42"/>
  <c r="S21" i="42"/>
  <c r="J19" i="42"/>
  <c r="BV16" i="48" l="1"/>
  <c r="BV15" i="48"/>
  <c r="BU16" i="48"/>
  <c r="BU15" i="48"/>
  <c r="E16" i="48"/>
  <c r="E15" i="48"/>
  <c r="G17" i="48"/>
  <c r="D17" i="48"/>
  <c r="BJ16" i="48"/>
  <c r="BJ15" i="48"/>
  <c r="AJ17" i="48"/>
  <c r="AI17" i="48"/>
  <c r="AE17" i="48"/>
  <c r="BR15" i="48"/>
  <c r="BR16" i="48"/>
  <c r="H17" i="48"/>
  <c r="BN16" i="48"/>
  <c r="BN15" i="48"/>
  <c r="BM16" i="48"/>
  <c r="BM15" i="48"/>
  <c r="AG15" i="48"/>
  <c r="AG16" i="48"/>
  <c r="BQ15" i="48"/>
  <c r="BQ16" i="48"/>
  <c r="AF17" i="48"/>
  <c r="AB17" i="48"/>
  <c r="AA17" i="48"/>
  <c r="BB16" i="48"/>
  <c r="BB15" i="48"/>
  <c r="BK34" i="48"/>
  <c r="BL34" i="48" s="1"/>
  <c r="C17" i="48"/>
  <c r="BG34" i="48"/>
  <c r="BH34" i="48" s="1"/>
  <c r="AU34" i="48"/>
  <c r="AV34" i="48" s="1"/>
  <c r="BW34" i="48"/>
  <c r="BX34" i="48" s="1"/>
  <c r="BC34" i="48"/>
  <c r="BD34" i="48" s="1"/>
  <c r="AY34" i="48"/>
  <c r="AZ34" i="48" s="1"/>
  <c r="AQ34" i="48"/>
  <c r="AR34" i="48" s="1"/>
  <c r="BP34" i="48"/>
  <c r="C22" i="42"/>
  <c r="D21" i="42"/>
  <c r="J21" i="42"/>
  <c r="S22" i="42"/>
  <c r="V21" i="42"/>
  <c r="M22" i="42"/>
  <c r="O22" i="42"/>
  <c r="R21" i="42"/>
  <c r="I22" i="42"/>
  <c r="H21" i="42"/>
  <c r="N21" i="42"/>
  <c r="K22" i="42"/>
  <c r="G22" i="42"/>
  <c r="Q22" i="42"/>
  <c r="E22" i="42"/>
  <c r="U22" i="42"/>
  <c r="P21" i="42"/>
  <c r="F21" i="42"/>
  <c r="L21" i="42"/>
  <c r="T21" i="42"/>
  <c r="BO15" i="48" l="1"/>
  <c r="BO16" i="48"/>
  <c r="BV17" i="48"/>
  <c r="BU17" i="48"/>
  <c r="E17" i="48"/>
  <c r="F17" i="48" s="1"/>
  <c r="G18" i="48"/>
  <c r="D18" i="48"/>
  <c r="BJ17" i="48"/>
  <c r="AJ18" i="48"/>
  <c r="AI18" i="48"/>
  <c r="BS16" i="48"/>
  <c r="BT16" i="48" s="1"/>
  <c r="BS15" i="48"/>
  <c r="BT15" i="48" s="1"/>
  <c r="AE18" i="48"/>
  <c r="BR17" i="48"/>
  <c r="H18" i="48"/>
  <c r="BN17" i="48"/>
  <c r="BM17" i="48"/>
  <c r="AG17" i="48"/>
  <c r="BQ17" i="48"/>
  <c r="AF18" i="48"/>
  <c r="AB18" i="48"/>
  <c r="AA18" i="48"/>
  <c r="BB17" i="48"/>
  <c r="AH16" i="48"/>
  <c r="C18" i="48"/>
  <c r="AC16" i="48"/>
  <c r="AD16" i="48" s="1"/>
  <c r="I16" i="48"/>
  <c r="J16" i="48" s="1"/>
  <c r="Y15" i="48"/>
  <c r="Z15" i="48" s="1"/>
  <c r="I15" i="48"/>
  <c r="J15" i="48" s="1"/>
  <c r="Y16" i="48"/>
  <c r="Z16" i="48" s="1"/>
  <c r="AC15" i="48"/>
  <c r="AD15" i="48" s="1"/>
  <c r="U16" i="48"/>
  <c r="V16" i="48" s="1"/>
  <c r="M15" i="48"/>
  <c r="N15" i="48" s="1"/>
  <c r="Q15" i="48"/>
  <c r="R15" i="48" s="1"/>
  <c r="AH15" i="48"/>
  <c r="Q16" i="48"/>
  <c r="R16" i="48" s="1"/>
  <c r="AK15" i="48"/>
  <c r="AL15" i="48" s="1"/>
  <c r="U15" i="48"/>
  <c r="V15" i="48" s="1"/>
  <c r="AK16" i="48"/>
  <c r="AL16" i="48" s="1"/>
  <c r="M16" i="48"/>
  <c r="N16" i="48" s="1"/>
  <c r="C23" i="42"/>
  <c r="D22" i="42"/>
  <c r="J22" i="42"/>
  <c r="H22" i="42"/>
  <c r="E23" i="42"/>
  <c r="R22" i="42"/>
  <c r="K23" i="42"/>
  <c r="P22" i="42"/>
  <c r="N22" i="42"/>
  <c r="O23" i="42"/>
  <c r="Q23" i="42"/>
  <c r="F22" i="42"/>
  <c r="G23" i="42"/>
  <c r="S23" i="42"/>
  <c r="M23" i="42"/>
  <c r="T22" i="42"/>
  <c r="U23" i="42"/>
  <c r="L22" i="42"/>
  <c r="V22" i="42"/>
  <c r="I23" i="42"/>
  <c r="BO17" i="48" l="1"/>
  <c r="BV18" i="48"/>
  <c r="BU18" i="48"/>
  <c r="E18" i="48"/>
  <c r="F18" i="48" s="1"/>
  <c r="G19" i="48"/>
  <c r="D19" i="48"/>
  <c r="BJ18" i="48"/>
  <c r="AJ19" i="48"/>
  <c r="AI19" i="48"/>
  <c r="BS17" i="48"/>
  <c r="BT17" i="48" s="1"/>
  <c r="AE19" i="48"/>
  <c r="BR18" i="48"/>
  <c r="H19" i="48"/>
  <c r="BN18" i="48"/>
  <c r="BM18" i="48"/>
  <c r="AG18" i="48"/>
  <c r="BQ18" i="48"/>
  <c r="AF19" i="48"/>
  <c r="AB19" i="48"/>
  <c r="AA19" i="48"/>
  <c r="BB18" i="48"/>
  <c r="BP16" i="48"/>
  <c r="BP15" i="48"/>
  <c r="AU15" i="48"/>
  <c r="AV15" i="48" s="1"/>
  <c r="C19" i="48"/>
  <c r="BC16" i="48"/>
  <c r="BD16" i="48" s="1"/>
  <c r="BW16" i="48"/>
  <c r="BX16" i="48" s="1"/>
  <c r="Y17" i="48"/>
  <c r="Z17" i="48" s="1"/>
  <c r="U17" i="48"/>
  <c r="V17" i="48" s="1"/>
  <c r="BK15" i="48"/>
  <c r="BL15" i="48" s="1"/>
  <c r="M17" i="48"/>
  <c r="N17" i="48" s="1"/>
  <c r="I17" i="48"/>
  <c r="J17" i="48" s="1"/>
  <c r="BW15" i="48"/>
  <c r="BX15" i="48" s="1"/>
  <c r="AC17" i="48"/>
  <c r="AD17" i="48" s="1"/>
  <c r="BG15" i="48"/>
  <c r="BH15" i="48" s="1"/>
  <c r="AU16" i="48"/>
  <c r="AV16" i="48" s="1"/>
  <c r="BG16" i="48"/>
  <c r="BH16" i="48" s="1"/>
  <c r="Q17" i="48"/>
  <c r="R17" i="48" s="1"/>
  <c r="AQ16" i="48"/>
  <c r="AR16" i="48" s="1"/>
  <c r="BK16" i="48"/>
  <c r="BL16" i="48" s="1"/>
  <c r="AH17" i="48"/>
  <c r="AY16" i="48"/>
  <c r="AZ16" i="48" s="1"/>
  <c r="AQ15" i="48"/>
  <c r="AR15" i="48" s="1"/>
  <c r="BC15" i="48"/>
  <c r="BD15" i="48" s="1"/>
  <c r="AY15" i="48"/>
  <c r="AZ15" i="48" s="1"/>
  <c r="AK17" i="48"/>
  <c r="AL17" i="48" s="1"/>
  <c r="C24" i="42"/>
  <c r="D23" i="42"/>
  <c r="F23" i="42"/>
  <c r="I24" i="42"/>
  <c r="R23" i="42"/>
  <c r="N23" i="42"/>
  <c r="L23" i="42"/>
  <c r="S24" i="42"/>
  <c r="O24" i="42"/>
  <c r="U24" i="42"/>
  <c r="G24" i="42"/>
  <c r="J23" i="42"/>
  <c r="V23" i="42"/>
  <c r="T23" i="42"/>
  <c r="Q24" i="42"/>
  <c r="M24" i="42"/>
  <c r="K24" i="42"/>
  <c r="E24" i="42"/>
  <c r="H23" i="42"/>
  <c r="P23" i="42"/>
  <c r="BO18" i="48" l="1"/>
  <c r="BV19" i="48"/>
  <c r="BU19" i="48"/>
  <c r="G20" i="48"/>
  <c r="E19" i="48"/>
  <c r="F19" i="48" s="1"/>
  <c r="D20" i="48"/>
  <c r="BJ19" i="48"/>
  <c r="AJ20" i="48"/>
  <c r="AI20" i="48"/>
  <c r="BS18" i="48"/>
  <c r="BT18" i="48" s="1"/>
  <c r="AE20" i="48"/>
  <c r="BR19" i="48"/>
  <c r="H20" i="48"/>
  <c r="BN19" i="48"/>
  <c r="BM19" i="48"/>
  <c r="AG19" i="48"/>
  <c r="BQ19" i="48"/>
  <c r="AF20" i="48"/>
  <c r="AB20" i="48"/>
  <c r="AA20" i="48"/>
  <c r="BB19" i="48"/>
  <c r="AQ17" i="48"/>
  <c r="AR17" i="48" s="1"/>
  <c r="AH18" i="48"/>
  <c r="Y18" i="48"/>
  <c r="Z18" i="48" s="1"/>
  <c r="C20" i="48"/>
  <c r="AU17" i="48"/>
  <c r="AV17" i="48" s="1"/>
  <c r="I18" i="48"/>
  <c r="J18" i="48" s="1"/>
  <c r="M18" i="48"/>
  <c r="N18" i="48" s="1"/>
  <c r="BP17" i="48"/>
  <c r="AK18" i="48"/>
  <c r="AL18" i="48" s="1"/>
  <c r="BK17" i="48"/>
  <c r="BL17" i="48" s="1"/>
  <c r="AC18" i="48"/>
  <c r="AD18" i="48" s="1"/>
  <c r="BG17" i="48"/>
  <c r="BH17" i="48" s="1"/>
  <c r="BW17" i="48"/>
  <c r="BX17" i="48" s="1"/>
  <c r="Q18" i="48"/>
  <c r="R18" i="48" s="1"/>
  <c r="U18" i="48"/>
  <c r="V18" i="48" s="1"/>
  <c r="AY17" i="48"/>
  <c r="AZ17" i="48" s="1"/>
  <c r="BC17" i="48"/>
  <c r="BD17" i="48" s="1"/>
  <c r="C25" i="42"/>
  <c r="D24" i="42"/>
  <c r="P24" i="42"/>
  <c r="V24" i="42"/>
  <c r="N24" i="42"/>
  <c r="L24" i="42"/>
  <c r="M25" i="42"/>
  <c r="Q25" i="42"/>
  <c r="K25" i="42"/>
  <c r="S25" i="42"/>
  <c r="F24" i="42"/>
  <c r="G25" i="42"/>
  <c r="I25" i="42"/>
  <c r="H24" i="42"/>
  <c r="O25" i="42"/>
  <c r="R24" i="42"/>
  <c r="J24" i="42"/>
  <c r="E25" i="42"/>
  <c r="U25" i="42"/>
  <c r="T24" i="42"/>
  <c r="BO19" i="48" l="1"/>
  <c r="BV20" i="48"/>
  <c r="BU20" i="48"/>
  <c r="G21" i="48"/>
  <c r="E20" i="48"/>
  <c r="F20" i="48" s="1"/>
  <c r="D21" i="48"/>
  <c r="BJ20" i="48"/>
  <c r="AJ21" i="48"/>
  <c r="AI21" i="48"/>
  <c r="BS19" i="48"/>
  <c r="BT19" i="48" s="1"/>
  <c r="AE21" i="48"/>
  <c r="BR20" i="48"/>
  <c r="H21" i="48"/>
  <c r="BN20" i="48"/>
  <c r="BM20" i="48"/>
  <c r="AG20" i="48"/>
  <c r="BQ20" i="48"/>
  <c r="AF21" i="48"/>
  <c r="AB21" i="48"/>
  <c r="AA21" i="48"/>
  <c r="BB20" i="48"/>
  <c r="C21" i="48"/>
  <c r="AH19" i="48"/>
  <c r="BK18" i="48"/>
  <c r="BL18" i="48" s="1"/>
  <c r="M19" i="48"/>
  <c r="N19" i="48" s="1"/>
  <c r="BG18" i="48"/>
  <c r="BH18" i="48" s="1"/>
  <c r="BC18" i="48"/>
  <c r="BD18" i="48" s="1"/>
  <c r="I19" i="48"/>
  <c r="J19" i="48" s="1"/>
  <c r="Q19" i="48"/>
  <c r="R19" i="48" s="1"/>
  <c r="AC19" i="48"/>
  <c r="AD19" i="48" s="1"/>
  <c r="AU18" i="48"/>
  <c r="AV18" i="48" s="1"/>
  <c r="BP18" i="48"/>
  <c r="Y19" i="48"/>
  <c r="Z19" i="48" s="1"/>
  <c r="U19" i="48"/>
  <c r="V19" i="48" s="1"/>
  <c r="AQ18" i="48"/>
  <c r="AR18" i="48" s="1"/>
  <c r="AK19" i="48"/>
  <c r="AL19" i="48" s="1"/>
  <c r="BW18" i="48"/>
  <c r="BX18" i="48" s="1"/>
  <c r="AY18" i="48"/>
  <c r="AZ18" i="48" s="1"/>
  <c r="I20" i="48"/>
  <c r="J20" i="48" s="1"/>
  <c r="C26" i="42"/>
  <c r="D25" i="42"/>
  <c r="E26" i="42"/>
  <c r="V25" i="42"/>
  <c r="Q26" i="42"/>
  <c r="I26" i="42"/>
  <c r="S26" i="42"/>
  <c r="O26" i="42"/>
  <c r="L25" i="42"/>
  <c r="G26" i="42"/>
  <c r="R25" i="42"/>
  <c r="J25" i="42"/>
  <c r="H25" i="42"/>
  <c r="F25" i="42"/>
  <c r="U26" i="42"/>
  <c r="N25" i="42"/>
  <c r="K26" i="42"/>
  <c r="P25" i="42"/>
  <c r="M26" i="42"/>
  <c r="T25" i="42"/>
  <c r="BO20" i="48" l="1"/>
  <c r="BV21" i="48"/>
  <c r="BU21" i="48"/>
  <c r="G22" i="48"/>
  <c r="E21" i="48"/>
  <c r="F21" i="48" s="1"/>
  <c r="D22" i="48"/>
  <c r="BJ21" i="48"/>
  <c r="AJ22" i="48"/>
  <c r="AI22" i="48"/>
  <c r="BS20" i="48"/>
  <c r="BT20" i="48" s="1"/>
  <c r="AE22" i="48"/>
  <c r="BR21" i="48"/>
  <c r="H22" i="48"/>
  <c r="BN21" i="48"/>
  <c r="BM21" i="48"/>
  <c r="AG21" i="48"/>
  <c r="BQ21" i="48"/>
  <c r="AF22" i="48"/>
  <c r="AB22" i="48"/>
  <c r="AA22" i="48"/>
  <c r="BB21" i="48"/>
  <c r="BW19" i="48"/>
  <c r="BX19" i="48" s="1"/>
  <c r="AK20" i="48"/>
  <c r="AL20" i="48" s="1"/>
  <c r="BC19" i="48"/>
  <c r="BD19" i="48" s="1"/>
  <c r="BP19" i="48"/>
  <c r="U20" i="48"/>
  <c r="V20" i="48" s="1"/>
  <c r="AU19" i="48"/>
  <c r="AV19" i="48" s="1"/>
  <c r="C22" i="48"/>
  <c r="M20" i="48"/>
  <c r="N20" i="48" s="1"/>
  <c r="AQ19" i="48"/>
  <c r="AR19" i="48" s="1"/>
  <c r="AH20" i="48"/>
  <c r="Q20" i="48"/>
  <c r="R20" i="48" s="1"/>
  <c r="AC20" i="48"/>
  <c r="AD20" i="48" s="1"/>
  <c r="Y20" i="48"/>
  <c r="Z20" i="48" s="1"/>
  <c r="BK19" i="48"/>
  <c r="BL19" i="48" s="1"/>
  <c r="AY19" i="48"/>
  <c r="AZ19" i="48" s="1"/>
  <c r="BG19" i="48"/>
  <c r="BH19" i="48" s="1"/>
  <c r="C27" i="42"/>
  <c r="C28" i="42"/>
  <c r="D26" i="42"/>
  <c r="T26" i="42"/>
  <c r="Q28" i="42"/>
  <c r="F26" i="42"/>
  <c r="Q27" i="42"/>
  <c r="G27" i="42"/>
  <c r="S28" i="42"/>
  <c r="L26" i="42"/>
  <c r="P26" i="42"/>
  <c r="O28" i="42"/>
  <c r="S27" i="42"/>
  <c r="E28" i="42"/>
  <c r="N26" i="42"/>
  <c r="K28" i="42"/>
  <c r="K27" i="42"/>
  <c r="U28" i="42"/>
  <c r="H26" i="42"/>
  <c r="I28" i="42"/>
  <c r="M28" i="42"/>
  <c r="G28" i="42"/>
  <c r="J26" i="42"/>
  <c r="M27" i="42"/>
  <c r="V26" i="42"/>
  <c r="R26" i="42"/>
  <c r="E27" i="42"/>
  <c r="U27" i="42"/>
  <c r="O27" i="42"/>
  <c r="I27" i="42"/>
  <c r="BO21" i="48" l="1"/>
  <c r="BV22" i="48"/>
  <c r="BU22" i="48"/>
  <c r="E22" i="48"/>
  <c r="F22" i="48" s="1"/>
  <c r="G24" i="48"/>
  <c r="G23" i="48"/>
  <c r="D24" i="48"/>
  <c r="D23" i="48"/>
  <c r="BJ22" i="48"/>
  <c r="AJ24" i="48"/>
  <c r="AJ23" i="48"/>
  <c r="AI24" i="48"/>
  <c r="AI23" i="48"/>
  <c r="BS21" i="48"/>
  <c r="BT21" i="48" s="1"/>
  <c r="AE23" i="48"/>
  <c r="AE24" i="48"/>
  <c r="BR22" i="48"/>
  <c r="H24" i="48"/>
  <c r="H23" i="48"/>
  <c r="BN22" i="48"/>
  <c r="BM22" i="48"/>
  <c r="AG22" i="48"/>
  <c r="BQ22" i="48"/>
  <c r="AF23" i="48"/>
  <c r="AF24" i="48"/>
  <c r="AB23" i="48"/>
  <c r="AB24" i="48"/>
  <c r="AA23" i="48"/>
  <c r="AA24" i="48"/>
  <c r="BB22" i="48"/>
  <c r="Q21" i="48"/>
  <c r="R21" i="48" s="1"/>
  <c r="AY20" i="48"/>
  <c r="AZ20" i="48" s="1"/>
  <c r="AH21" i="48"/>
  <c r="C24" i="48"/>
  <c r="C23" i="48"/>
  <c r="AU20" i="48"/>
  <c r="AV20" i="48" s="1"/>
  <c r="BP20" i="48"/>
  <c r="AQ20" i="48"/>
  <c r="AR20" i="48" s="1"/>
  <c r="U21" i="48"/>
  <c r="V21" i="48" s="1"/>
  <c r="BK20" i="48"/>
  <c r="BL20" i="48" s="1"/>
  <c r="M21" i="48"/>
  <c r="N21" i="48" s="1"/>
  <c r="F26" i="48"/>
  <c r="F25" i="48"/>
  <c r="I21" i="48"/>
  <c r="J21" i="48" s="1"/>
  <c r="AK21" i="48"/>
  <c r="AL21" i="48" s="1"/>
  <c r="BW20" i="48"/>
  <c r="BX20" i="48" s="1"/>
  <c r="BC20" i="48"/>
  <c r="BD20" i="48" s="1"/>
  <c r="BG20" i="48"/>
  <c r="BH20" i="48" s="1"/>
  <c r="Y21" i="48"/>
  <c r="Z21" i="48" s="1"/>
  <c r="AC21" i="48"/>
  <c r="AD21" i="48" s="1"/>
  <c r="I22" i="48"/>
  <c r="J22" i="48" s="1"/>
  <c r="U22" i="48"/>
  <c r="V22" i="48" s="1"/>
  <c r="D28" i="42"/>
  <c r="D27" i="42"/>
  <c r="J28" i="42"/>
  <c r="N28" i="42"/>
  <c r="F28" i="42"/>
  <c r="P28" i="42"/>
  <c r="H27" i="42"/>
  <c r="V28" i="42"/>
  <c r="T28" i="42"/>
  <c r="R28" i="42"/>
  <c r="T27" i="42"/>
  <c r="H28" i="42"/>
  <c r="V27" i="42"/>
  <c r="J27" i="42"/>
  <c r="P27" i="42"/>
  <c r="L28" i="42"/>
  <c r="F27" i="42"/>
  <c r="R27" i="42"/>
  <c r="L27" i="42"/>
  <c r="N27" i="42"/>
  <c r="BO22" i="48" l="1"/>
  <c r="BV23" i="48"/>
  <c r="BV24" i="48"/>
  <c r="BU23" i="48"/>
  <c r="BU24" i="48"/>
  <c r="E24" i="48"/>
  <c r="F24" i="48" s="1"/>
  <c r="E23" i="48"/>
  <c r="F23" i="48" s="1"/>
  <c r="BJ23" i="48"/>
  <c r="BJ24" i="48"/>
  <c r="BS22" i="48"/>
  <c r="BT22" i="48" s="1"/>
  <c r="BR24" i="48"/>
  <c r="BR23" i="48"/>
  <c r="BN23" i="48"/>
  <c r="BN24" i="48"/>
  <c r="BM23" i="48"/>
  <c r="BM24" i="48"/>
  <c r="AG24" i="48"/>
  <c r="AG23" i="48"/>
  <c r="BQ24" i="48"/>
  <c r="BQ23" i="48"/>
  <c r="BB24" i="48"/>
  <c r="BB23" i="48"/>
  <c r="BK21" i="48"/>
  <c r="BL21" i="48" s="1"/>
  <c r="BG21" i="48"/>
  <c r="BH21" i="48" s="1"/>
  <c r="AU21" i="48"/>
  <c r="AV21" i="48" s="1"/>
  <c r="Q22" i="48"/>
  <c r="R22" i="48" s="1"/>
  <c r="BP21" i="48"/>
  <c r="BW21" i="48"/>
  <c r="BX21" i="48" s="1"/>
  <c r="Y22" i="48"/>
  <c r="Z22" i="48" s="1"/>
  <c r="AY21" i="48"/>
  <c r="AZ21" i="48" s="1"/>
  <c r="AQ21" i="48"/>
  <c r="AR21" i="48" s="1"/>
  <c r="AC22" i="48"/>
  <c r="AD22" i="48" s="1"/>
  <c r="M22" i="48"/>
  <c r="N22" i="48" s="1"/>
  <c r="AK22" i="48"/>
  <c r="AL22" i="48" s="1"/>
  <c r="AH22" i="48"/>
  <c r="BC21" i="48"/>
  <c r="BD21" i="48" s="1"/>
  <c r="M24" i="48"/>
  <c r="N24" i="48" s="1"/>
  <c r="BO23" i="48" l="1"/>
  <c r="BO24" i="48"/>
  <c r="BS23" i="48"/>
  <c r="BT23" i="48" s="1"/>
  <c r="BS24" i="48"/>
  <c r="BT24" i="48" s="1"/>
  <c r="BW22" i="48"/>
  <c r="BX22" i="48" s="1"/>
  <c r="AH23" i="48"/>
  <c r="U23" i="48"/>
  <c r="V23" i="48" s="1"/>
  <c r="Y23" i="48"/>
  <c r="Z23" i="48" s="1"/>
  <c r="Y24" i="48"/>
  <c r="Z24" i="48" s="1"/>
  <c r="AH24" i="48"/>
  <c r="AC24" i="48"/>
  <c r="AD24" i="48" s="1"/>
  <c r="BG22" i="48"/>
  <c r="BH22" i="48" s="1"/>
  <c r="Q23" i="48"/>
  <c r="R23" i="48" s="1"/>
  <c r="U24" i="48"/>
  <c r="V24" i="48" s="1"/>
  <c r="AC23" i="48"/>
  <c r="AD23" i="48" s="1"/>
  <c r="AK24" i="48"/>
  <c r="AL24" i="48" s="1"/>
  <c r="I23" i="48"/>
  <c r="J23" i="48" s="1"/>
  <c r="AK23" i="48"/>
  <c r="AL23" i="48" s="1"/>
  <c r="AY22" i="48"/>
  <c r="AZ22" i="48" s="1"/>
  <c r="Q24" i="48"/>
  <c r="R24" i="48" s="1"/>
  <c r="AQ22" i="48"/>
  <c r="AR22" i="48" s="1"/>
  <c r="M23" i="48"/>
  <c r="N23" i="48" s="1"/>
  <c r="I24" i="48"/>
  <c r="J24" i="48" s="1"/>
  <c r="BP22" i="48"/>
  <c r="BK22" i="48"/>
  <c r="BL22" i="48" s="1"/>
  <c r="BC22" i="48"/>
  <c r="BD22" i="48" s="1"/>
  <c r="AU22" i="48"/>
  <c r="AV22" i="48" s="1"/>
  <c r="AJ6" i="48" l="1"/>
  <c r="AI6" i="48"/>
  <c r="AE6" i="48"/>
  <c r="AF6" i="48"/>
  <c r="AB6" i="48"/>
  <c r="AA6" i="48"/>
  <c r="BC24" i="48"/>
  <c r="BD24" i="48" s="1"/>
  <c r="AQ23" i="48"/>
  <c r="AR23" i="48" s="1"/>
  <c r="C6" i="48"/>
  <c r="E6" i="48" s="1"/>
  <c r="BP24" i="48"/>
  <c r="AY23" i="48"/>
  <c r="AZ23" i="48" s="1"/>
  <c r="BW23" i="48"/>
  <c r="BX23" i="48" s="1"/>
  <c r="BK24" i="48"/>
  <c r="BL24" i="48" s="1"/>
  <c r="AU23" i="48"/>
  <c r="AV23" i="48" s="1"/>
  <c r="AY24" i="48"/>
  <c r="AZ24" i="48" s="1"/>
  <c r="BK23" i="48"/>
  <c r="BL23" i="48" s="1"/>
  <c r="BW24" i="48"/>
  <c r="BX24" i="48" s="1"/>
  <c r="AU24" i="48"/>
  <c r="AV24" i="48" s="1"/>
  <c r="BP23" i="48"/>
  <c r="AQ24" i="48"/>
  <c r="AR24" i="48" s="1"/>
  <c r="BC23" i="48"/>
  <c r="BD23" i="48" s="1"/>
  <c r="BG23" i="48"/>
  <c r="BH23" i="48" s="1"/>
  <c r="BG24" i="48"/>
  <c r="BH24" i="48" s="1"/>
  <c r="C9" i="42"/>
  <c r="C39" i="42"/>
  <c r="C11" i="42"/>
  <c r="D10" i="42"/>
  <c r="O39" i="42"/>
  <c r="H10" i="42"/>
  <c r="O11" i="42"/>
  <c r="I9" i="42"/>
  <c r="Q39" i="42"/>
  <c r="V10" i="42"/>
  <c r="P10" i="42"/>
  <c r="U11" i="42"/>
  <c r="S9" i="42"/>
  <c r="K11" i="42"/>
  <c r="K39" i="42"/>
  <c r="L10" i="42"/>
  <c r="M11" i="42"/>
  <c r="E11" i="42" a="1"/>
  <c r="Q9" i="42"/>
  <c r="M39" i="42"/>
  <c r="S11" i="42"/>
  <c r="F10" i="42"/>
  <c r="T10" i="42"/>
  <c r="N10" i="42"/>
  <c r="U9" i="42"/>
  <c r="U39" i="42"/>
  <c r="I11" i="42"/>
  <c r="K9" i="42"/>
  <c r="O9" i="42"/>
  <c r="M9" i="42"/>
  <c r="Q11" i="42"/>
  <c r="J10" i="42"/>
  <c r="S39" i="42"/>
  <c r="E9" i="42"/>
  <c r="E39" i="42"/>
  <c r="R10" i="42"/>
  <c r="G9" i="42"/>
  <c r="G11" i="42"/>
  <c r="I39" i="42"/>
  <c r="G39" i="42"/>
  <c r="BV6" i="48" l="1"/>
  <c r="BU6" i="48"/>
  <c r="G5" i="48"/>
  <c r="G35" i="48"/>
  <c r="G7" i="48"/>
  <c r="D35" i="48"/>
  <c r="D5" i="48"/>
  <c r="BJ6" i="48"/>
  <c r="AJ35" i="48"/>
  <c r="AJ7" i="48"/>
  <c r="AJ5" i="48"/>
  <c r="AI35" i="48"/>
  <c r="AI7" i="48"/>
  <c r="AI5" i="48"/>
  <c r="AE5" i="48"/>
  <c r="AE35" i="48"/>
  <c r="AE7" i="48"/>
  <c r="BR6" i="48"/>
  <c r="H6" i="48"/>
  <c r="D9" i="42"/>
  <c r="H35" i="48"/>
  <c r="H7" i="48"/>
  <c r="H5" i="48"/>
  <c r="BN6" i="48"/>
  <c r="BM6" i="48"/>
  <c r="AG6" i="48"/>
  <c r="BQ6" i="48"/>
  <c r="AF5" i="48"/>
  <c r="AF35" i="48"/>
  <c r="AF7" i="48"/>
  <c r="AB7" i="48"/>
  <c r="AB5" i="48"/>
  <c r="AB35" i="48"/>
  <c r="AA7" i="48"/>
  <c r="AA35" i="48"/>
  <c r="AA5" i="48"/>
  <c r="E11" i="42"/>
  <c r="BB6" i="48"/>
  <c r="C5" i="48"/>
  <c r="C35" i="48"/>
  <c r="C40" i="42"/>
  <c r="D39" i="42"/>
  <c r="C12" i="42"/>
  <c r="D11" i="42"/>
  <c r="F11" i="42"/>
  <c r="P39" i="42"/>
  <c r="R9" i="42"/>
  <c r="V39" i="42"/>
  <c r="J39" i="42"/>
  <c r="T39" i="42"/>
  <c r="L39" i="42"/>
  <c r="N9" i="42"/>
  <c r="L11" i="42"/>
  <c r="N39" i="42"/>
  <c r="H9" i="42"/>
  <c r="M12" i="42"/>
  <c r="O12" i="42"/>
  <c r="Q12" i="42"/>
  <c r="T11" i="42"/>
  <c r="H39" i="42"/>
  <c r="G12" i="42"/>
  <c r="J11" i="42"/>
  <c r="K12" i="42"/>
  <c r="R39" i="42"/>
  <c r="F39" i="42"/>
  <c r="P9" i="42"/>
  <c r="F9" i="42"/>
  <c r="P11" i="42"/>
  <c r="R11" i="42"/>
  <c r="L9" i="42"/>
  <c r="H11" i="42"/>
  <c r="S12" i="42"/>
  <c r="J9" i="42"/>
  <c r="N11" i="42"/>
  <c r="U12" i="42"/>
  <c r="E12" i="42" a="1"/>
  <c r="T9" i="42"/>
  <c r="V9" i="42"/>
  <c r="V11" i="42"/>
  <c r="I12" i="42"/>
  <c r="BO6" i="48" l="1"/>
  <c r="BV7" i="48"/>
  <c r="BV5" i="48"/>
  <c r="BV35" i="48"/>
  <c r="BU7" i="48"/>
  <c r="BU5" i="48"/>
  <c r="BU35" i="48"/>
  <c r="E35" i="48"/>
  <c r="G8" i="48"/>
  <c r="I5" i="48"/>
  <c r="E5" i="48"/>
  <c r="F5" i="48" s="1"/>
  <c r="C7" i="48"/>
  <c r="D7" i="48"/>
  <c r="BJ7" i="48"/>
  <c r="BJ35" i="48"/>
  <c r="BJ5" i="48"/>
  <c r="AJ8" i="48"/>
  <c r="AI8" i="48"/>
  <c r="BS6" i="48"/>
  <c r="BT6" i="48" s="1"/>
  <c r="AG5" i="48"/>
  <c r="AE8" i="48"/>
  <c r="BR35" i="48"/>
  <c r="BR7" i="48"/>
  <c r="BR5" i="48"/>
  <c r="BQ5" i="48"/>
  <c r="BM5" i="48"/>
  <c r="BN5" i="48"/>
  <c r="BB5" i="48"/>
  <c r="H8" i="48"/>
  <c r="AG35" i="48"/>
  <c r="BN7" i="48"/>
  <c r="BN35" i="48"/>
  <c r="BM7" i="48"/>
  <c r="BM35" i="48"/>
  <c r="BQ35" i="48"/>
  <c r="BQ7" i="48"/>
  <c r="AF8" i="48"/>
  <c r="AG7" i="48"/>
  <c r="AB8" i="48"/>
  <c r="AA8" i="48"/>
  <c r="E12" i="42"/>
  <c r="BB7" i="48"/>
  <c r="BB35" i="48"/>
  <c r="Y6" i="48"/>
  <c r="Z6" i="48" s="1"/>
  <c r="U6" i="48"/>
  <c r="V6" i="48" s="1"/>
  <c r="AH6" i="48"/>
  <c r="I6" i="48"/>
  <c r="J6" i="48" s="1"/>
  <c r="M6" i="48"/>
  <c r="N6" i="48" s="1"/>
  <c r="AK6" i="48"/>
  <c r="AL6" i="48" s="1"/>
  <c r="Q6" i="48"/>
  <c r="R6" i="48" s="1"/>
  <c r="AC6" i="48"/>
  <c r="AD6" i="48" s="1"/>
  <c r="I7" i="48"/>
  <c r="J7" i="48" s="1"/>
  <c r="F6" i="48"/>
  <c r="Y5" i="48"/>
  <c r="AK5" i="48"/>
  <c r="U5" i="48"/>
  <c r="AC5" i="48"/>
  <c r="Q5" i="48"/>
  <c r="M5" i="48"/>
  <c r="C13" i="42"/>
  <c r="D12" i="42"/>
  <c r="F12" i="42"/>
  <c r="N12" i="42"/>
  <c r="J12" i="42"/>
  <c r="V12" i="42"/>
  <c r="I13" i="42"/>
  <c r="S13" i="42"/>
  <c r="Q13" i="42"/>
  <c r="U13" i="42"/>
  <c r="O13" i="42"/>
  <c r="T12" i="42"/>
  <c r="K13" i="42"/>
  <c r="R12" i="42"/>
  <c r="H12" i="42"/>
  <c r="L12" i="42"/>
  <c r="M13" i="42"/>
  <c r="P12" i="42"/>
  <c r="G13" i="42"/>
  <c r="BO7" i="48" l="1"/>
  <c r="BO35" i="48"/>
  <c r="BO5" i="48"/>
  <c r="BV8" i="48"/>
  <c r="BU8" i="48"/>
  <c r="G9" i="48"/>
  <c r="E7" i="48"/>
  <c r="C8" i="48"/>
  <c r="D8" i="48"/>
  <c r="BJ8" i="48"/>
  <c r="AJ9" i="48"/>
  <c r="AI9" i="48"/>
  <c r="BS7" i="48"/>
  <c r="BT7" i="48" s="1"/>
  <c r="BS35" i="48"/>
  <c r="BT35" i="48" s="1"/>
  <c r="BS5" i="48"/>
  <c r="BT5" i="48" s="1"/>
  <c r="AE9" i="48"/>
  <c r="BR8" i="48"/>
  <c r="H9" i="48"/>
  <c r="BN8" i="48"/>
  <c r="BM8" i="48"/>
  <c r="BQ8" i="48"/>
  <c r="AG8" i="48"/>
  <c r="AF9" i="48"/>
  <c r="AB9" i="48"/>
  <c r="AA9" i="48"/>
  <c r="BB8" i="48"/>
  <c r="AC7" i="48"/>
  <c r="AD7" i="48" s="1"/>
  <c r="AU6" i="48"/>
  <c r="AV6" i="48" s="1"/>
  <c r="C9" i="48"/>
  <c r="E9" i="48" s="1"/>
  <c r="BG6" i="48"/>
  <c r="BH6" i="48" s="1"/>
  <c r="AY6" i="48"/>
  <c r="AZ6" i="48" s="1"/>
  <c r="BK6" i="48"/>
  <c r="BL6" i="48" s="1"/>
  <c r="BP6" i="48"/>
  <c r="AK7" i="48"/>
  <c r="AL7" i="48" s="1"/>
  <c r="BW6" i="48"/>
  <c r="BX6" i="48" s="1"/>
  <c r="Q7" i="48"/>
  <c r="R7" i="48" s="1"/>
  <c r="M7" i="48"/>
  <c r="N7" i="48" s="1"/>
  <c r="U7" i="48"/>
  <c r="V7" i="48" s="1"/>
  <c r="Y7" i="48"/>
  <c r="Z7" i="48" s="1"/>
  <c r="AQ6" i="48"/>
  <c r="AR6" i="48" s="1"/>
  <c r="BC6" i="48"/>
  <c r="BD6" i="48" s="1"/>
  <c r="AH7" i="48"/>
  <c r="J5" i="48"/>
  <c r="N5" i="48"/>
  <c r="R5" i="48"/>
  <c r="AD5" i="48"/>
  <c r="V5" i="48"/>
  <c r="AL5" i="48"/>
  <c r="Z5" i="48"/>
  <c r="AH5" i="48"/>
  <c r="BK5" i="48"/>
  <c r="BC5" i="48"/>
  <c r="AQ5" i="48"/>
  <c r="BG5" i="48"/>
  <c r="BW5" i="48"/>
  <c r="AY5" i="48"/>
  <c r="AG6" i="45"/>
  <c r="AH6" i="45" s="1"/>
  <c r="E6" i="45"/>
  <c r="F6" i="45" s="1"/>
  <c r="AG5" i="45"/>
  <c r="AK5" i="45"/>
  <c r="U5" i="45"/>
  <c r="I5" i="45"/>
  <c r="E5" i="45"/>
  <c r="Q5" i="45"/>
  <c r="AC5" i="45"/>
  <c r="M5" i="45"/>
  <c r="Y5" i="45"/>
  <c r="C14" i="42"/>
  <c r="D13" i="42"/>
  <c r="M14" i="42"/>
  <c r="Q14" i="42"/>
  <c r="U14" i="42"/>
  <c r="N13" i="42"/>
  <c r="G14" i="42"/>
  <c r="O14" i="42"/>
  <c r="S14" i="42"/>
  <c r="P13" i="42"/>
  <c r="V13" i="42"/>
  <c r="F13" i="42"/>
  <c r="L13" i="42"/>
  <c r="I14" i="42"/>
  <c r="J13" i="42"/>
  <c r="H13" i="42"/>
  <c r="R13" i="42"/>
  <c r="K14" i="42"/>
  <c r="T13" i="42"/>
  <c r="BO8" i="48" l="1"/>
  <c r="BV9" i="48"/>
  <c r="BU9" i="48"/>
  <c r="G10" i="48"/>
  <c r="E8" i="48"/>
  <c r="F8" i="48" s="1"/>
  <c r="BJ9" i="48"/>
  <c r="AJ10" i="48"/>
  <c r="AI10" i="48"/>
  <c r="BS8" i="48"/>
  <c r="BT8" i="48" s="1"/>
  <c r="AE10" i="48"/>
  <c r="BR9" i="48"/>
  <c r="H10" i="48"/>
  <c r="BN9" i="48"/>
  <c r="BM9" i="48"/>
  <c r="AG9" i="48"/>
  <c r="BQ9" i="48"/>
  <c r="AF10" i="48"/>
  <c r="AB10" i="48"/>
  <c r="AA10" i="48"/>
  <c r="BB9" i="48"/>
  <c r="C10" i="48"/>
  <c r="E10" i="48" s="1"/>
  <c r="AQ7" i="48"/>
  <c r="AR7" i="48" s="1"/>
  <c r="AY7" i="48"/>
  <c r="AZ7" i="48" s="1"/>
  <c r="BK7" i="48"/>
  <c r="BL7" i="48" s="1"/>
  <c r="F7" i="48"/>
  <c r="BP7" i="48"/>
  <c r="U8" i="48"/>
  <c r="AU7" i="48"/>
  <c r="AV7" i="48" s="1"/>
  <c r="I8" i="48"/>
  <c r="Y8" i="48"/>
  <c r="AK8" i="48"/>
  <c r="BW7" i="48"/>
  <c r="BX7" i="48" s="1"/>
  <c r="BG7" i="48"/>
  <c r="BH7" i="48" s="1"/>
  <c r="BC7" i="48"/>
  <c r="BD7" i="48" s="1"/>
  <c r="Q8" i="48"/>
  <c r="AC8" i="48"/>
  <c r="M8" i="48"/>
  <c r="AZ5" i="48"/>
  <c r="BX5" i="48"/>
  <c r="BP5" i="48"/>
  <c r="BH5" i="48"/>
  <c r="AV5" i="48"/>
  <c r="AR5" i="48"/>
  <c r="BD5" i="48"/>
  <c r="BL5" i="48"/>
  <c r="AK6" i="45"/>
  <c r="AL6" i="45" s="1"/>
  <c r="AU5" i="45"/>
  <c r="AV5" i="45" s="1"/>
  <c r="BK5" i="45"/>
  <c r="BL5" i="45" s="1"/>
  <c r="BG5" i="45"/>
  <c r="BH5" i="45" s="1"/>
  <c r="U6" i="45"/>
  <c r="V6" i="45" s="1"/>
  <c r="Q6" i="45"/>
  <c r="R6" i="45" s="1"/>
  <c r="Y6" i="45"/>
  <c r="Z6" i="45" s="1"/>
  <c r="BO5" i="45"/>
  <c r="BP5" i="45" s="1"/>
  <c r="BC5" i="45"/>
  <c r="BD5" i="45" s="1"/>
  <c r="AC6" i="45"/>
  <c r="AD6" i="45" s="1"/>
  <c r="BS5" i="45"/>
  <c r="BT5" i="45" s="1"/>
  <c r="AY5" i="45"/>
  <c r="AZ5" i="45" s="1"/>
  <c r="I6" i="45"/>
  <c r="J6" i="45" s="1"/>
  <c r="BW5" i="45"/>
  <c r="BX5" i="45" s="1"/>
  <c r="AQ5" i="45"/>
  <c r="AR5" i="45" s="1"/>
  <c r="M6" i="45"/>
  <c r="N6" i="45" s="1"/>
  <c r="Z5" i="45"/>
  <c r="N5" i="45"/>
  <c r="AD5" i="45"/>
  <c r="R5" i="45"/>
  <c r="F5" i="45"/>
  <c r="J5" i="45"/>
  <c r="V5" i="45"/>
  <c r="AL5" i="45"/>
  <c r="AH5" i="45"/>
  <c r="C15" i="42"/>
  <c r="D14" i="42"/>
  <c r="N14" i="42"/>
  <c r="L14" i="42"/>
  <c r="J14" i="42"/>
  <c r="V14" i="42"/>
  <c r="M15" i="42"/>
  <c r="O15" i="42"/>
  <c r="S15" i="42"/>
  <c r="F14" i="42"/>
  <c r="H14" i="42"/>
  <c r="T14" i="42"/>
  <c r="I15" i="42"/>
  <c r="G15" i="42"/>
  <c r="R14" i="42"/>
  <c r="U15" i="42"/>
  <c r="Q15" i="42"/>
  <c r="K15" i="42"/>
  <c r="P14" i="42"/>
  <c r="BO9" i="48" l="1"/>
  <c r="BV10" i="48"/>
  <c r="BU10" i="48"/>
  <c r="G11" i="48"/>
  <c r="BJ10" i="48"/>
  <c r="AJ11" i="48"/>
  <c r="AI11" i="48"/>
  <c r="BS9" i="48"/>
  <c r="BT9" i="48" s="1"/>
  <c r="AE11" i="48"/>
  <c r="BR10" i="48"/>
  <c r="H11" i="48"/>
  <c r="BN10" i="48"/>
  <c r="BM10" i="48"/>
  <c r="AG10" i="48"/>
  <c r="BQ10" i="48"/>
  <c r="AF11" i="48"/>
  <c r="AB11" i="48"/>
  <c r="AA11" i="48"/>
  <c r="BB10" i="48"/>
  <c r="AC9" i="48"/>
  <c r="AD9" i="48" s="1"/>
  <c r="C11" i="48"/>
  <c r="E11" i="48" s="1"/>
  <c r="AH9" i="48"/>
  <c r="Y9" i="48"/>
  <c r="Z9" i="48" s="1"/>
  <c r="BW8" i="48"/>
  <c r="J8" i="48"/>
  <c r="BC8" i="48"/>
  <c r="M9" i="48"/>
  <c r="N9" i="48" s="1"/>
  <c r="Z8" i="48"/>
  <c r="AQ8" i="48"/>
  <c r="R8" i="48"/>
  <c r="AU8" i="48"/>
  <c r="BG8" i="48"/>
  <c r="N8" i="48"/>
  <c r="Q9" i="48"/>
  <c r="R9" i="48" s="1"/>
  <c r="U9" i="48"/>
  <c r="V9" i="48" s="1"/>
  <c r="AD8" i="48"/>
  <c r="AH8" i="48"/>
  <c r="AK9" i="48"/>
  <c r="AL9" i="48" s="1"/>
  <c r="AL8" i="48"/>
  <c r="BK8" i="48"/>
  <c r="V8" i="48"/>
  <c r="AY8" i="48"/>
  <c r="I9" i="48"/>
  <c r="J9" i="48" s="1"/>
  <c r="I7" i="45"/>
  <c r="BC6" i="45"/>
  <c r="BO6" i="45"/>
  <c r="AU6" i="45"/>
  <c r="U7" i="45"/>
  <c r="BK6" i="45"/>
  <c r="BS6" i="45"/>
  <c r="M7" i="45"/>
  <c r="Q7" i="45"/>
  <c r="BW6" i="45"/>
  <c r="AK7" i="45"/>
  <c r="AQ6" i="45"/>
  <c r="AG7" i="45"/>
  <c r="AC7" i="45"/>
  <c r="Y7" i="45"/>
  <c r="AY6" i="45"/>
  <c r="BG6" i="45"/>
  <c r="E7" i="45"/>
  <c r="C16" i="42"/>
  <c r="D15" i="42"/>
  <c r="T15" i="42"/>
  <c r="Q16" i="42"/>
  <c r="S16" i="42"/>
  <c r="F15" i="42"/>
  <c r="E16" i="42"/>
  <c r="J15" i="42"/>
  <c r="K16" i="42"/>
  <c r="P15" i="42"/>
  <c r="U16" i="42"/>
  <c r="O16" i="42"/>
  <c r="G16" i="42"/>
  <c r="I16" i="42"/>
  <c r="L15" i="42"/>
  <c r="N15" i="42"/>
  <c r="R15" i="42"/>
  <c r="V15" i="42"/>
  <c r="H15" i="42"/>
  <c r="M16" i="42"/>
  <c r="BO10" i="48" l="1"/>
  <c r="BV11" i="48"/>
  <c r="BU11" i="48"/>
  <c r="G12" i="48"/>
  <c r="D12" i="48"/>
  <c r="BJ11" i="48"/>
  <c r="AJ12" i="48"/>
  <c r="AI12" i="48"/>
  <c r="BS10" i="48"/>
  <c r="BT10" i="48" s="1"/>
  <c r="AE12" i="48"/>
  <c r="BR11" i="48"/>
  <c r="H12" i="48"/>
  <c r="BN11" i="48"/>
  <c r="BM11" i="48"/>
  <c r="AG11" i="48"/>
  <c r="BQ11" i="48"/>
  <c r="AF12" i="48"/>
  <c r="AB12" i="48"/>
  <c r="AA12" i="48"/>
  <c r="BB11" i="48"/>
  <c r="BW9" i="48"/>
  <c r="BX9" i="48" s="1"/>
  <c r="BP9" i="48"/>
  <c r="BC9" i="48"/>
  <c r="BD9" i="48" s="1"/>
  <c r="C12" i="48"/>
  <c r="AC10" i="48"/>
  <c r="AD10" i="48" s="1"/>
  <c r="BG9" i="48"/>
  <c r="BH9" i="48" s="1"/>
  <c r="AQ9" i="48"/>
  <c r="AR9" i="48" s="1"/>
  <c r="F10" i="48"/>
  <c r="AK10" i="48"/>
  <c r="AU9" i="48"/>
  <c r="AV9" i="48" s="1"/>
  <c r="BH8" i="48"/>
  <c r="U10" i="48"/>
  <c r="M10" i="48"/>
  <c r="BX8" i="48"/>
  <c r="Q10" i="48"/>
  <c r="BL8" i="48"/>
  <c r="BP8" i="48"/>
  <c r="AR8" i="48"/>
  <c r="BD8" i="48"/>
  <c r="AV8" i="48"/>
  <c r="AY9" i="48"/>
  <c r="AZ9" i="48" s="1"/>
  <c r="BK9" i="48"/>
  <c r="BL9" i="48" s="1"/>
  <c r="Y10" i="48"/>
  <c r="AZ8" i="48"/>
  <c r="F9" i="48"/>
  <c r="I10" i="48"/>
  <c r="J10" i="48" s="1"/>
  <c r="I11" i="48"/>
  <c r="J11" i="48" s="1"/>
  <c r="BW7" i="45"/>
  <c r="BX7" i="45" s="1"/>
  <c r="AD7" i="45"/>
  <c r="R7" i="45"/>
  <c r="BP6" i="45"/>
  <c r="AY7" i="45"/>
  <c r="AZ7" i="45" s="1"/>
  <c r="I8" i="45"/>
  <c r="J8" i="45" s="1"/>
  <c r="BL6" i="45"/>
  <c r="Z7" i="45"/>
  <c r="AH7" i="45"/>
  <c r="BD6" i="45"/>
  <c r="BO7" i="45"/>
  <c r="BP7" i="45" s="1"/>
  <c r="AK8" i="45"/>
  <c r="AL8" i="45" s="1"/>
  <c r="BC7" i="45"/>
  <c r="BD7" i="45" s="1"/>
  <c r="BX6" i="45"/>
  <c r="AV6" i="45"/>
  <c r="BG7" i="45"/>
  <c r="BH7" i="45" s="1"/>
  <c r="AL7" i="45"/>
  <c r="J7" i="45"/>
  <c r="M8" i="45"/>
  <c r="Y8" i="45"/>
  <c r="Z8" i="45" s="1"/>
  <c r="AZ6" i="45"/>
  <c r="BT6" i="45"/>
  <c r="AG8" i="45"/>
  <c r="AH8" i="45" s="1"/>
  <c r="E8" i="45"/>
  <c r="F8" i="45" s="1"/>
  <c r="BH6" i="45"/>
  <c r="V7" i="45"/>
  <c r="AQ7" i="45"/>
  <c r="Q8" i="45"/>
  <c r="R8" i="45" s="1"/>
  <c r="BK7" i="45"/>
  <c r="BL7" i="45" s="1"/>
  <c r="AC8" i="45"/>
  <c r="AD8" i="45" s="1"/>
  <c r="F7" i="45"/>
  <c r="AR6" i="45"/>
  <c r="N7" i="45"/>
  <c r="AU7" i="45"/>
  <c r="AV7" i="45" s="1"/>
  <c r="U8" i="45"/>
  <c r="V8" i="45" s="1"/>
  <c r="BS7" i="45"/>
  <c r="BT7" i="45" s="1"/>
  <c r="C17" i="42"/>
  <c r="C18" i="42"/>
  <c r="D16" i="42"/>
  <c r="E17" i="42"/>
  <c r="O18" i="42"/>
  <c r="F16" i="42"/>
  <c r="G17" i="42"/>
  <c r="M18" i="42"/>
  <c r="G18" i="42"/>
  <c r="P16" i="42"/>
  <c r="Q18" i="42"/>
  <c r="V16" i="42"/>
  <c r="K18" i="42"/>
  <c r="U17" i="42"/>
  <c r="I18" i="42"/>
  <c r="R16" i="42"/>
  <c r="H16" i="42"/>
  <c r="I17" i="42"/>
  <c r="J16" i="42"/>
  <c r="Q17" i="42"/>
  <c r="S18" i="42"/>
  <c r="E18" i="42"/>
  <c r="K17" i="42"/>
  <c r="M17" i="42"/>
  <c r="L16" i="42"/>
  <c r="N16" i="42"/>
  <c r="S17" i="42"/>
  <c r="O17" i="42"/>
  <c r="T16" i="42"/>
  <c r="U18" i="42"/>
  <c r="BO11" i="48" l="1"/>
  <c r="BV12" i="48"/>
  <c r="BU12" i="48"/>
  <c r="E12" i="48"/>
  <c r="G14" i="48"/>
  <c r="G13" i="48"/>
  <c r="D13" i="48"/>
  <c r="D14" i="48"/>
  <c r="BJ12" i="48"/>
  <c r="AJ13" i="48"/>
  <c r="AJ14" i="48"/>
  <c r="AI13" i="48"/>
  <c r="AI14" i="48"/>
  <c r="BS11" i="48"/>
  <c r="BT11" i="48" s="1"/>
  <c r="AE14" i="48"/>
  <c r="AE13" i="48"/>
  <c r="BR12" i="48"/>
  <c r="H13" i="48"/>
  <c r="H14" i="48"/>
  <c r="BN12" i="48"/>
  <c r="BM12" i="48"/>
  <c r="AG12" i="48"/>
  <c r="BQ12" i="48"/>
  <c r="AF14" i="48"/>
  <c r="AF13" i="48"/>
  <c r="AB14" i="48"/>
  <c r="AB13" i="48"/>
  <c r="AA14" i="48"/>
  <c r="AA13" i="48"/>
  <c r="BB12" i="48"/>
  <c r="Y11" i="48"/>
  <c r="Z11" i="48" s="1"/>
  <c r="AK11" i="48"/>
  <c r="AL11" i="48" s="1"/>
  <c r="C14" i="48"/>
  <c r="C13" i="48"/>
  <c r="AU10" i="48"/>
  <c r="AV10" i="48" s="1"/>
  <c r="F16" i="48"/>
  <c r="F15" i="48"/>
  <c r="F11" i="48"/>
  <c r="U11" i="48"/>
  <c r="V11" i="48" s="1"/>
  <c r="AL10" i="48"/>
  <c r="AH10" i="48"/>
  <c r="BC10" i="48"/>
  <c r="AQ10" i="48"/>
  <c r="AC11" i="48"/>
  <c r="AY10" i="48"/>
  <c r="BW10" i="48"/>
  <c r="BK10" i="48"/>
  <c r="Z10" i="48"/>
  <c r="Q11" i="48"/>
  <c r="R11" i="48" s="1"/>
  <c r="R10" i="48"/>
  <c r="N10" i="48"/>
  <c r="V10" i="48"/>
  <c r="M11" i="48"/>
  <c r="N11" i="48" s="1"/>
  <c r="AH11" i="48"/>
  <c r="BG10" i="48"/>
  <c r="Q12" i="48"/>
  <c r="R12" i="48" s="1"/>
  <c r="I10" i="45"/>
  <c r="J10" i="45" s="1"/>
  <c r="BS8" i="45"/>
  <c r="I9" i="45"/>
  <c r="AR7" i="45"/>
  <c r="AC9" i="45"/>
  <c r="Y9" i="45"/>
  <c r="Z9" i="45" s="1"/>
  <c r="M9" i="45"/>
  <c r="Q9" i="45"/>
  <c r="R9" i="45" s="1"/>
  <c r="BG8" i="45"/>
  <c r="N8" i="45"/>
  <c r="BK8" i="45"/>
  <c r="BW8" i="45"/>
  <c r="U9" i="45"/>
  <c r="AQ8" i="45"/>
  <c r="AK9" i="45"/>
  <c r="E9" i="45"/>
  <c r="BC8" i="45"/>
  <c r="AG9" i="45"/>
  <c r="AY8" i="45"/>
  <c r="AU8" i="45"/>
  <c r="AV8" i="45" s="1"/>
  <c r="BO8" i="45"/>
  <c r="D18" i="42"/>
  <c r="D17" i="42"/>
  <c r="F18" i="42"/>
  <c r="T18" i="42"/>
  <c r="P17" i="42"/>
  <c r="N17" i="42"/>
  <c r="R17" i="42"/>
  <c r="T17" i="42"/>
  <c r="H18" i="42"/>
  <c r="P18" i="42"/>
  <c r="L17" i="42"/>
  <c r="J17" i="42"/>
  <c r="V17" i="42"/>
  <c r="F17" i="42"/>
  <c r="J18" i="42"/>
  <c r="R18" i="42"/>
  <c r="V18" i="42"/>
  <c r="N18" i="42"/>
  <c r="L18" i="42"/>
  <c r="H17" i="42"/>
  <c r="BO12" i="48" l="1"/>
  <c r="BV14" i="48"/>
  <c r="BV13" i="48"/>
  <c r="BU14" i="48"/>
  <c r="BU13" i="48"/>
  <c r="E14" i="48"/>
  <c r="F14" i="48" s="1"/>
  <c r="E13" i="48"/>
  <c r="F13" i="48" s="1"/>
  <c r="BJ13" i="48"/>
  <c r="BJ14" i="48"/>
  <c r="BS12" i="48"/>
  <c r="BT12" i="48" s="1"/>
  <c r="BR13" i="48"/>
  <c r="BR14" i="48"/>
  <c r="BN14" i="48"/>
  <c r="BN13" i="48"/>
  <c r="BM14" i="48"/>
  <c r="BM13" i="48"/>
  <c r="AG14" i="48"/>
  <c r="BQ13" i="48"/>
  <c r="BQ14" i="48"/>
  <c r="AG13" i="48"/>
  <c r="BB14" i="48"/>
  <c r="BB13" i="48"/>
  <c r="Y12" i="48"/>
  <c r="Z12" i="48" s="1"/>
  <c r="C39" i="48"/>
  <c r="M12" i="48"/>
  <c r="N12" i="48" s="1"/>
  <c r="AK12" i="48"/>
  <c r="AL12" i="48" s="1"/>
  <c r="C44" i="48"/>
  <c r="C146" i="48" a="1"/>
  <c r="C152" i="48" s="1"/>
  <c r="C38" i="48"/>
  <c r="F12" i="48"/>
  <c r="AU11" i="48"/>
  <c r="BC11" i="48"/>
  <c r="BD11" i="48" s="1"/>
  <c r="I12" i="48"/>
  <c r="AZ10" i="48"/>
  <c r="AC12" i="48"/>
  <c r="AD12" i="48" s="1"/>
  <c r="AQ11" i="48"/>
  <c r="AR11" i="48" s="1"/>
  <c r="BG11" i="48"/>
  <c r="BH11" i="48" s="1"/>
  <c r="BL10" i="48"/>
  <c r="U12" i="48"/>
  <c r="BK11" i="48"/>
  <c r="BW11" i="48"/>
  <c r="BX11" i="48" s="1"/>
  <c r="AY11" i="48"/>
  <c r="AZ11" i="48" s="1"/>
  <c r="BX10" i="48"/>
  <c r="BH10" i="48"/>
  <c r="AD11" i="48"/>
  <c r="BP10" i="48"/>
  <c r="C42" i="48"/>
  <c r="C40" i="48"/>
  <c r="C43" i="48"/>
  <c r="C37" i="48"/>
  <c r="C41" i="48"/>
  <c r="BP11" i="48"/>
  <c r="AR10" i="48"/>
  <c r="BD10" i="48"/>
  <c r="H38" i="48"/>
  <c r="G40" i="48"/>
  <c r="AH9" i="45"/>
  <c r="AQ9" i="45"/>
  <c r="AR9" i="45" s="1"/>
  <c r="J9" i="45"/>
  <c r="BK9" i="45"/>
  <c r="U10" i="45"/>
  <c r="V10" i="45" s="1"/>
  <c r="F9" i="45"/>
  <c r="BP8" i="45"/>
  <c r="BO9" i="45"/>
  <c r="Y10" i="45"/>
  <c r="BS9" i="45"/>
  <c r="E10" i="45"/>
  <c r="F10" i="45" s="1"/>
  <c r="AL9" i="45"/>
  <c r="AR8" i="45"/>
  <c r="BX8" i="45"/>
  <c r="BH8" i="45"/>
  <c r="AK10" i="45"/>
  <c r="AL10" i="45" s="1"/>
  <c r="AZ8" i="45"/>
  <c r="BD8" i="45"/>
  <c r="N9" i="45"/>
  <c r="AC10" i="45"/>
  <c r="BG9" i="45"/>
  <c r="BH9" i="45" s="1"/>
  <c r="BT8" i="45"/>
  <c r="BC9" i="45"/>
  <c r="AG10" i="45"/>
  <c r="AU9" i="45"/>
  <c r="BW9" i="45"/>
  <c r="BX9" i="45" s="1"/>
  <c r="V9" i="45"/>
  <c r="BL8" i="45"/>
  <c r="AD9" i="45"/>
  <c r="Q10" i="45"/>
  <c r="AY9" i="45"/>
  <c r="AZ9" i="45" s="1"/>
  <c r="M10" i="45"/>
  <c r="BO14" i="48" l="1"/>
  <c r="BO13" i="48"/>
  <c r="BS14" i="48"/>
  <c r="BT14" i="48" s="1"/>
  <c r="BS13" i="48"/>
  <c r="BT13" i="48" s="1"/>
  <c r="AF146" i="48" a="1"/>
  <c r="AF152" i="48" s="1"/>
  <c r="C165" i="48"/>
  <c r="AB41" i="48"/>
  <c r="C155" i="48"/>
  <c r="C172" i="48"/>
  <c r="C153" i="48"/>
  <c r="L38" i="48"/>
  <c r="C150" i="48"/>
  <c r="C174" i="48"/>
  <c r="C173" i="48"/>
  <c r="C163" i="48"/>
  <c r="K42" i="48"/>
  <c r="C146" i="48"/>
  <c r="C161" i="48"/>
  <c r="C170" i="48"/>
  <c r="C159" i="48"/>
  <c r="C171" i="48"/>
  <c r="C148" i="48"/>
  <c r="AE40" i="48"/>
  <c r="C157" i="48"/>
  <c r="C156" i="48"/>
  <c r="C160" i="48"/>
  <c r="C158" i="48"/>
  <c r="C167" i="48"/>
  <c r="C154" i="48"/>
  <c r="C168" i="48"/>
  <c r="C166" i="48"/>
  <c r="AI39" i="48"/>
  <c r="BK12" i="48"/>
  <c r="BL12" i="48" s="1"/>
  <c r="C151" i="48"/>
  <c r="AE39" i="48"/>
  <c r="AF42" i="48"/>
  <c r="C164" i="48"/>
  <c r="C175" i="48"/>
  <c r="C169" i="48"/>
  <c r="U13" i="48"/>
  <c r="V13" i="48" s="1"/>
  <c r="O42" i="48"/>
  <c r="W146" i="48" a="1"/>
  <c r="W166" i="48" s="1"/>
  <c r="C149" i="48"/>
  <c r="C162" i="48"/>
  <c r="K40" i="48"/>
  <c r="AB43" i="48"/>
  <c r="X38" i="48"/>
  <c r="AA42" i="48"/>
  <c r="C147" i="48"/>
  <c r="BC12" i="48"/>
  <c r="BD12" i="48" s="1"/>
  <c r="I13" i="48"/>
  <c r="J13" i="48" s="1"/>
  <c r="H41" i="48"/>
  <c r="P41" i="48"/>
  <c r="M13" i="48"/>
  <c r="Y13" i="48"/>
  <c r="W41" i="48"/>
  <c r="BG12" i="48"/>
  <c r="AK14" i="48"/>
  <c r="AI37" i="48"/>
  <c r="W42" i="48"/>
  <c r="V12" i="48"/>
  <c r="AE146" i="48" a="1"/>
  <c r="O43" i="48"/>
  <c r="H146" i="48" a="1"/>
  <c r="AV11" i="48"/>
  <c r="AB40" i="48"/>
  <c r="X41" i="48"/>
  <c r="X43" i="48"/>
  <c r="X40" i="48"/>
  <c r="X44" i="48"/>
  <c r="X42" i="48"/>
  <c r="X146" i="48" a="1"/>
  <c r="X39" i="48"/>
  <c r="AJ39" i="48"/>
  <c r="AJ37" i="48"/>
  <c r="AJ42" i="48"/>
  <c r="L42" i="48"/>
  <c r="AJ146" i="48" a="1"/>
  <c r="AJ41" i="48"/>
  <c r="K39" i="48"/>
  <c r="K44" i="48"/>
  <c r="K37" i="48"/>
  <c r="E40" i="48"/>
  <c r="I14" i="48"/>
  <c r="J14" i="48" s="1"/>
  <c r="G44" i="48"/>
  <c r="G118" i="48" s="1"/>
  <c r="Q14" i="48"/>
  <c r="O39" i="48"/>
  <c r="O44" i="48"/>
  <c r="L146" i="48" a="1"/>
  <c r="AB44" i="48"/>
  <c r="AH12" i="48"/>
  <c r="K38" i="48"/>
  <c r="AI41" i="48"/>
  <c r="E39" i="48"/>
  <c r="H40" i="48"/>
  <c r="H39" i="48"/>
  <c r="H44" i="48"/>
  <c r="AQ12" i="48"/>
  <c r="P37" i="48"/>
  <c r="P42" i="48"/>
  <c r="P44" i="48"/>
  <c r="H43" i="48"/>
  <c r="E146" i="48" a="1"/>
  <c r="T39" i="48"/>
  <c r="T43" i="48"/>
  <c r="T41" i="48"/>
  <c r="T146" i="48" a="1"/>
  <c r="AH14" i="48"/>
  <c r="AE43" i="48"/>
  <c r="AE37" i="48"/>
  <c r="G42" i="48"/>
  <c r="G41" i="48"/>
  <c r="E41" i="48"/>
  <c r="U14" i="48"/>
  <c r="V14" i="48" s="1"/>
  <c r="S37" i="48"/>
  <c r="S43" i="48"/>
  <c r="AF39" i="48"/>
  <c r="AF37" i="48"/>
  <c r="AF43" i="48"/>
  <c r="AF40" i="48"/>
  <c r="O146" i="48" a="1"/>
  <c r="E38" i="48"/>
  <c r="T38" i="48"/>
  <c r="D146" i="48" a="1"/>
  <c r="D42" i="48"/>
  <c r="D43" i="48"/>
  <c r="D40" i="48"/>
  <c r="D44" i="48"/>
  <c r="D39" i="48"/>
  <c r="D41" i="48"/>
  <c r="D37" i="48"/>
  <c r="D38" i="48"/>
  <c r="AY12" i="48"/>
  <c r="AZ12" i="48" s="1"/>
  <c r="AE38" i="48"/>
  <c r="S42" i="48"/>
  <c r="AF38" i="48"/>
  <c r="G38" i="48"/>
  <c r="E37" i="48"/>
  <c r="S41" i="48"/>
  <c r="AF44" i="48"/>
  <c r="S39" i="48"/>
  <c r="AB42" i="48"/>
  <c r="H37" i="48"/>
  <c r="T42" i="48"/>
  <c r="E44" i="48"/>
  <c r="AK13" i="48"/>
  <c r="AI40" i="48"/>
  <c r="AI38" i="48"/>
  <c r="AI44" i="48"/>
  <c r="AI43" i="48"/>
  <c r="AI42" i="48"/>
  <c r="AI146" i="48" a="1"/>
  <c r="P38" i="48"/>
  <c r="P146" i="48" a="1"/>
  <c r="P43" i="48"/>
  <c r="P39" i="48"/>
  <c r="BW12" i="48"/>
  <c r="L44" i="48"/>
  <c r="L39" i="48"/>
  <c r="AE41" i="48"/>
  <c r="BL11" i="48"/>
  <c r="T37" i="48"/>
  <c r="S146" i="48" a="1"/>
  <c r="AE44" i="48"/>
  <c r="AA37" i="48"/>
  <c r="E42" i="48"/>
  <c r="AJ40" i="48"/>
  <c r="AJ38" i="48"/>
  <c r="AJ43" i="48"/>
  <c r="AJ44" i="48"/>
  <c r="Q13" i="48"/>
  <c r="O38" i="48"/>
  <c r="O41" i="48"/>
  <c r="C123" i="48"/>
  <c r="C125" i="48"/>
  <c r="C129" i="48"/>
  <c r="C133" i="48"/>
  <c r="C127" i="48"/>
  <c r="C114" i="48"/>
  <c r="C130" i="48"/>
  <c r="C134" i="48"/>
  <c r="C128" i="48"/>
  <c r="C115" i="48"/>
  <c r="C132" i="48"/>
  <c r="C121" i="48"/>
  <c r="C131" i="48"/>
  <c r="C141" i="48"/>
  <c r="C119" i="48"/>
  <c r="C138" i="48"/>
  <c r="C116" i="48"/>
  <c r="C136" i="48"/>
  <c r="C135" i="48"/>
  <c r="C143" i="48"/>
  <c r="C137" i="48"/>
  <c r="C139" i="48"/>
  <c r="C118" i="48"/>
  <c r="C142" i="48"/>
  <c r="C122" i="48"/>
  <c r="C120" i="48"/>
  <c r="C126" i="48"/>
  <c r="C140" i="48"/>
  <c r="C124" i="48"/>
  <c r="C117" i="48"/>
  <c r="G39" i="48"/>
  <c r="H42" i="48"/>
  <c r="O37" i="48"/>
  <c r="S44" i="48"/>
  <c r="G43" i="48"/>
  <c r="AA38" i="48"/>
  <c r="P40" i="48"/>
  <c r="E43" i="48"/>
  <c r="L43" i="48"/>
  <c r="L41" i="48"/>
  <c r="L40" i="48"/>
  <c r="AC14" i="48"/>
  <c r="AD14" i="48" s="1"/>
  <c r="AA146" i="48" a="1"/>
  <c r="AA43" i="48"/>
  <c r="AA40" i="48"/>
  <c r="Y14" i="48"/>
  <c r="Z14" i="48" s="1"/>
  <c r="W39" i="48"/>
  <c r="W37" i="48"/>
  <c r="W40" i="48"/>
  <c r="AA41" i="48"/>
  <c r="S40" i="48"/>
  <c r="O40" i="48"/>
  <c r="W43" i="48"/>
  <c r="W44" i="48"/>
  <c r="G37" i="48"/>
  <c r="G146" i="48" a="1"/>
  <c r="T40" i="48"/>
  <c r="AF41" i="48"/>
  <c r="F42" i="48"/>
  <c r="F43" i="48"/>
  <c r="F37" i="48"/>
  <c r="F44" i="48"/>
  <c r="F38" i="48"/>
  <c r="F39" i="48"/>
  <c r="F40" i="48"/>
  <c r="F41" i="48"/>
  <c r="M14" i="48"/>
  <c r="N14" i="48" s="1"/>
  <c r="K41" i="48"/>
  <c r="K146" i="48" a="1"/>
  <c r="AB37" i="48"/>
  <c r="AB146" i="48" a="1"/>
  <c r="AB39" i="48"/>
  <c r="AB38" i="48"/>
  <c r="X37" i="48"/>
  <c r="AU12" i="48"/>
  <c r="AV12" i="48" s="1"/>
  <c r="AC13" i="48"/>
  <c r="W38" i="48"/>
  <c r="AE42" i="48"/>
  <c r="T44" i="48"/>
  <c r="S38" i="48"/>
  <c r="AA44" i="48"/>
  <c r="AA39" i="48"/>
  <c r="J12" i="48"/>
  <c r="K43" i="48"/>
  <c r="L37" i="48"/>
  <c r="AV9" i="45"/>
  <c r="Q11" i="45"/>
  <c r="R11" i="45" s="1"/>
  <c r="AC11" i="45"/>
  <c r="Y11" i="45"/>
  <c r="BP9" i="45"/>
  <c r="BS10" i="45"/>
  <c r="BD9" i="45"/>
  <c r="AK11" i="45"/>
  <c r="AY10" i="45"/>
  <c r="AZ10" i="45" s="1"/>
  <c r="R10" i="45"/>
  <c r="BL9" i="45"/>
  <c r="M11" i="45"/>
  <c r="N11" i="45" s="1"/>
  <c r="AH10" i="45"/>
  <c r="BK10" i="45"/>
  <c r="BW10" i="45"/>
  <c r="BT9" i="45"/>
  <c r="AU10" i="45"/>
  <c r="AD10" i="45"/>
  <c r="E11" i="45"/>
  <c r="F11" i="45" s="1"/>
  <c r="U11" i="45"/>
  <c r="N10" i="45"/>
  <c r="Z10" i="45"/>
  <c r="I11" i="45"/>
  <c r="AG11" i="45"/>
  <c r="BG10" i="45"/>
  <c r="BC10" i="45"/>
  <c r="AQ10" i="45"/>
  <c r="BO10" i="45"/>
  <c r="AE125" i="48" l="1"/>
  <c r="W157" i="48"/>
  <c r="AW146" i="48" a="1"/>
  <c r="AW166" i="48" s="1"/>
  <c r="G121" i="48"/>
  <c r="G140" i="48"/>
  <c r="G142" i="48"/>
  <c r="F56" i="48"/>
  <c r="F57" i="48" s="1"/>
  <c r="G143" i="48"/>
  <c r="I43" i="48"/>
  <c r="G136" i="48"/>
  <c r="G139" i="48"/>
  <c r="G135" i="48"/>
  <c r="G122" i="48"/>
  <c r="G123" i="48"/>
  <c r="G133" i="48"/>
  <c r="G134" i="48"/>
  <c r="G125" i="48"/>
  <c r="BF44" i="48"/>
  <c r="G116" i="48"/>
  <c r="G127" i="48"/>
  <c r="BU37" i="48"/>
  <c r="I41" i="48"/>
  <c r="AF173" i="48"/>
  <c r="I37" i="48"/>
  <c r="AF164" i="48"/>
  <c r="I146" i="48" a="1"/>
  <c r="I153" i="48" s="1"/>
  <c r="AF146" i="48"/>
  <c r="I38" i="48"/>
  <c r="I42" i="48"/>
  <c r="AF155" i="48"/>
  <c r="AF151" i="48"/>
  <c r="I40" i="48"/>
  <c r="AF159" i="48"/>
  <c r="AF154" i="48"/>
  <c r="AF149" i="48"/>
  <c r="AF168" i="48"/>
  <c r="AF166" i="48"/>
  <c r="AF163" i="48"/>
  <c r="AF158" i="48"/>
  <c r="AF170" i="48"/>
  <c r="AF165" i="48"/>
  <c r="AF160" i="48"/>
  <c r="AF172" i="48"/>
  <c r="AF167" i="48"/>
  <c r="AF157" i="48"/>
  <c r="AF174" i="48"/>
  <c r="AF169" i="48"/>
  <c r="AF150" i="48"/>
  <c r="AF148" i="48"/>
  <c r="AF156" i="48"/>
  <c r="AS43" i="48"/>
  <c r="AF171" i="48"/>
  <c r="AF162" i="48"/>
  <c r="AG41" i="48"/>
  <c r="AF147" i="48"/>
  <c r="AF175" i="48"/>
  <c r="AF153" i="48"/>
  <c r="AF161" i="48"/>
  <c r="W168" i="48"/>
  <c r="W167" i="48"/>
  <c r="AT43" i="48"/>
  <c r="BR44" i="48"/>
  <c r="AG39" i="48"/>
  <c r="G131" i="48"/>
  <c r="G126" i="48"/>
  <c r="BN43" i="48"/>
  <c r="AU14" i="48"/>
  <c r="AV14" i="48" s="1"/>
  <c r="G129" i="48"/>
  <c r="G138" i="48"/>
  <c r="K119" i="48"/>
  <c r="W158" i="48"/>
  <c r="AQ13" i="48"/>
  <c r="AR13" i="48" s="1"/>
  <c r="BP14" i="48"/>
  <c r="BB39" i="48"/>
  <c r="G114" i="48"/>
  <c r="G119" i="48"/>
  <c r="W171" i="48"/>
  <c r="G120" i="48"/>
  <c r="G128" i="48"/>
  <c r="W159" i="48"/>
  <c r="BJ146" i="48" a="1"/>
  <c r="BJ163" i="48" s="1"/>
  <c r="AX37" i="48"/>
  <c r="BV40" i="48"/>
  <c r="AX146" i="48" a="1"/>
  <c r="AX158" i="48" s="1"/>
  <c r="I44" i="48"/>
  <c r="G115" i="48"/>
  <c r="G137" i="48"/>
  <c r="G132" i="48"/>
  <c r="W165" i="48"/>
  <c r="W175" i="48"/>
  <c r="W149" i="48"/>
  <c r="BI38" i="48"/>
  <c r="BE42" i="48"/>
  <c r="BU41" i="48"/>
  <c r="I39" i="48"/>
  <c r="G117" i="48"/>
  <c r="G124" i="48"/>
  <c r="W174" i="48"/>
  <c r="W150" i="48"/>
  <c r="W172" i="48"/>
  <c r="BF43" i="48"/>
  <c r="AG42" i="48"/>
  <c r="W152" i="48"/>
  <c r="W148" i="48"/>
  <c r="W151" i="48"/>
  <c r="AS44" i="48"/>
  <c r="BQ38" i="48"/>
  <c r="BM37" i="48"/>
  <c r="W163" i="48"/>
  <c r="W161" i="48"/>
  <c r="W156" i="48"/>
  <c r="W147" i="48"/>
  <c r="BJ37" i="48"/>
  <c r="AG38" i="48"/>
  <c r="W153" i="48"/>
  <c r="W160" i="48"/>
  <c r="AO42" i="48"/>
  <c r="BB43" i="48"/>
  <c r="W154" i="48"/>
  <c r="W173" i="48"/>
  <c r="AT37" i="48"/>
  <c r="W164" i="48"/>
  <c r="W170" i="48"/>
  <c r="W169" i="48"/>
  <c r="W146" i="48"/>
  <c r="BN37" i="48"/>
  <c r="BA42" i="48"/>
  <c r="G130" i="48"/>
  <c r="G141" i="48"/>
  <c r="W155" i="48"/>
  <c r="W162" i="48"/>
  <c r="AT41" i="48"/>
  <c r="AT38" i="48"/>
  <c r="BK14" i="48"/>
  <c r="BI43" i="48"/>
  <c r="BI40" i="48"/>
  <c r="BI41" i="48"/>
  <c r="BE43" i="48"/>
  <c r="BB40" i="48"/>
  <c r="AA131" i="48"/>
  <c r="AA116" i="48"/>
  <c r="AA139" i="48"/>
  <c r="AA115" i="48"/>
  <c r="AA128" i="48"/>
  <c r="AA140" i="48"/>
  <c r="AA143" i="48"/>
  <c r="AA135" i="48"/>
  <c r="AA129" i="48"/>
  <c r="AA136" i="48"/>
  <c r="AA118" i="48"/>
  <c r="AA124" i="48"/>
  <c r="AA126" i="48"/>
  <c r="AA133" i="48"/>
  <c r="AA123" i="48"/>
  <c r="AA122" i="48"/>
  <c r="AA130" i="48"/>
  <c r="AA127" i="48"/>
  <c r="AA121" i="48"/>
  <c r="AA117" i="48"/>
  <c r="AA114" i="48"/>
  <c r="AA120" i="48"/>
  <c r="AA138" i="48"/>
  <c r="AA132" i="48"/>
  <c r="AA125" i="48"/>
  <c r="AA119" i="48"/>
  <c r="AA141" i="48"/>
  <c r="AA134" i="48"/>
  <c r="AA142" i="48"/>
  <c r="AA137" i="48"/>
  <c r="BU146" i="48" a="1"/>
  <c r="AL13" i="48"/>
  <c r="AK44" i="48"/>
  <c r="AK41" i="48"/>
  <c r="AK43" i="48"/>
  <c r="AK40" i="48"/>
  <c r="AK146" i="48" a="1"/>
  <c r="AK37" i="48"/>
  <c r="AK39" i="48"/>
  <c r="AK42" i="48"/>
  <c r="BI42" i="48"/>
  <c r="D163" i="48"/>
  <c r="D167" i="48"/>
  <c r="D168" i="48"/>
  <c r="D174" i="48"/>
  <c r="D161" i="48"/>
  <c r="D149" i="48"/>
  <c r="D146" i="48"/>
  <c r="D160" i="48"/>
  <c r="D170" i="48"/>
  <c r="D148" i="48"/>
  <c r="D165" i="48"/>
  <c r="D154" i="48"/>
  <c r="D169" i="48"/>
  <c r="D164" i="48"/>
  <c r="D175" i="48"/>
  <c r="D173" i="48"/>
  <c r="D156" i="48"/>
  <c r="D147" i="48"/>
  <c r="D166" i="48"/>
  <c r="D157" i="48"/>
  <c r="D158" i="48"/>
  <c r="D159" i="48"/>
  <c r="D171" i="48"/>
  <c r="D162" i="48"/>
  <c r="D153" i="48"/>
  <c r="D155" i="48"/>
  <c r="D172" i="48"/>
  <c r="D151" i="48"/>
  <c r="D152" i="48"/>
  <c r="D150" i="48"/>
  <c r="BI37" i="48"/>
  <c r="T151" i="48"/>
  <c r="T157" i="48"/>
  <c r="T159" i="48"/>
  <c r="T174" i="48"/>
  <c r="T153" i="48"/>
  <c r="T168" i="48"/>
  <c r="T170" i="48"/>
  <c r="T148" i="48"/>
  <c r="T171" i="48"/>
  <c r="T164" i="48"/>
  <c r="T146" i="48"/>
  <c r="T154" i="48"/>
  <c r="T172" i="48"/>
  <c r="T173" i="48"/>
  <c r="T165" i="48"/>
  <c r="T161" i="48"/>
  <c r="T160" i="48"/>
  <c r="T166" i="48"/>
  <c r="T152" i="48"/>
  <c r="T162" i="48"/>
  <c r="T163" i="48"/>
  <c r="T155" i="48"/>
  <c r="T147" i="48"/>
  <c r="T156" i="48"/>
  <c r="T175" i="48"/>
  <c r="T169" i="48"/>
  <c r="T158" i="48"/>
  <c r="T149" i="48"/>
  <c r="T167" i="48"/>
  <c r="T150" i="48"/>
  <c r="BB37" i="48"/>
  <c r="BE44" i="48"/>
  <c r="X131" i="48"/>
  <c r="X117" i="48"/>
  <c r="X128" i="48"/>
  <c r="X122" i="48"/>
  <c r="X116" i="48"/>
  <c r="X139" i="48"/>
  <c r="X129" i="48"/>
  <c r="X119" i="48"/>
  <c r="X126" i="48"/>
  <c r="X124" i="48"/>
  <c r="X133" i="48"/>
  <c r="X120" i="48"/>
  <c r="X114" i="48"/>
  <c r="X121" i="48"/>
  <c r="X125" i="48"/>
  <c r="X130" i="48"/>
  <c r="X142" i="48"/>
  <c r="X143" i="48"/>
  <c r="X132" i="48"/>
  <c r="X118" i="48"/>
  <c r="X136" i="48"/>
  <c r="X134" i="48"/>
  <c r="X140" i="48"/>
  <c r="X138" i="48"/>
  <c r="X137" i="48"/>
  <c r="X135" i="48"/>
  <c r="X141" i="48"/>
  <c r="X123" i="48"/>
  <c r="X127" i="48"/>
  <c r="X115" i="48"/>
  <c r="U41" i="48"/>
  <c r="AL14" i="48"/>
  <c r="AK38" i="48"/>
  <c r="AE117" i="48"/>
  <c r="AE115" i="48"/>
  <c r="K132" i="48"/>
  <c r="K122" i="48"/>
  <c r="K120" i="48"/>
  <c r="O139" i="48"/>
  <c r="O133" i="48"/>
  <c r="O123" i="48"/>
  <c r="O125" i="48"/>
  <c r="O142" i="48"/>
  <c r="O121" i="48"/>
  <c r="O115" i="48"/>
  <c r="O143" i="48"/>
  <c r="O134" i="48"/>
  <c r="O138" i="48"/>
  <c r="O136" i="48"/>
  <c r="O114" i="48"/>
  <c r="O135" i="48"/>
  <c r="O131" i="48"/>
  <c r="O132" i="48"/>
  <c r="O129" i="48"/>
  <c r="O141" i="48"/>
  <c r="O126" i="48"/>
  <c r="O116" i="48"/>
  <c r="O130" i="48"/>
  <c r="O119" i="48"/>
  <c r="O140" i="48"/>
  <c r="O117" i="48"/>
  <c r="O124" i="48"/>
  <c r="O122" i="48"/>
  <c r="O137" i="48"/>
  <c r="O118" i="48"/>
  <c r="O128" i="48"/>
  <c r="O120" i="48"/>
  <c r="O127" i="48"/>
  <c r="BQ40" i="48"/>
  <c r="BX12" i="48"/>
  <c r="BF42" i="48"/>
  <c r="BQ41" i="48"/>
  <c r="BA40" i="48"/>
  <c r="BU39" i="48"/>
  <c r="L170" i="48"/>
  <c r="L158" i="48"/>
  <c r="L147" i="48"/>
  <c r="L157" i="48"/>
  <c r="L164" i="48"/>
  <c r="L148" i="48"/>
  <c r="L172" i="48"/>
  <c r="L149" i="48"/>
  <c r="L162" i="48"/>
  <c r="L150" i="48"/>
  <c r="L167" i="48"/>
  <c r="L146" i="48"/>
  <c r="L171" i="48"/>
  <c r="L159" i="48"/>
  <c r="L155" i="48"/>
  <c r="L156" i="48"/>
  <c r="L154" i="48"/>
  <c r="L151" i="48"/>
  <c r="L152" i="48"/>
  <c r="L165" i="48"/>
  <c r="L174" i="48"/>
  <c r="L163" i="48"/>
  <c r="L161" i="48"/>
  <c r="L166" i="48"/>
  <c r="L169" i="48"/>
  <c r="L168" i="48"/>
  <c r="L173" i="48"/>
  <c r="L153" i="48"/>
  <c r="L175" i="48"/>
  <c r="L160" i="48"/>
  <c r="BI146" i="48" a="1"/>
  <c r="U44" i="48"/>
  <c r="BH12" i="48"/>
  <c r="BM39" i="48"/>
  <c r="AE134" i="48"/>
  <c r="AE138" i="48"/>
  <c r="K130" i="48"/>
  <c r="K135" i="48"/>
  <c r="K131" i="48"/>
  <c r="AQ14" i="48"/>
  <c r="AR14" i="48" s="1"/>
  <c r="AO43" i="48"/>
  <c r="AO37" i="48"/>
  <c r="AY13" i="48"/>
  <c r="AW44" i="48"/>
  <c r="AW40" i="48"/>
  <c r="AW42" i="48"/>
  <c r="AW38" i="48"/>
  <c r="AW43" i="48"/>
  <c r="BB38" i="48"/>
  <c r="BB42" i="48"/>
  <c r="S137" i="48"/>
  <c r="S132" i="48"/>
  <c r="S134" i="48"/>
  <c r="S124" i="48"/>
  <c r="S118" i="48"/>
  <c r="S129" i="48"/>
  <c r="S135" i="48"/>
  <c r="S136" i="48"/>
  <c r="S131" i="48"/>
  <c r="S123" i="48"/>
  <c r="S143" i="48"/>
  <c r="S121" i="48"/>
  <c r="S130" i="48"/>
  <c r="S117" i="48"/>
  <c r="S126" i="48"/>
  <c r="S122" i="48"/>
  <c r="S138" i="48"/>
  <c r="S140" i="48"/>
  <c r="S120" i="48"/>
  <c r="S114" i="48"/>
  <c r="S142" i="48"/>
  <c r="S115" i="48"/>
  <c r="S128" i="48"/>
  <c r="S119" i="48"/>
  <c r="S125" i="48"/>
  <c r="S133" i="48"/>
  <c r="S139" i="48"/>
  <c r="S141" i="48"/>
  <c r="S127" i="48"/>
  <c r="S116" i="48"/>
  <c r="AA172" i="48"/>
  <c r="AA171" i="48"/>
  <c r="AA164" i="48"/>
  <c r="AA147" i="48"/>
  <c r="AA159" i="48"/>
  <c r="AA153" i="48"/>
  <c r="AA161" i="48"/>
  <c r="AA150" i="48"/>
  <c r="AA167" i="48"/>
  <c r="AA151" i="48"/>
  <c r="AA169" i="48"/>
  <c r="AA170" i="48"/>
  <c r="AA158" i="48"/>
  <c r="AA146" i="48"/>
  <c r="AA157" i="48"/>
  <c r="AA173" i="48"/>
  <c r="AA163" i="48"/>
  <c r="AA154" i="48"/>
  <c r="AA152" i="48"/>
  <c r="AA168" i="48"/>
  <c r="AA156" i="48"/>
  <c r="AA174" i="48"/>
  <c r="AA162" i="48"/>
  <c r="AA160" i="48"/>
  <c r="AA148" i="48"/>
  <c r="AA165" i="48"/>
  <c r="AA149" i="48"/>
  <c r="AA166" i="48"/>
  <c r="AA155" i="48"/>
  <c r="AA175" i="48"/>
  <c r="BE37" i="48"/>
  <c r="BI44" i="48"/>
  <c r="BF39" i="48"/>
  <c r="BV41" i="48"/>
  <c r="BP12" i="48"/>
  <c r="BR146" i="48" a="1"/>
  <c r="BU40" i="48"/>
  <c r="BV37" i="48"/>
  <c r="AX39" i="48"/>
  <c r="BR37" i="48"/>
  <c r="H146" i="48"/>
  <c r="H150" i="48"/>
  <c r="H158" i="48"/>
  <c r="H173" i="48"/>
  <c r="H162" i="48"/>
  <c r="H169" i="48"/>
  <c r="H168" i="48"/>
  <c r="H155" i="48"/>
  <c r="H154" i="48"/>
  <c r="H157" i="48"/>
  <c r="H148" i="48"/>
  <c r="H166" i="48"/>
  <c r="H151" i="48"/>
  <c r="H172" i="48"/>
  <c r="H171" i="48"/>
  <c r="H153" i="48"/>
  <c r="H160" i="48"/>
  <c r="H156" i="48"/>
  <c r="H147" i="48"/>
  <c r="H175" i="48"/>
  <c r="H152" i="48"/>
  <c r="H159" i="48"/>
  <c r="H149" i="48"/>
  <c r="H174" i="48"/>
  <c r="H165" i="48"/>
  <c r="H167" i="48"/>
  <c r="H161" i="48"/>
  <c r="H164" i="48"/>
  <c r="H163" i="48"/>
  <c r="H170" i="48"/>
  <c r="U40" i="48"/>
  <c r="AE128" i="48"/>
  <c r="AE114" i="48"/>
  <c r="K115" i="48"/>
  <c r="K125" i="48"/>
  <c r="K124" i="48"/>
  <c r="AP44" i="48"/>
  <c r="AP41" i="48"/>
  <c r="AP146" i="48" a="1"/>
  <c r="BC14" i="48"/>
  <c r="BD14" i="48" s="1"/>
  <c r="BA44" i="48"/>
  <c r="BA37" i="48"/>
  <c r="AD13" i="48"/>
  <c r="AC37" i="48"/>
  <c r="AC41" i="48"/>
  <c r="AC44" i="48"/>
  <c r="AC40" i="48"/>
  <c r="AC38" i="48"/>
  <c r="AC39" i="48"/>
  <c r="AC43" i="48"/>
  <c r="AC42" i="48"/>
  <c r="AC146" i="48" a="1"/>
  <c r="AB165" i="48"/>
  <c r="AB148" i="48"/>
  <c r="AB149" i="48"/>
  <c r="AB159" i="48"/>
  <c r="AB174" i="48"/>
  <c r="AB154" i="48"/>
  <c r="AB173" i="48"/>
  <c r="AB153" i="48"/>
  <c r="AB147" i="48"/>
  <c r="AB166" i="48"/>
  <c r="AB157" i="48"/>
  <c r="AB156" i="48"/>
  <c r="AB162" i="48"/>
  <c r="AB146" i="48"/>
  <c r="AB175" i="48"/>
  <c r="AB169" i="48"/>
  <c r="AB160" i="48"/>
  <c r="AB155" i="48"/>
  <c r="AB161" i="48"/>
  <c r="AB158" i="48"/>
  <c r="AB167" i="48"/>
  <c r="AB151" i="48"/>
  <c r="AB168" i="48"/>
  <c r="AB164" i="48"/>
  <c r="AB150" i="48"/>
  <c r="AB152" i="48"/>
  <c r="AB172" i="48"/>
  <c r="AB163" i="48"/>
  <c r="AB171" i="48"/>
  <c r="AB170" i="48"/>
  <c r="AO38" i="48"/>
  <c r="R13" i="48"/>
  <c r="Q146" i="48" a="1"/>
  <c r="Q39" i="48"/>
  <c r="Q42" i="48"/>
  <c r="Q40" i="48"/>
  <c r="Q37" i="48"/>
  <c r="Q43" i="48"/>
  <c r="Q38" i="48"/>
  <c r="Q44" i="48"/>
  <c r="BU43" i="48"/>
  <c r="BA38" i="48"/>
  <c r="BV43" i="48"/>
  <c r="BJ39" i="48"/>
  <c r="AT40" i="48"/>
  <c r="AB141" i="48"/>
  <c r="AB120" i="48"/>
  <c r="AB136" i="48"/>
  <c r="AB131" i="48"/>
  <c r="AB128" i="48"/>
  <c r="AB137" i="48"/>
  <c r="AB122" i="48"/>
  <c r="AB133" i="48"/>
  <c r="AB138" i="48"/>
  <c r="AB126" i="48"/>
  <c r="AB119" i="48"/>
  <c r="AB114" i="48"/>
  <c r="AB121" i="48"/>
  <c r="AB125" i="48"/>
  <c r="AB129" i="48"/>
  <c r="AB117" i="48"/>
  <c r="AB134" i="48"/>
  <c r="AB130" i="48"/>
  <c r="AB139" i="48"/>
  <c r="AB116" i="48"/>
  <c r="AB135" i="48"/>
  <c r="AB124" i="48"/>
  <c r="AB118" i="48"/>
  <c r="AB143" i="48"/>
  <c r="AB140" i="48"/>
  <c r="AB115" i="48"/>
  <c r="AB123" i="48"/>
  <c r="AB132" i="48"/>
  <c r="AB142" i="48"/>
  <c r="AB127" i="48"/>
  <c r="V41" i="48"/>
  <c r="V37" i="48"/>
  <c r="V44" i="48"/>
  <c r="V42" i="48"/>
  <c r="V43" i="48"/>
  <c r="V40" i="48"/>
  <c r="V38" i="48"/>
  <c r="V39" i="48"/>
  <c r="Z13" i="48"/>
  <c r="Y38" i="48"/>
  <c r="Y146" i="48" a="1"/>
  <c r="Y43" i="48"/>
  <c r="Y39" i="48"/>
  <c r="Y40" i="48"/>
  <c r="Y44" i="48"/>
  <c r="Y37" i="48"/>
  <c r="Y42" i="48"/>
  <c r="Y41" i="48"/>
  <c r="AG43" i="48"/>
  <c r="AE124" i="48"/>
  <c r="AE119" i="48"/>
  <c r="K141" i="48"/>
  <c r="K114" i="48"/>
  <c r="K129" i="48"/>
  <c r="L122" i="48"/>
  <c r="L138" i="48"/>
  <c r="L126" i="48"/>
  <c r="L120" i="48"/>
  <c r="L142" i="48"/>
  <c r="L133" i="48"/>
  <c r="L137" i="48"/>
  <c r="L140" i="48"/>
  <c r="L124" i="48"/>
  <c r="L123" i="48"/>
  <c r="L143" i="48"/>
  <c r="L118" i="48"/>
  <c r="L127" i="48"/>
  <c r="L116" i="48"/>
  <c r="L128" i="48"/>
  <c r="L114" i="48"/>
  <c r="L117" i="48"/>
  <c r="L130" i="48"/>
  <c r="L119" i="48"/>
  <c r="L121" i="48"/>
  <c r="L132" i="48"/>
  <c r="L131" i="48"/>
  <c r="L134" i="48"/>
  <c r="L139" i="48"/>
  <c r="L125" i="48"/>
  <c r="L115" i="48"/>
  <c r="L136" i="48"/>
  <c r="L129" i="48"/>
  <c r="L141" i="48"/>
  <c r="L135" i="48"/>
  <c r="P169" i="48"/>
  <c r="P150" i="48"/>
  <c r="P172" i="48"/>
  <c r="P165" i="48"/>
  <c r="P175" i="48"/>
  <c r="P157" i="48"/>
  <c r="P174" i="48"/>
  <c r="P154" i="48"/>
  <c r="P171" i="48"/>
  <c r="P163" i="48"/>
  <c r="P152" i="48"/>
  <c r="P159" i="48"/>
  <c r="P149" i="48"/>
  <c r="P153" i="48"/>
  <c r="P164" i="48"/>
  <c r="P173" i="48"/>
  <c r="P167" i="48"/>
  <c r="P162" i="48"/>
  <c r="P148" i="48"/>
  <c r="P170" i="48"/>
  <c r="P160" i="48"/>
  <c r="P146" i="48"/>
  <c r="P158" i="48"/>
  <c r="P151" i="48"/>
  <c r="P156" i="48"/>
  <c r="P166" i="48"/>
  <c r="P147" i="48"/>
  <c r="P168" i="48"/>
  <c r="P155" i="48"/>
  <c r="P161" i="48"/>
  <c r="BN39" i="48"/>
  <c r="BQ37" i="48"/>
  <c r="BJ44" i="48"/>
  <c r="E163" i="48"/>
  <c r="E147" i="48"/>
  <c r="E154" i="48"/>
  <c r="E172" i="48"/>
  <c r="E152" i="48"/>
  <c r="E168" i="48"/>
  <c r="E148" i="48"/>
  <c r="E156" i="48"/>
  <c r="E174" i="48"/>
  <c r="E158" i="48"/>
  <c r="E146" i="48"/>
  <c r="E153" i="48"/>
  <c r="E150" i="48"/>
  <c r="E155" i="48"/>
  <c r="E164" i="48"/>
  <c r="E169" i="48"/>
  <c r="E151" i="48"/>
  <c r="E160" i="48"/>
  <c r="E165" i="48"/>
  <c r="E167" i="48"/>
  <c r="E175" i="48"/>
  <c r="E161" i="48"/>
  <c r="E149" i="48"/>
  <c r="E157" i="48"/>
  <c r="E173" i="48"/>
  <c r="E159" i="48"/>
  <c r="E171" i="48"/>
  <c r="E170" i="48"/>
  <c r="E162" i="48"/>
  <c r="E166" i="48"/>
  <c r="BA39" i="48"/>
  <c r="R14" i="48"/>
  <c r="Q41" i="48"/>
  <c r="AP42" i="48"/>
  <c r="N13" i="48"/>
  <c r="M40" i="48"/>
  <c r="M39" i="48"/>
  <c r="M146" i="48" a="1"/>
  <c r="M41" i="48"/>
  <c r="M38" i="48"/>
  <c r="M42" i="48"/>
  <c r="M37" i="48"/>
  <c r="M43" i="48"/>
  <c r="M44" i="48"/>
  <c r="AE129" i="48"/>
  <c r="AE131" i="48"/>
  <c r="K116" i="48"/>
  <c r="K138" i="48"/>
  <c r="K139" i="48"/>
  <c r="AP38" i="48"/>
  <c r="BN44" i="48"/>
  <c r="BN146" i="48" a="1"/>
  <c r="BN41" i="48"/>
  <c r="BC13" i="48"/>
  <c r="AS38" i="48"/>
  <c r="K159" i="48"/>
  <c r="K161" i="48"/>
  <c r="K158" i="48"/>
  <c r="K164" i="48"/>
  <c r="K173" i="48"/>
  <c r="K174" i="48"/>
  <c r="K171" i="48"/>
  <c r="K166" i="48"/>
  <c r="K149" i="48"/>
  <c r="K148" i="48"/>
  <c r="K151" i="48"/>
  <c r="K169" i="48"/>
  <c r="K163" i="48"/>
  <c r="K153" i="48"/>
  <c r="K175" i="48"/>
  <c r="K162" i="48"/>
  <c r="K146" i="48"/>
  <c r="K152" i="48"/>
  <c r="K170" i="48"/>
  <c r="K155" i="48"/>
  <c r="K160" i="48"/>
  <c r="K147" i="48"/>
  <c r="K157" i="48"/>
  <c r="K168" i="48"/>
  <c r="K167" i="48"/>
  <c r="K165" i="48"/>
  <c r="K172" i="48"/>
  <c r="K150" i="48"/>
  <c r="K156" i="48"/>
  <c r="K154" i="48"/>
  <c r="T131" i="48"/>
  <c r="T137" i="48"/>
  <c r="T116" i="48"/>
  <c r="T122" i="48"/>
  <c r="T141" i="48"/>
  <c r="T123" i="48"/>
  <c r="T117" i="48"/>
  <c r="T135" i="48"/>
  <c r="T114" i="48"/>
  <c r="T115" i="48"/>
  <c r="T129" i="48"/>
  <c r="T138" i="48"/>
  <c r="T134" i="48"/>
  <c r="T121" i="48"/>
  <c r="T130" i="48"/>
  <c r="T125" i="48"/>
  <c r="T139" i="48"/>
  <c r="T120" i="48"/>
  <c r="T140" i="48"/>
  <c r="T118" i="48"/>
  <c r="T126" i="48"/>
  <c r="T127" i="48"/>
  <c r="T132" i="48"/>
  <c r="T128" i="48"/>
  <c r="T142" i="48"/>
  <c r="T143" i="48"/>
  <c r="T124" i="48"/>
  <c r="T136" i="48"/>
  <c r="T133" i="48"/>
  <c r="T119" i="48"/>
  <c r="BN42" i="48"/>
  <c r="AH13" i="48"/>
  <c r="AH44" i="48" s="1"/>
  <c r="AG44" i="48"/>
  <c r="AG37" i="48"/>
  <c r="AG146" i="48" a="1"/>
  <c r="BE38" i="48"/>
  <c r="AJ172" i="48"/>
  <c r="AJ156" i="48"/>
  <c r="AJ164" i="48"/>
  <c r="AJ148" i="48"/>
  <c r="AJ171" i="48"/>
  <c r="AJ167" i="48"/>
  <c r="AJ160" i="48"/>
  <c r="AJ169" i="48"/>
  <c r="AJ152" i="48"/>
  <c r="AJ162" i="48"/>
  <c r="AJ147" i="48"/>
  <c r="AJ166" i="48"/>
  <c r="AJ149" i="48"/>
  <c r="AJ153" i="48"/>
  <c r="AJ154" i="48"/>
  <c r="AJ151" i="48"/>
  <c r="AJ161" i="48"/>
  <c r="AJ173" i="48"/>
  <c r="AJ163" i="48"/>
  <c r="AJ175" i="48"/>
  <c r="AJ150" i="48"/>
  <c r="AJ155" i="48"/>
  <c r="AJ158" i="48"/>
  <c r="AJ174" i="48"/>
  <c r="AJ146" i="48"/>
  <c r="AJ165" i="48"/>
  <c r="AJ168" i="48"/>
  <c r="AJ157" i="48"/>
  <c r="AJ159" i="48"/>
  <c r="AJ170" i="48"/>
  <c r="AW39" i="48"/>
  <c r="AP39" i="48"/>
  <c r="AE139" i="48"/>
  <c r="AE126" i="48"/>
  <c r="K140" i="48"/>
  <c r="K123" i="48"/>
  <c r="AT39" i="48"/>
  <c r="BW14" i="48"/>
  <c r="BX14" i="48" s="1"/>
  <c r="BU38" i="48"/>
  <c r="BF41" i="48"/>
  <c r="BF40" i="48"/>
  <c r="AY14" i="48"/>
  <c r="AZ14" i="48" s="1"/>
  <c r="AW41" i="48"/>
  <c r="BM146" i="48" a="1"/>
  <c r="AS42" i="48"/>
  <c r="AT146" i="48" a="1"/>
  <c r="AI152" i="48"/>
  <c r="AI146" i="48"/>
  <c r="AI174" i="48"/>
  <c r="AI172" i="48"/>
  <c r="AI165" i="48"/>
  <c r="AI162" i="48"/>
  <c r="AI160" i="48"/>
  <c r="AI156" i="48"/>
  <c r="AI157" i="48"/>
  <c r="AI153" i="48"/>
  <c r="AI148" i="48"/>
  <c r="AI173" i="48"/>
  <c r="AI161" i="48"/>
  <c r="AI175" i="48"/>
  <c r="AI151" i="48"/>
  <c r="AI158" i="48"/>
  <c r="AI159" i="48"/>
  <c r="AI170" i="48"/>
  <c r="AI150" i="48"/>
  <c r="AI163" i="48"/>
  <c r="AI168" i="48"/>
  <c r="AI169" i="48"/>
  <c r="AI171" i="48"/>
  <c r="AI154" i="48"/>
  <c r="AI164" i="48"/>
  <c r="AI149" i="48"/>
  <c r="AI147" i="48"/>
  <c r="AI166" i="48"/>
  <c r="AI155" i="48"/>
  <c r="AI167" i="48"/>
  <c r="BE40" i="48"/>
  <c r="AO44" i="48"/>
  <c r="BA146" i="48" a="1"/>
  <c r="U146" i="48" a="1"/>
  <c r="BF146" i="48" a="1"/>
  <c r="AE130" i="48"/>
  <c r="AE135" i="48"/>
  <c r="AE123" i="48"/>
  <c r="K126" i="48"/>
  <c r="K143" i="48"/>
  <c r="BV146" i="48" a="1"/>
  <c r="BV44" i="48"/>
  <c r="BV39" i="48"/>
  <c r="BG14" i="48"/>
  <c r="BH14" i="48" s="1"/>
  <c r="BE39" i="48"/>
  <c r="AX41" i="48"/>
  <c r="AX38" i="48"/>
  <c r="AW37" i="48"/>
  <c r="AS37" i="48"/>
  <c r="G168" i="48"/>
  <c r="G152" i="48"/>
  <c r="G151" i="48"/>
  <c r="G157" i="48"/>
  <c r="G167" i="48"/>
  <c r="G153" i="48"/>
  <c r="G150" i="48"/>
  <c r="G175" i="48"/>
  <c r="G166" i="48"/>
  <c r="G170" i="48"/>
  <c r="G149" i="48"/>
  <c r="G159" i="48"/>
  <c r="G158" i="48"/>
  <c r="G146" i="48"/>
  <c r="G163" i="48"/>
  <c r="G160" i="48"/>
  <c r="G161" i="48"/>
  <c r="G147" i="48"/>
  <c r="G154" i="48"/>
  <c r="G155" i="48"/>
  <c r="G173" i="48"/>
  <c r="G162" i="48"/>
  <c r="G172" i="48"/>
  <c r="G148" i="48"/>
  <c r="G165" i="48"/>
  <c r="G164" i="48"/>
  <c r="G174" i="48"/>
  <c r="G169" i="48"/>
  <c r="G171" i="48"/>
  <c r="G156" i="48"/>
  <c r="AT42" i="48"/>
  <c r="BR42" i="48"/>
  <c r="AJ126" i="48"/>
  <c r="AJ115" i="48"/>
  <c r="AJ128" i="48"/>
  <c r="AJ137" i="48"/>
  <c r="AJ138" i="48"/>
  <c r="AJ121" i="48"/>
  <c r="AJ122" i="48"/>
  <c r="AJ124" i="48"/>
  <c r="AJ133" i="48"/>
  <c r="AJ117" i="48"/>
  <c r="AJ129" i="48"/>
  <c r="AJ130" i="48"/>
  <c r="AJ136" i="48"/>
  <c r="AJ131" i="48"/>
  <c r="AJ140" i="48"/>
  <c r="AJ118" i="48"/>
  <c r="AJ132" i="48"/>
  <c r="AJ119" i="48"/>
  <c r="AJ125" i="48"/>
  <c r="AJ120" i="48"/>
  <c r="AJ141" i="48"/>
  <c r="AJ123" i="48"/>
  <c r="AJ142" i="48"/>
  <c r="AJ139" i="48"/>
  <c r="AJ134" i="48"/>
  <c r="AJ116" i="48"/>
  <c r="AJ127" i="48"/>
  <c r="AJ114" i="48"/>
  <c r="AJ135" i="48"/>
  <c r="AJ143" i="48"/>
  <c r="BR38" i="48"/>
  <c r="BQ39" i="48"/>
  <c r="E51" i="48"/>
  <c r="E56" i="48"/>
  <c r="E57" i="48" s="1"/>
  <c r="E68" i="48"/>
  <c r="E62" i="48"/>
  <c r="BJ43" i="48"/>
  <c r="BF38" i="48"/>
  <c r="AP40" i="48"/>
  <c r="BM40" i="48"/>
  <c r="AR12" i="48"/>
  <c r="AG40" i="48"/>
  <c r="E137" i="48"/>
  <c r="E125" i="48"/>
  <c r="E138" i="48"/>
  <c r="E135" i="48"/>
  <c r="E122" i="48"/>
  <c r="E142" i="48"/>
  <c r="E132" i="48"/>
  <c r="E139" i="48"/>
  <c r="E143" i="48"/>
  <c r="E119" i="48"/>
  <c r="E123" i="48"/>
  <c r="E128" i="48"/>
  <c r="E114" i="48"/>
  <c r="E118" i="48"/>
  <c r="E129" i="48"/>
  <c r="E117" i="48"/>
  <c r="E140" i="48"/>
  <c r="E49" i="48"/>
  <c r="E136" i="48"/>
  <c r="E124" i="48"/>
  <c r="E130" i="48"/>
  <c r="E115" i="48"/>
  <c r="E126" i="48"/>
  <c r="E133" i="48"/>
  <c r="E134" i="48"/>
  <c r="E131" i="48"/>
  <c r="E120" i="48"/>
  <c r="E121" i="48"/>
  <c r="E116" i="48"/>
  <c r="E141" i="48"/>
  <c r="E127" i="48"/>
  <c r="U37" i="48"/>
  <c r="BB41" i="48"/>
  <c r="AE140" i="48"/>
  <c r="AE120" i="48"/>
  <c r="AE137" i="48"/>
  <c r="BQ44" i="48"/>
  <c r="K117" i="48"/>
  <c r="K142" i="48"/>
  <c r="BK13" i="48"/>
  <c r="BG13" i="48"/>
  <c r="BW13" i="48"/>
  <c r="BX13" i="48" s="1"/>
  <c r="AO41" i="48"/>
  <c r="AS41" i="48"/>
  <c r="W131" i="48"/>
  <c r="W129" i="48"/>
  <c r="W141" i="48"/>
  <c r="W130" i="48"/>
  <c r="W118" i="48"/>
  <c r="W121" i="48"/>
  <c r="W115" i="48"/>
  <c r="W119" i="48"/>
  <c r="W135" i="48"/>
  <c r="W134" i="48"/>
  <c r="W132" i="48"/>
  <c r="W138" i="48"/>
  <c r="W128" i="48"/>
  <c r="W124" i="48"/>
  <c r="W143" i="48"/>
  <c r="W125" i="48"/>
  <c r="W137" i="48"/>
  <c r="W117" i="48"/>
  <c r="W133" i="48"/>
  <c r="W126" i="48"/>
  <c r="W142" i="48"/>
  <c r="W139" i="48"/>
  <c r="W122" i="48"/>
  <c r="W114" i="48"/>
  <c r="W127" i="48"/>
  <c r="W140" i="48"/>
  <c r="W123" i="48"/>
  <c r="W116" i="48"/>
  <c r="W136" i="48"/>
  <c r="W120" i="48"/>
  <c r="P132" i="48"/>
  <c r="P120" i="48"/>
  <c r="P126" i="48"/>
  <c r="P116" i="48"/>
  <c r="P142" i="48"/>
  <c r="P143" i="48"/>
  <c r="P123" i="48"/>
  <c r="P127" i="48"/>
  <c r="P133" i="48"/>
  <c r="P118" i="48"/>
  <c r="P135" i="48"/>
  <c r="P114" i="48"/>
  <c r="P136" i="48"/>
  <c r="P117" i="48"/>
  <c r="P134" i="48"/>
  <c r="P124" i="48"/>
  <c r="P137" i="48"/>
  <c r="P138" i="48"/>
  <c r="P119" i="48"/>
  <c r="P115" i="48"/>
  <c r="P130" i="48"/>
  <c r="P128" i="48"/>
  <c r="P131" i="48"/>
  <c r="P129" i="48"/>
  <c r="P121" i="48"/>
  <c r="P139" i="48"/>
  <c r="P140" i="48"/>
  <c r="P125" i="48"/>
  <c r="P141" i="48"/>
  <c r="P122" i="48"/>
  <c r="BI39" i="48"/>
  <c r="BE41" i="48"/>
  <c r="BR43" i="48"/>
  <c r="BR39" i="48"/>
  <c r="AO39" i="48"/>
  <c r="BJ41" i="48"/>
  <c r="BQ42" i="48"/>
  <c r="BV38" i="48"/>
  <c r="BB44" i="48"/>
  <c r="U42" i="48"/>
  <c r="BV42" i="48"/>
  <c r="AE132" i="48"/>
  <c r="AE143" i="48"/>
  <c r="AE141" i="48"/>
  <c r="BJ42" i="48"/>
  <c r="K128" i="48"/>
  <c r="K136" i="48"/>
  <c r="BJ40" i="48"/>
  <c r="J37" i="48"/>
  <c r="J38" i="48"/>
  <c r="J44" i="48"/>
  <c r="J43" i="48"/>
  <c r="J41" i="48"/>
  <c r="J40" i="48"/>
  <c r="J39" i="48"/>
  <c r="J42" i="48"/>
  <c r="AS146" i="48" a="1"/>
  <c r="BN38" i="48"/>
  <c r="D129" i="48"/>
  <c r="D140" i="48"/>
  <c r="D119" i="48"/>
  <c r="D127" i="48"/>
  <c r="D114" i="48"/>
  <c r="D130" i="48"/>
  <c r="D118" i="48"/>
  <c r="D128" i="48"/>
  <c r="D117" i="48"/>
  <c r="D136" i="48"/>
  <c r="D124" i="48"/>
  <c r="D134" i="48"/>
  <c r="D116" i="48"/>
  <c r="D137" i="48"/>
  <c r="D125" i="48"/>
  <c r="D138" i="48"/>
  <c r="D135" i="48"/>
  <c r="D120" i="48"/>
  <c r="D122" i="48"/>
  <c r="D123" i="48"/>
  <c r="D121" i="48"/>
  <c r="D142" i="48"/>
  <c r="D131" i="48"/>
  <c r="D132" i="48"/>
  <c r="D126" i="48"/>
  <c r="D133" i="48"/>
  <c r="D141" i="48"/>
  <c r="D143" i="48"/>
  <c r="D139" i="48"/>
  <c r="D115" i="48"/>
  <c r="O146" i="48"/>
  <c r="O152" i="48"/>
  <c r="O165" i="48"/>
  <c r="O175" i="48"/>
  <c r="O159" i="48"/>
  <c r="O162" i="48"/>
  <c r="O167" i="48"/>
  <c r="O154" i="48"/>
  <c r="O170" i="48"/>
  <c r="O150" i="48"/>
  <c r="O163" i="48"/>
  <c r="O161" i="48"/>
  <c r="O156" i="48"/>
  <c r="O151" i="48"/>
  <c r="O160" i="48"/>
  <c r="O173" i="48"/>
  <c r="O147" i="48"/>
  <c r="O148" i="48"/>
  <c r="O155" i="48"/>
  <c r="O157" i="48"/>
  <c r="O164" i="48"/>
  <c r="O171" i="48"/>
  <c r="O174" i="48"/>
  <c r="O172" i="48"/>
  <c r="O153" i="48"/>
  <c r="O166" i="48"/>
  <c r="O158" i="48"/>
  <c r="O169" i="48"/>
  <c r="O149" i="48"/>
  <c r="O168" i="48"/>
  <c r="BN40" i="48"/>
  <c r="BA41" i="48"/>
  <c r="AP37" i="48"/>
  <c r="BU42" i="48"/>
  <c r="BA43" i="48"/>
  <c r="X150" i="48"/>
  <c r="X165" i="48"/>
  <c r="X167" i="48"/>
  <c r="X153" i="48"/>
  <c r="X159" i="48"/>
  <c r="X173" i="48"/>
  <c r="X148" i="48"/>
  <c r="X158" i="48"/>
  <c r="X168" i="48"/>
  <c r="X157" i="48"/>
  <c r="X149" i="48"/>
  <c r="X161" i="48"/>
  <c r="X162" i="48"/>
  <c r="X164" i="48"/>
  <c r="X174" i="48"/>
  <c r="X154" i="48"/>
  <c r="X160" i="48"/>
  <c r="X151" i="48"/>
  <c r="X169" i="48"/>
  <c r="X163" i="48"/>
  <c r="X156" i="48"/>
  <c r="X172" i="48"/>
  <c r="X171" i="48"/>
  <c r="X152" i="48"/>
  <c r="X170" i="48"/>
  <c r="X147" i="48"/>
  <c r="X155" i="48"/>
  <c r="X175" i="48"/>
  <c r="X146" i="48"/>
  <c r="X166" i="48"/>
  <c r="AE173" i="48"/>
  <c r="AE162" i="48"/>
  <c r="AE158" i="48"/>
  <c r="AE159" i="48"/>
  <c r="AE163" i="48"/>
  <c r="AE149" i="48"/>
  <c r="AE152" i="48"/>
  <c r="AE160" i="48"/>
  <c r="AE165" i="48"/>
  <c r="AE147" i="48"/>
  <c r="AE175" i="48"/>
  <c r="AE168" i="48"/>
  <c r="AE150" i="48"/>
  <c r="AE170" i="48"/>
  <c r="AE156" i="48"/>
  <c r="AE164" i="48"/>
  <c r="AE161" i="48"/>
  <c r="AE155" i="48"/>
  <c r="AE146" i="48"/>
  <c r="AE174" i="48"/>
  <c r="AE153" i="48"/>
  <c r="AE167" i="48"/>
  <c r="AE166" i="48"/>
  <c r="AE148" i="48"/>
  <c r="AE171" i="48"/>
  <c r="AE157" i="48"/>
  <c r="AE151" i="48"/>
  <c r="AE169" i="48"/>
  <c r="AE154" i="48"/>
  <c r="AE172" i="48"/>
  <c r="U39" i="48"/>
  <c r="AT44" i="48"/>
  <c r="AE118" i="48"/>
  <c r="AE116" i="48"/>
  <c r="AE133" i="48"/>
  <c r="AO146" i="48" a="1"/>
  <c r="K121" i="48"/>
  <c r="K133" i="48"/>
  <c r="BR40" i="48"/>
  <c r="BR41" i="48"/>
  <c r="BE146" i="48" a="1"/>
  <c r="BB146" i="48" a="1"/>
  <c r="AX42" i="48"/>
  <c r="AX44" i="48"/>
  <c r="BF37" i="48"/>
  <c r="AF123" i="48"/>
  <c r="AF121" i="48"/>
  <c r="AF143" i="48"/>
  <c r="AF117" i="48"/>
  <c r="AF134" i="48"/>
  <c r="AF142" i="48"/>
  <c r="AF127" i="48"/>
  <c r="AF116" i="48"/>
  <c r="AF135" i="48"/>
  <c r="AF115" i="48"/>
  <c r="AF128" i="48"/>
  <c r="AF136" i="48"/>
  <c r="AF137" i="48"/>
  <c r="AF131" i="48"/>
  <c r="AF126" i="48"/>
  <c r="AF138" i="48"/>
  <c r="AF133" i="48"/>
  <c r="AF114" i="48"/>
  <c r="AF129" i="48"/>
  <c r="AF140" i="48"/>
  <c r="AF119" i="48"/>
  <c r="AF122" i="48"/>
  <c r="AF124" i="48"/>
  <c r="AF118" i="48"/>
  <c r="AF139" i="48"/>
  <c r="AF141" i="48"/>
  <c r="AF120" i="48"/>
  <c r="AF130" i="48"/>
  <c r="AF125" i="48"/>
  <c r="AF132" i="48"/>
  <c r="H143" i="48"/>
  <c r="H130" i="48"/>
  <c r="H135" i="48"/>
  <c r="H136" i="48"/>
  <c r="H140" i="48"/>
  <c r="H141" i="48"/>
  <c r="H134" i="48"/>
  <c r="H142" i="48"/>
  <c r="H123" i="48"/>
  <c r="H137" i="48"/>
  <c r="H114" i="48"/>
  <c r="H115" i="48"/>
  <c r="H124" i="48"/>
  <c r="H122" i="48"/>
  <c r="H120" i="48"/>
  <c r="H138" i="48"/>
  <c r="H118" i="48"/>
  <c r="H121" i="48"/>
  <c r="H125" i="48"/>
  <c r="H129" i="48"/>
  <c r="H131" i="48"/>
  <c r="H126" i="48"/>
  <c r="H116" i="48"/>
  <c r="H133" i="48"/>
  <c r="H127" i="48"/>
  <c r="H128" i="48"/>
  <c r="H119" i="48"/>
  <c r="H117" i="48"/>
  <c r="H139" i="48"/>
  <c r="H132" i="48"/>
  <c r="U43" i="48"/>
  <c r="BU44" i="48"/>
  <c r="AE136" i="48"/>
  <c r="AE127" i="48"/>
  <c r="AE122" i="48"/>
  <c r="AS39" i="48"/>
  <c r="K118" i="48"/>
  <c r="K134" i="48"/>
  <c r="AU13" i="48"/>
  <c r="AV13" i="48" s="1"/>
  <c r="AS40" i="48"/>
  <c r="BQ146" i="48" a="1"/>
  <c r="BP13" i="48"/>
  <c r="BM43" i="48"/>
  <c r="BM38" i="48"/>
  <c r="BM41" i="48"/>
  <c r="BM42" i="48"/>
  <c r="AX40" i="48"/>
  <c r="AP43" i="48"/>
  <c r="S158" i="48"/>
  <c r="S148" i="48"/>
  <c r="S170" i="48"/>
  <c r="S175" i="48"/>
  <c r="S169" i="48"/>
  <c r="S159" i="48"/>
  <c r="S147" i="48"/>
  <c r="S167" i="48"/>
  <c r="S162" i="48"/>
  <c r="S171" i="48"/>
  <c r="S146" i="48"/>
  <c r="S172" i="48"/>
  <c r="S168" i="48"/>
  <c r="S163" i="48"/>
  <c r="S156" i="48"/>
  <c r="S151" i="48"/>
  <c r="S161" i="48"/>
  <c r="S154" i="48"/>
  <c r="S155" i="48"/>
  <c r="S165" i="48"/>
  <c r="S149" i="48"/>
  <c r="S164" i="48"/>
  <c r="S152" i="48"/>
  <c r="S160" i="48"/>
  <c r="S150" i="48"/>
  <c r="S157" i="48"/>
  <c r="S153" i="48"/>
  <c r="S166" i="48"/>
  <c r="S174" i="48"/>
  <c r="S173" i="48"/>
  <c r="AI137" i="48"/>
  <c r="AI141" i="48"/>
  <c r="AI138" i="48"/>
  <c r="AI135" i="48"/>
  <c r="AI115" i="48"/>
  <c r="AI132" i="48"/>
  <c r="AI122" i="48"/>
  <c r="AI134" i="48"/>
  <c r="AI123" i="48"/>
  <c r="AI128" i="48"/>
  <c r="AI142" i="48"/>
  <c r="AI129" i="48"/>
  <c r="AI136" i="48"/>
  <c r="AI114" i="48"/>
  <c r="AI130" i="48"/>
  <c r="AI121" i="48"/>
  <c r="AI131" i="48"/>
  <c r="AI119" i="48"/>
  <c r="AI124" i="48"/>
  <c r="AI116" i="48"/>
  <c r="AI133" i="48"/>
  <c r="AI117" i="48"/>
  <c r="AI120" i="48"/>
  <c r="AI139" i="48"/>
  <c r="AI126" i="48"/>
  <c r="AI140" i="48"/>
  <c r="AI143" i="48"/>
  <c r="AI127" i="48"/>
  <c r="AI125" i="48"/>
  <c r="AI118" i="48"/>
  <c r="AO40" i="48"/>
  <c r="BJ38" i="48"/>
  <c r="BQ43" i="48"/>
  <c r="BM44" i="48"/>
  <c r="U38" i="48"/>
  <c r="AX43" i="48"/>
  <c r="AE121" i="48"/>
  <c r="AE142" i="48"/>
  <c r="K127" i="48"/>
  <c r="K137" i="48"/>
  <c r="M12" i="45"/>
  <c r="N12" i="45" s="1"/>
  <c r="Z11" i="45"/>
  <c r="Q12" i="45"/>
  <c r="AV10" i="45"/>
  <c r="BW11" i="45"/>
  <c r="BS11" i="45"/>
  <c r="BH10" i="45"/>
  <c r="U12" i="45"/>
  <c r="Y12" i="45"/>
  <c r="BK11" i="45"/>
  <c r="BD10" i="45"/>
  <c r="BX10" i="45"/>
  <c r="BT10" i="45"/>
  <c r="BC11" i="45"/>
  <c r="BG11" i="45"/>
  <c r="AC12" i="45"/>
  <c r="BP10" i="45"/>
  <c r="V11" i="45"/>
  <c r="AH11" i="45"/>
  <c r="BO11" i="45"/>
  <c r="E12" i="45"/>
  <c r="AR10" i="45"/>
  <c r="AD11" i="45"/>
  <c r="BL10" i="45"/>
  <c r="AK12" i="45"/>
  <c r="AQ11" i="45"/>
  <c r="AR11" i="45" s="1"/>
  <c r="AU11" i="45"/>
  <c r="AV11" i="45" s="1"/>
  <c r="J11" i="45"/>
  <c r="AL11" i="45"/>
  <c r="I12" i="45"/>
  <c r="J12" i="45" s="1"/>
  <c r="AY11" i="45"/>
  <c r="AG12" i="45"/>
  <c r="BU115" i="48" l="1"/>
  <c r="BU116" i="48"/>
  <c r="BU117" i="48"/>
  <c r="BU118" i="48"/>
  <c r="BU119" i="48"/>
  <c r="BU120" i="48"/>
  <c r="BU121" i="48"/>
  <c r="BU122" i="48"/>
  <c r="BU123" i="48"/>
  <c r="BU124" i="48"/>
  <c r="BU125" i="48"/>
  <c r="BU126" i="48"/>
  <c r="BU127" i="48"/>
  <c r="BU128" i="48"/>
  <c r="BU129" i="48"/>
  <c r="BU130" i="48"/>
  <c r="BU131" i="48"/>
  <c r="BU132" i="48"/>
  <c r="BU133" i="48"/>
  <c r="BU134" i="48"/>
  <c r="BU135" i="48"/>
  <c r="BU136" i="48"/>
  <c r="BU137" i="48"/>
  <c r="BU138" i="48"/>
  <c r="BU139" i="48"/>
  <c r="BU140" i="48"/>
  <c r="BU141" i="48"/>
  <c r="BU142" i="48"/>
  <c r="BU143" i="48"/>
  <c r="BU114" i="48"/>
  <c r="F58" i="48"/>
  <c r="AX156" i="48"/>
  <c r="I117" i="48"/>
  <c r="BS41" i="48"/>
  <c r="BS40" i="48"/>
  <c r="BQ114" i="48"/>
  <c r="I130" i="48"/>
  <c r="I127" i="48"/>
  <c r="I146" i="48"/>
  <c r="I162" i="48"/>
  <c r="I165" i="48"/>
  <c r="AW175" i="48"/>
  <c r="I147" i="48"/>
  <c r="I149" i="48"/>
  <c r="I172" i="48"/>
  <c r="I151" i="48"/>
  <c r="I174" i="48"/>
  <c r="AW172" i="48"/>
  <c r="AW147" i="48"/>
  <c r="I171" i="48"/>
  <c r="AW151" i="48"/>
  <c r="I160" i="48"/>
  <c r="I157" i="48"/>
  <c r="AW154" i="48"/>
  <c r="I152" i="48"/>
  <c r="AW171" i="48"/>
  <c r="I167" i="48"/>
  <c r="AW162" i="48"/>
  <c r="I159" i="48"/>
  <c r="AW157" i="48"/>
  <c r="I150" i="48"/>
  <c r="AW163" i="48"/>
  <c r="I155" i="48"/>
  <c r="AW168" i="48"/>
  <c r="AW150" i="48"/>
  <c r="I148" i="48"/>
  <c r="I168" i="48"/>
  <c r="AW148" i="48"/>
  <c r="I56" i="48"/>
  <c r="I57" i="48" s="1"/>
  <c r="AW158" i="48"/>
  <c r="AW153" i="48"/>
  <c r="AH41" i="48"/>
  <c r="AH38" i="48"/>
  <c r="I163" i="48"/>
  <c r="I156" i="48"/>
  <c r="AW155" i="48"/>
  <c r="AW165" i="48"/>
  <c r="AW160" i="48"/>
  <c r="I62" i="48"/>
  <c r="I154" i="48"/>
  <c r="I51" i="48"/>
  <c r="AW146" i="48"/>
  <c r="AW159" i="48"/>
  <c r="BV118" i="48"/>
  <c r="AW152" i="48"/>
  <c r="AW174" i="48"/>
  <c r="AQ42" i="48"/>
  <c r="AQ44" i="48"/>
  <c r="I164" i="48"/>
  <c r="I173" i="48"/>
  <c r="AW149" i="48"/>
  <c r="AW161" i="48"/>
  <c r="AW169" i="48"/>
  <c r="AW164" i="48"/>
  <c r="AW170" i="48"/>
  <c r="AW167" i="48"/>
  <c r="AH43" i="48"/>
  <c r="AW156" i="48"/>
  <c r="AW173" i="48"/>
  <c r="AH37" i="48"/>
  <c r="AH56" i="48" s="1"/>
  <c r="AH39" i="48"/>
  <c r="V56" i="48"/>
  <c r="V58" i="48" s="1"/>
  <c r="AH42" i="48"/>
  <c r="I143" i="48"/>
  <c r="AQ39" i="48"/>
  <c r="I158" i="48"/>
  <c r="I169" i="48"/>
  <c r="I68" i="48"/>
  <c r="AQ38" i="48"/>
  <c r="AQ41" i="48"/>
  <c r="I170" i="48"/>
  <c r="I175" i="48"/>
  <c r="AQ146" i="48" a="1"/>
  <c r="AQ161" i="48" s="1"/>
  <c r="AQ37" i="48"/>
  <c r="AQ68" i="48" s="1"/>
  <c r="AQ43" i="48"/>
  <c r="I161" i="48"/>
  <c r="I166" i="48"/>
  <c r="AQ40" i="48"/>
  <c r="AY42" i="48"/>
  <c r="I142" i="48"/>
  <c r="I141" i="48"/>
  <c r="I136" i="48"/>
  <c r="AV41" i="48"/>
  <c r="I139" i="48"/>
  <c r="I132" i="48"/>
  <c r="I120" i="48"/>
  <c r="I135" i="48"/>
  <c r="I128" i="48"/>
  <c r="I121" i="48"/>
  <c r="I114" i="48"/>
  <c r="I118" i="48"/>
  <c r="I124" i="48"/>
  <c r="I133" i="48"/>
  <c r="I126" i="48"/>
  <c r="I137" i="48"/>
  <c r="AY39" i="48"/>
  <c r="I129" i="48"/>
  <c r="I122" i="48"/>
  <c r="I119" i="48"/>
  <c r="I115" i="48"/>
  <c r="I138" i="48"/>
  <c r="I125" i="48"/>
  <c r="I49" i="48"/>
  <c r="I64" i="48" s="1"/>
  <c r="I65" i="48" s="1"/>
  <c r="I140" i="48"/>
  <c r="I123" i="48"/>
  <c r="I131" i="48"/>
  <c r="I134" i="48"/>
  <c r="I116" i="48"/>
  <c r="J56" i="48"/>
  <c r="J58" i="48" s="1"/>
  <c r="BJ164" i="48"/>
  <c r="AX166" i="48"/>
  <c r="BJ170" i="48"/>
  <c r="BJ159" i="48"/>
  <c r="BJ160" i="48"/>
  <c r="AX161" i="48"/>
  <c r="AH40" i="48"/>
  <c r="AX173" i="48"/>
  <c r="AX146" i="48"/>
  <c r="BJ154" i="48"/>
  <c r="BJ148" i="48"/>
  <c r="AX153" i="48"/>
  <c r="AX155" i="48"/>
  <c r="BO42" i="48"/>
  <c r="BJ157" i="48"/>
  <c r="BJ149" i="48"/>
  <c r="BJ175" i="48"/>
  <c r="AX175" i="48"/>
  <c r="AX171" i="48"/>
  <c r="BJ150" i="48"/>
  <c r="BJ169" i="48"/>
  <c r="BJ173" i="48"/>
  <c r="AX169" i="48"/>
  <c r="AX162" i="48"/>
  <c r="BJ153" i="48"/>
  <c r="BJ167" i="48"/>
  <c r="BJ171" i="48"/>
  <c r="AX152" i="48"/>
  <c r="AX165" i="48"/>
  <c r="BS39" i="48"/>
  <c r="BJ172" i="48"/>
  <c r="BJ151" i="48"/>
  <c r="BJ152" i="48"/>
  <c r="AX172" i="48"/>
  <c r="AX168" i="48"/>
  <c r="BJ166" i="48"/>
  <c r="BJ147" i="48"/>
  <c r="BJ155" i="48"/>
  <c r="AX167" i="48"/>
  <c r="AX157" i="48"/>
  <c r="BJ168" i="48"/>
  <c r="BJ156" i="48"/>
  <c r="BJ174" i="48"/>
  <c r="AX163" i="48"/>
  <c r="AX160" i="48"/>
  <c r="BJ161" i="48"/>
  <c r="BJ162" i="48"/>
  <c r="AX174" i="48"/>
  <c r="AX170" i="48"/>
  <c r="AX154" i="48"/>
  <c r="BJ158" i="48"/>
  <c r="BJ165" i="48"/>
  <c r="AX148" i="48"/>
  <c r="AX151" i="48"/>
  <c r="AX164" i="48"/>
  <c r="BJ146" i="48"/>
  <c r="AX150" i="48"/>
  <c r="AX159" i="48"/>
  <c r="BG41" i="48"/>
  <c r="AY38" i="48"/>
  <c r="AU37" i="48"/>
  <c r="AU51" i="48" s="1"/>
  <c r="AU40" i="48"/>
  <c r="AU49" i="48" s="1"/>
  <c r="AX149" i="48"/>
  <c r="AX147" i="48"/>
  <c r="AY44" i="48"/>
  <c r="AU38" i="48"/>
  <c r="AS162" i="48"/>
  <c r="AS154" i="48"/>
  <c r="AS152" i="48"/>
  <c r="AS170" i="48"/>
  <c r="AS169" i="48"/>
  <c r="AS165" i="48"/>
  <c r="AS172" i="48"/>
  <c r="AS174" i="48"/>
  <c r="AS155" i="48"/>
  <c r="AS161" i="48"/>
  <c r="AS153" i="48"/>
  <c r="AS173" i="48"/>
  <c r="AS151" i="48"/>
  <c r="AS171" i="48"/>
  <c r="AS150" i="48"/>
  <c r="AS146" i="48"/>
  <c r="AS166" i="48"/>
  <c r="AS158" i="48"/>
  <c r="AS148" i="48"/>
  <c r="AS147" i="48"/>
  <c r="AS160" i="48"/>
  <c r="AS159" i="48"/>
  <c r="AS157" i="48"/>
  <c r="AS164" i="48"/>
  <c r="AS168" i="48"/>
  <c r="AS156" i="48"/>
  <c r="AS163" i="48"/>
  <c r="AS175" i="48"/>
  <c r="AS149" i="48"/>
  <c r="AS167" i="48"/>
  <c r="U62" i="48"/>
  <c r="U56" i="48"/>
  <c r="U58" i="48" s="1"/>
  <c r="U68" i="48"/>
  <c r="U51" i="48"/>
  <c r="U175" i="48"/>
  <c r="U150" i="48"/>
  <c r="U148" i="48"/>
  <c r="U151" i="48"/>
  <c r="U164" i="48"/>
  <c r="U163" i="48"/>
  <c r="U167" i="48"/>
  <c r="U160" i="48"/>
  <c r="U173" i="48"/>
  <c r="U166" i="48"/>
  <c r="U159" i="48"/>
  <c r="U171" i="48"/>
  <c r="U156" i="48"/>
  <c r="U158" i="48"/>
  <c r="U154" i="48"/>
  <c r="U149" i="48"/>
  <c r="U155" i="48"/>
  <c r="U147" i="48"/>
  <c r="U153" i="48"/>
  <c r="U161" i="48"/>
  <c r="U152" i="48"/>
  <c r="U172" i="48"/>
  <c r="U169" i="48"/>
  <c r="U168" i="48"/>
  <c r="U174" i="48"/>
  <c r="U162" i="48"/>
  <c r="U170" i="48"/>
  <c r="U165" i="48"/>
  <c r="U146" i="48"/>
  <c r="U157" i="48"/>
  <c r="AT163" i="48"/>
  <c r="AT156" i="48"/>
  <c r="AT173" i="48"/>
  <c r="AT170" i="48"/>
  <c r="AT154" i="48"/>
  <c r="AT152" i="48"/>
  <c r="AT157" i="48"/>
  <c r="AT162" i="48"/>
  <c r="AT155" i="48"/>
  <c r="AT149" i="48"/>
  <c r="AT164" i="48"/>
  <c r="AT171" i="48"/>
  <c r="AT172" i="48"/>
  <c r="AT158" i="48"/>
  <c r="AT150" i="48"/>
  <c r="AT174" i="48"/>
  <c r="AT146" i="48"/>
  <c r="AT147" i="48"/>
  <c r="AT161" i="48"/>
  <c r="AT166" i="48"/>
  <c r="AT165" i="48"/>
  <c r="AT151" i="48"/>
  <c r="AT175" i="48"/>
  <c r="AT167" i="48"/>
  <c r="AT148" i="48"/>
  <c r="AT168" i="48"/>
  <c r="AT159" i="48"/>
  <c r="AT169" i="48"/>
  <c r="AT153" i="48"/>
  <c r="AT160" i="48"/>
  <c r="BO44" i="48"/>
  <c r="AV42" i="48"/>
  <c r="BW146" i="48" a="1"/>
  <c r="BS42" i="48"/>
  <c r="AL38" i="48"/>
  <c r="AL41" i="48"/>
  <c r="AL44" i="48"/>
  <c r="AL39" i="48"/>
  <c r="AL43" i="48"/>
  <c r="AL40" i="48"/>
  <c r="AL37" i="48"/>
  <c r="AL42" i="48"/>
  <c r="BV136" i="48"/>
  <c r="BV134" i="48"/>
  <c r="BV117" i="48"/>
  <c r="AU42" i="48"/>
  <c r="BN173" i="48"/>
  <c r="BN159" i="48"/>
  <c r="BN168" i="48"/>
  <c r="BN147" i="48"/>
  <c r="BN161" i="48"/>
  <c r="BN175" i="48"/>
  <c r="BN146" i="48"/>
  <c r="BN162" i="48"/>
  <c r="BN174" i="48"/>
  <c r="BN170" i="48"/>
  <c r="BN165" i="48"/>
  <c r="BN169" i="48"/>
  <c r="BN155" i="48"/>
  <c r="BN166" i="48"/>
  <c r="BN152" i="48"/>
  <c r="BN160" i="48"/>
  <c r="BN150" i="48"/>
  <c r="BN158" i="48"/>
  <c r="BN151" i="48"/>
  <c r="BN154" i="48"/>
  <c r="BN163" i="48"/>
  <c r="BN156" i="48"/>
  <c r="BN164" i="48"/>
  <c r="BN148" i="48"/>
  <c r="BN167" i="48"/>
  <c r="BN149" i="48"/>
  <c r="BN153" i="48"/>
  <c r="BN171" i="48"/>
  <c r="BN172" i="48"/>
  <c r="BN157" i="48"/>
  <c r="Z44" i="48"/>
  <c r="Z38" i="48"/>
  <c r="Z43" i="48"/>
  <c r="Z41" i="48"/>
  <c r="Z37" i="48"/>
  <c r="Z39" i="48"/>
  <c r="Z40" i="48"/>
  <c r="Z42" i="48"/>
  <c r="Q62" i="48"/>
  <c r="Q51" i="48"/>
  <c r="Q56" i="48"/>
  <c r="Q57" i="48" s="1"/>
  <c r="Q68" i="48"/>
  <c r="BO40" i="48"/>
  <c r="AV44" i="48"/>
  <c r="BW38" i="48"/>
  <c r="BU157" i="48"/>
  <c r="BU168" i="48"/>
  <c r="BU162" i="48"/>
  <c r="BU146" i="48"/>
  <c r="BU156" i="48"/>
  <c r="BU166" i="48"/>
  <c r="BU155" i="48"/>
  <c r="BU175" i="48"/>
  <c r="BU174" i="48"/>
  <c r="BU161" i="48"/>
  <c r="BU158" i="48"/>
  <c r="BU167" i="48"/>
  <c r="BU172" i="48"/>
  <c r="BU171" i="48"/>
  <c r="BU153" i="48"/>
  <c r="BU165" i="48"/>
  <c r="BU160" i="48"/>
  <c r="BU150" i="48"/>
  <c r="BU164" i="48"/>
  <c r="BU170" i="48"/>
  <c r="BU149" i="48"/>
  <c r="BU173" i="48"/>
  <c r="BU159" i="48"/>
  <c r="BU151" i="48"/>
  <c r="BU152" i="48"/>
  <c r="BU169" i="48"/>
  <c r="BU147" i="48"/>
  <c r="BU163" i="48"/>
  <c r="BU148" i="48"/>
  <c r="BU154" i="48"/>
  <c r="BV139" i="48"/>
  <c r="BV125" i="48"/>
  <c r="BV129" i="48"/>
  <c r="BB154" i="48"/>
  <c r="BB170" i="48"/>
  <c r="BB166" i="48"/>
  <c r="BB153" i="48"/>
  <c r="BB165" i="48"/>
  <c r="BB159" i="48"/>
  <c r="BB164" i="48"/>
  <c r="BB148" i="48"/>
  <c r="BB147" i="48"/>
  <c r="BB162" i="48"/>
  <c r="BB158" i="48"/>
  <c r="BB167" i="48"/>
  <c r="BB169" i="48"/>
  <c r="BB172" i="48"/>
  <c r="BB171" i="48"/>
  <c r="BB174" i="48"/>
  <c r="BB168" i="48"/>
  <c r="BB157" i="48"/>
  <c r="BB146" i="48"/>
  <c r="BB149" i="48"/>
  <c r="BB155" i="48"/>
  <c r="BB150" i="48"/>
  <c r="BB175" i="48"/>
  <c r="BB152" i="48"/>
  <c r="BB160" i="48"/>
  <c r="BB161" i="48"/>
  <c r="BB163" i="48"/>
  <c r="BB151" i="48"/>
  <c r="BB156" i="48"/>
  <c r="BB173" i="48"/>
  <c r="BA148" i="48"/>
  <c r="BA147" i="48"/>
  <c r="BA160" i="48"/>
  <c r="BA174" i="48"/>
  <c r="BA169" i="48"/>
  <c r="BA171" i="48"/>
  <c r="BA151" i="48"/>
  <c r="BA170" i="48"/>
  <c r="BA154" i="48"/>
  <c r="BA159" i="48"/>
  <c r="BA166" i="48"/>
  <c r="BA155" i="48"/>
  <c r="BA161" i="48"/>
  <c r="BA152" i="48"/>
  <c r="BA146" i="48"/>
  <c r="BA158" i="48"/>
  <c r="BA156" i="48"/>
  <c r="BA157" i="48"/>
  <c r="BA162" i="48"/>
  <c r="BA175" i="48"/>
  <c r="BA168" i="48"/>
  <c r="BA149" i="48"/>
  <c r="BA150" i="48"/>
  <c r="BA163" i="48"/>
  <c r="BA173" i="48"/>
  <c r="BA172" i="48"/>
  <c r="BA167" i="48"/>
  <c r="BA165" i="48"/>
  <c r="BA164" i="48"/>
  <c r="BA153" i="48"/>
  <c r="BM153" i="48"/>
  <c r="BM149" i="48"/>
  <c r="BM164" i="48"/>
  <c r="BM156" i="48"/>
  <c r="BM159" i="48"/>
  <c r="BM148" i="48"/>
  <c r="BM165" i="48"/>
  <c r="BM163" i="48"/>
  <c r="BM175" i="48"/>
  <c r="BM154" i="48"/>
  <c r="BM171" i="48"/>
  <c r="BM157" i="48"/>
  <c r="BM173" i="48"/>
  <c r="BM150" i="48"/>
  <c r="BM174" i="48"/>
  <c r="BM170" i="48"/>
  <c r="BM166" i="48"/>
  <c r="BM168" i="48"/>
  <c r="BM160" i="48"/>
  <c r="BM158" i="48"/>
  <c r="BM147" i="48"/>
  <c r="BM155" i="48"/>
  <c r="BM152" i="48"/>
  <c r="BM151" i="48"/>
  <c r="BM146" i="48"/>
  <c r="BM172" i="48"/>
  <c r="BM167" i="48"/>
  <c r="BM161" i="48"/>
  <c r="BM162" i="48"/>
  <c r="BM169" i="48"/>
  <c r="BS38" i="48"/>
  <c r="Q143" i="48"/>
  <c r="Q114" i="48"/>
  <c r="Q117" i="48"/>
  <c r="Q136" i="48"/>
  <c r="Q140" i="48"/>
  <c r="Q128" i="48"/>
  <c r="Q132" i="48"/>
  <c r="Q142" i="48"/>
  <c r="Q49" i="48"/>
  <c r="Q119" i="48"/>
  <c r="Q133" i="48"/>
  <c r="Q137" i="48"/>
  <c r="Q118" i="48"/>
  <c r="Q124" i="48"/>
  <c r="Q129" i="48"/>
  <c r="Q141" i="48"/>
  <c r="Q116" i="48"/>
  <c r="Q120" i="48"/>
  <c r="Q134" i="48"/>
  <c r="Q138" i="48"/>
  <c r="Q121" i="48"/>
  <c r="Q126" i="48"/>
  <c r="Q130" i="48"/>
  <c r="Q122" i="48"/>
  <c r="Q125" i="48"/>
  <c r="Q115" i="48"/>
  <c r="Q123" i="48"/>
  <c r="Q135" i="48"/>
  <c r="Q139" i="48"/>
  <c r="Q127" i="48"/>
  <c r="Q131" i="48"/>
  <c r="AC155" i="48"/>
  <c r="AC146" i="48"/>
  <c r="AC170" i="48"/>
  <c r="AC167" i="48"/>
  <c r="AC163" i="48"/>
  <c r="AC169" i="48"/>
  <c r="AC157" i="48"/>
  <c r="AC171" i="48"/>
  <c r="AC152" i="48"/>
  <c r="AC173" i="48"/>
  <c r="AC149" i="48"/>
  <c r="AC166" i="48"/>
  <c r="AC174" i="48"/>
  <c r="AC165" i="48"/>
  <c r="AC164" i="48"/>
  <c r="AC168" i="48"/>
  <c r="AC160" i="48"/>
  <c r="AC162" i="48"/>
  <c r="AC150" i="48"/>
  <c r="AC148" i="48"/>
  <c r="AC175" i="48"/>
  <c r="AC159" i="48"/>
  <c r="AC172" i="48"/>
  <c r="AC151" i="48"/>
  <c r="AC161" i="48"/>
  <c r="AC156" i="48"/>
  <c r="AC153" i="48"/>
  <c r="AC158" i="48"/>
  <c r="AC154" i="48"/>
  <c r="AC147" i="48"/>
  <c r="BO37" i="48"/>
  <c r="AW137" i="48"/>
  <c r="AW141" i="48"/>
  <c r="AW123" i="48"/>
  <c r="AW127" i="48"/>
  <c r="AW129" i="48"/>
  <c r="AW138" i="48"/>
  <c r="AW131" i="48"/>
  <c r="AW143" i="48"/>
  <c r="AW130" i="48"/>
  <c r="AW132" i="48"/>
  <c r="AW133" i="48"/>
  <c r="AW136" i="48"/>
  <c r="AW117" i="48"/>
  <c r="AW116" i="48"/>
  <c r="AW122" i="48"/>
  <c r="AW128" i="48"/>
  <c r="AW134" i="48"/>
  <c r="AW118" i="48"/>
  <c r="AW114" i="48"/>
  <c r="AW140" i="48"/>
  <c r="AW135" i="48"/>
  <c r="AW126" i="48"/>
  <c r="AW115" i="48"/>
  <c r="AW119" i="48"/>
  <c r="AW142" i="48"/>
  <c r="AW120" i="48"/>
  <c r="AW124" i="48"/>
  <c r="AW121" i="48"/>
  <c r="AW139" i="48"/>
  <c r="AW125" i="48"/>
  <c r="AV38" i="48"/>
  <c r="BA139" i="48"/>
  <c r="BA136" i="48"/>
  <c r="BA133" i="48"/>
  <c r="BA142" i="48"/>
  <c r="BA114" i="48"/>
  <c r="BA129" i="48"/>
  <c r="BA128" i="48"/>
  <c r="BA122" i="48"/>
  <c r="BA126" i="48"/>
  <c r="BA132" i="48"/>
  <c r="BA137" i="48"/>
  <c r="BA130" i="48"/>
  <c r="BA119" i="48"/>
  <c r="BA121" i="48"/>
  <c r="BA143" i="48"/>
  <c r="BA116" i="48"/>
  <c r="BA134" i="48"/>
  <c r="BA118" i="48"/>
  <c r="BA127" i="48"/>
  <c r="BA124" i="48"/>
  <c r="BA117" i="48"/>
  <c r="BA138" i="48"/>
  <c r="BA120" i="48"/>
  <c r="BA115" i="48"/>
  <c r="BA125" i="48"/>
  <c r="BA123" i="48"/>
  <c r="BA141" i="48"/>
  <c r="BA131" i="48"/>
  <c r="BA140" i="48"/>
  <c r="BA135" i="48"/>
  <c r="BW39" i="48"/>
  <c r="BS37" i="48"/>
  <c r="BV143" i="48"/>
  <c r="BV115" i="48"/>
  <c r="BV126" i="48"/>
  <c r="BE153" i="48"/>
  <c r="BE172" i="48"/>
  <c r="BE163" i="48"/>
  <c r="BE156" i="48"/>
  <c r="BE157" i="48"/>
  <c r="BE158" i="48"/>
  <c r="BE162" i="48"/>
  <c r="BE167" i="48"/>
  <c r="BE152" i="48"/>
  <c r="BE154" i="48"/>
  <c r="BE160" i="48"/>
  <c r="BE166" i="48"/>
  <c r="BE170" i="48"/>
  <c r="BE149" i="48"/>
  <c r="BE150" i="48"/>
  <c r="BE168" i="48"/>
  <c r="BE175" i="48"/>
  <c r="BE146" i="48"/>
  <c r="BE173" i="48"/>
  <c r="BE148" i="48"/>
  <c r="BE164" i="48"/>
  <c r="BE174" i="48"/>
  <c r="BE169" i="48"/>
  <c r="BE151" i="48"/>
  <c r="BE171" i="48"/>
  <c r="BE155" i="48"/>
  <c r="BE161" i="48"/>
  <c r="BE165" i="48"/>
  <c r="BE159" i="48"/>
  <c r="BE147" i="48"/>
  <c r="BH13" i="48"/>
  <c r="BH38" i="48" s="1"/>
  <c r="BG37" i="48"/>
  <c r="BG44" i="48"/>
  <c r="BG38" i="48"/>
  <c r="BG146" i="48" a="1"/>
  <c r="E53" i="48"/>
  <c r="E54" i="48" s="1"/>
  <c r="E52" i="48"/>
  <c r="E69" i="48"/>
  <c r="E70" i="48"/>
  <c r="E71" i="48" s="1"/>
  <c r="E64" i="48"/>
  <c r="E65" i="48" s="1"/>
  <c r="E63" i="48"/>
  <c r="BO146" i="48" a="1"/>
  <c r="BS146" i="48" a="1"/>
  <c r="M157" i="48"/>
  <c r="M151" i="48"/>
  <c r="M160" i="48"/>
  <c r="M153" i="48"/>
  <c r="M175" i="48"/>
  <c r="M155" i="48"/>
  <c r="M158" i="48"/>
  <c r="M146" i="48"/>
  <c r="M166" i="48"/>
  <c r="M147" i="48"/>
  <c r="M150" i="48"/>
  <c r="M171" i="48"/>
  <c r="M167" i="48"/>
  <c r="M168" i="48"/>
  <c r="M173" i="48"/>
  <c r="M161" i="48"/>
  <c r="M170" i="48"/>
  <c r="M172" i="48"/>
  <c r="M169" i="48"/>
  <c r="M149" i="48"/>
  <c r="M162" i="48"/>
  <c r="M154" i="48"/>
  <c r="M163" i="48"/>
  <c r="M174" i="48"/>
  <c r="M165" i="48"/>
  <c r="M156" i="48"/>
  <c r="M148" i="48"/>
  <c r="M152" i="48"/>
  <c r="M159" i="48"/>
  <c r="M164" i="48"/>
  <c r="AP161" i="48"/>
  <c r="AP170" i="48"/>
  <c r="AP147" i="48"/>
  <c r="AP160" i="48"/>
  <c r="AP162" i="48"/>
  <c r="AP155" i="48"/>
  <c r="AP175" i="48"/>
  <c r="AP150" i="48"/>
  <c r="AP159" i="48"/>
  <c r="AP146" i="48"/>
  <c r="AP154" i="48"/>
  <c r="AP153" i="48"/>
  <c r="AP152" i="48"/>
  <c r="AP173" i="48"/>
  <c r="AP171" i="48"/>
  <c r="AP151" i="48"/>
  <c r="AP165" i="48"/>
  <c r="AP169" i="48"/>
  <c r="AP167" i="48"/>
  <c r="AP157" i="48"/>
  <c r="AP168" i="48"/>
  <c r="AP174" i="48"/>
  <c r="AP163" i="48"/>
  <c r="AP158" i="48"/>
  <c r="AP148" i="48"/>
  <c r="AP156" i="48"/>
  <c r="AP149" i="48"/>
  <c r="AP166" i="48"/>
  <c r="AP164" i="48"/>
  <c r="AP172" i="48"/>
  <c r="BO43" i="48"/>
  <c r="BG40" i="48"/>
  <c r="AV43" i="48"/>
  <c r="BW43" i="48"/>
  <c r="BV121" i="48"/>
  <c r="BV140" i="48"/>
  <c r="BL13" i="48"/>
  <c r="BK38" i="48"/>
  <c r="BK42" i="48"/>
  <c r="BK43" i="48"/>
  <c r="BK41" i="48"/>
  <c r="BK44" i="48"/>
  <c r="BK39" i="48"/>
  <c r="BK37" i="48"/>
  <c r="BK40" i="48"/>
  <c r="AG156" i="48"/>
  <c r="AG146" i="48"/>
  <c r="AG161" i="48"/>
  <c r="AG175" i="48"/>
  <c r="AG160" i="48"/>
  <c r="AG159" i="48"/>
  <c r="AG166" i="48"/>
  <c r="AG174" i="48"/>
  <c r="AG170" i="48"/>
  <c r="AG172" i="48"/>
  <c r="AG154" i="48"/>
  <c r="AG152" i="48"/>
  <c r="AG164" i="48"/>
  <c r="AG149" i="48"/>
  <c r="AG153" i="48"/>
  <c r="AG158" i="48"/>
  <c r="AG171" i="48"/>
  <c r="AG165" i="48"/>
  <c r="AG163" i="48"/>
  <c r="AG173" i="48"/>
  <c r="AG151" i="48"/>
  <c r="AG147" i="48"/>
  <c r="AG155" i="48"/>
  <c r="AG150" i="48"/>
  <c r="AG148" i="48"/>
  <c r="AG168" i="48"/>
  <c r="AG157" i="48"/>
  <c r="AG162" i="48"/>
  <c r="AG167" i="48"/>
  <c r="AG169" i="48"/>
  <c r="BO39" i="48"/>
  <c r="AZ13" i="48"/>
  <c r="AY41" i="48"/>
  <c r="AY40" i="48"/>
  <c r="AY43" i="48"/>
  <c r="AY37" i="48"/>
  <c r="BG43" i="48"/>
  <c r="AV40" i="48"/>
  <c r="BX42" i="48"/>
  <c r="BX43" i="48"/>
  <c r="BX39" i="48"/>
  <c r="BX40" i="48"/>
  <c r="BX44" i="48"/>
  <c r="BX37" i="48"/>
  <c r="BX38" i="48"/>
  <c r="BX41" i="48"/>
  <c r="AU43" i="48"/>
  <c r="BI132" i="48"/>
  <c r="BI125" i="48"/>
  <c r="BI128" i="48"/>
  <c r="BI126" i="48"/>
  <c r="BI135" i="48"/>
  <c r="BI120" i="48"/>
  <c r="BI137" i="48"/>
  <c r="BI140" i="48"/>
  <c r="BI117" i="48"/>
  <c r="BI130" i="48"/>
  <c r="BI124" i="48"/>
  <c r="BI115" i="48"/>
  <c r="BI138" i="48"/>
  <c r="BI114" i="48"/>
  <c r="BI131" i="48"/>
  <c r="BI141" i="48"/>
  <c r="BI122" i="48"/>
  <c r="BI116" i="48"/>
  <c r="BI139" i="48"/>
  <c r="BI136" i="48"/>
  <c r="BI123" i="48"/>
  <c r="BI129" i="48"/>
  <c r="BI143" i="48"/>
  <c r="BI142" i="48"/>
  <c r="BI127" i="48"/>
  <c r="BI134" i="48"/>
  <c r="BI133" i="48"/>
  <c r="BI119" i="48"/>
  <c r="BI121" i="48"/>
  <c r="BI118" i="48"/>
  <c r="BV132" i="48"/>
  <c r="BV124" i="48"/>
  <c r="BR140" i="48"/>
  <c r="BR134" i="48"/>
  <c r="BR118" i="48"/>
  <c r="BR130" i="48"/>
  <c r="BR121" i="48"/>
  <c r="BR139" i="48"/>
  <c r="BR117" i="48"/>
  <c r="BR120" i="48"/>
  <c r="BR142" i="48"/>
  <c r="BR122" i="48"/>
  <c r="BR137" i="48"/>
  <c r="BR119" i="48"/>
  <c r="BR138" i="48"/>
  <c r="BR128" i="48"/>
  <c r="BR143" i="48"/>
  <c r="BR123" i="48"/>
  <c r="BR126" i="48"/>
  <c r="BR136" i="48"/>
  <c r="BR116" i="48"/>
  <c r="BR129" i="48"/>
  <c r="BR114" i="48"/>
  <c r="BR141" i="48"/>
  <c r="BR131" i="48"/>
  <c r="BR115" i="48"/>
  <c r="BR125" i="48"/>
  <c r="BR132" i="48"/>
  <c r="BR127" i="48"/>
  <c r="BR133" i="48"/>
  <c r="BR135" i="48"/>
  <c r="BR124" i="48"/>
  <c r="BV155" i="48"/>
  <c r="BV167" i="48"/>
  <c r="BV158" i="48"/>
  <c r="BV165" i="48"/>
  <c r="BV152" i="48"/>
  <c r="BV157" i="48"/>
  <c r="BV174" i="48"/>
  <c r="BV169" i="48"/>
  <c r="BV151" i="48"/>
  <c r="BV150" i="48"/>
  <c r="BV172" i="48"/>
  <c r="BV162" i="48"/>
  <c r="BV154" i="48"/>
  <c r="BV163" i="48"/>
  <c r="BV153" i="48"/>
  <c r="BV148" i="48"/>
  <c r="BV160" i="48"/>
  <c r="BV173" i="48"/>
  <c r="BV159" i="48"/>
  <c r="BV175" i="48"/>
  <c r="BV149" i="48"/>
  <c r="BV166" i="48"/>
  <c r="BV164" i="48"/>
  <c r="BV147" i="48"/>
  <c r="BV171" i="48"/>
  <c r="BV146" i="48"/>
  <c r="BV161" i="48"/>
  <c r="BV170" i="48"/>
  <c r="BV156" i="48"/>
  <c r="BV168" i="48"/>
  <c r="BE137" i="48"/>
  <c r="BE127" i="48"/>
  <c r="BE130" i="48"/>
  <c r="BE117" i="48"/>
  <c r="BE115" i="48"/>
  <c r="BE141" i="48"/>
  <c r="BE136" i="48"/>
  <c r="BE114" i="48"/>
  <c r="BE122" i="48"/>
  <c r="BE142" i="48"/>
  <c r="BE138" i="48"/>
  <c r="BE121" i="48"/>
  <c r="BE119" i="48"/>
  <c r="BE126" i="48"/>
  <c r="BE129" i="48"/>
  <c r="BE116" i="48"/>
  <c r="BE133" i="48"/>
  <c r="BE134" i="48"/>
  <c r="BE135" i="48"/>
  <c r="BE120" i="48"/>
  <c r="BE124" i="48"/>
  <c r="BE131" i="48"/>
  <c r="BE123" i="48"/>
  <c r="BE140" i="48"/>
  <c r="BE125" i="48"/>
  <c r="BE128" i="48"/>
  <c r="BE139" i="48"/>
  <c r="BE118" i="48"/>
  <c r="BE132" i="48"/>
  <c r="BE143" i="48"/>
  <c r="BF131" i="48"/>
  <c r="BF127" i="48"/>
  <c r="BF139" i="48"/>
  <c r="BF122" i="48"/>
  <c r="BF128" i="48"/>
  <c r="BF126" i="48"/>
  <c r="BF132" i="48"/>
  <c r="BF116" i="48"/>
  <c r="BF119" i="48"/>
  <c r="BF142" i="48"/>
  <c r="BF117" i="48"/>
  <c r="BF133" i="48"/>
  <c r="BF114" i="48"/>
  <c r="BF124" i="48"/>
  <c r="BF115" i="48"/>
  <c r="BF137" i="48"/>
  <c r="BF138" i="48"/>
  <c r="BF136" i="48"/>
  <c r="BF143" i="48"/>
  <c r="BF130" i="48"/>
  <c r="BF140" i="48"/>
  <c r="BF125" i="48"/>
  <c r="BF121" i="48"/>
  <c r="BF135" i="48"/>
  <c r="BF129" i="48"/>
  <c r="BF141" i="48"/>
  <c r="BF123" i="48"/>
  <c r="BF134" i="48"/>
  <c r="BF120" i="48"/>
  <c r="BF118" i="48"/>
  <c r="AG51" i="48"/>
  <c r="AG62" i="48"/>
  <c r="AG68" i="48"/>
  <c r="AG56" i="48"/>
  <c r="AG58" i="48" s="1"/>
  <c r="M122" i="48"/>
  <c r="M116" i="48"/>
  <c r="M118" i="48"/>
  <c r="M121" i="48"/>
  <c r="M129" i="48"/>
  <c r="M142" i="48"/>
  <c r="M128" i="48"/>
  <c r="M123" i="48"/>
  <c r="M115" i="48"/>
  <c r="M139" i="48"/>
  <c r="M143" i="48"/>
  <c r="M136" i="48"/>
  <c r="M133" i="48"/>
  <c r="M124" i="48"/>
  <c r="M130" i="48"/>
  <c r="M119" i="48"/>
  <c r="M49" i="48"/>
  <c r="M140" i="48"/>
  <c r="M125" i="48"/>
  <c r="M137" i="48"/>
  <c r="M134" i="48"/>
  <c r="M131" i="48"/>
  <c r="M120" i="48"/>
  <c r="M126" i="48"/>
  <c r="M117" i="48"/>
  <c r="M141" i="48"/>
  <c r="M114" i="48"/>
  <c r="M138" i="48"/>
  <c r="M135" i="48"/>
  <c r="M127" i="48"/>
  <c r="M132" i="48"/>
  <c r="AT131" i="48"/>
  <c r="AT134" i="48"/>
  <c r="AT125" i="48"/>
  <c r="AT117" i="48"/>
  <c r="AT119" i="48"/>
  <c r="AT120" i="48"/>
  <c r="AT122" i="48"/>
  <c r="AT141" i="48"/>
  <c r="AT127" i="48"/>
  <c r="AT139" i="48"/>
  <c r="AT123" i="48"/>
  <c r="AT136" i="48"/>
  <c r="AT143" i="48"/>
  <c r="AT138" i="48"/>
  <c r="AT116" i="48"/>
  <c r="AT121" i="48"/>
  <c r="AT118" i="48"/>
  <c r="AT115" i="48"/>
  <c r="AT129" i="48"/>
  <c r="AT114" i="48"/>
  <c r="AT126" i="48"/>
  <c r="AT142" i="48"/>
  <c r="AT124" i="48"/>
  <c r="AT137" i="48"/>
  <c r="AT133" i="48"/>
  <c r="AT130" i="48"/>
  <c r="AT140" i="48"/>
  <c r="AT128" i="48"/>
  <c r="AT135" i="48"/>
  <c r="AT132" i="48"/>
  <c r="Q149" i="48"/>
  <c r="Q167" i="48"/>
  <c r="Q155" i="48"/>
  <c r="Q161" i="48"/>
  <c r="Q158" i="48"/>
  <c r="Q170" i="48"/>
  <c r="Q163" i="48"/>
  <c r="Q146" i="48"/>
  <c r="Q174" i="48"/>
  <c r="Q151" i="48"/>
  <c r="Q173" i="48"/>
  <c r="Q148" i="48"/>
  <c r="Q156" i="48"/>
  <c r="Q150" i="48"/>
  <c r="Q169" i="48"/>
  <c r="Q160" i="48"/>
  <c r="Q152" i="48"/>
  <c r="Q175" i="48"/>
  <c r="Q165" i="48"/>
  <c r="Q159" i="48"/>
  <c r="Q168" i="48"/>
  <c r="Q147" i="48"/>
  <c r="Q157" i="48"/>
  <c r="Q166" i="48"/>
  <c r="Q154" i="48"/>
  <c r="Q172" i="48"/>
  <c r="Q162" i="48"/>
  <c r="Q164" i="48"/>
  <c r="Q171" i="48"/>
  <c r="Q153" i="48"/>
  <c r="BO38" i="48"/>
  <c r="BG39" i="48"/>
  <c r="AV37" i="48"/>
  <c r="BS44" i="48"/>
  <c r="BV119" i="48"/>
  <c r="BV127" i="48"/>
  <c r="BQ162" i="48"/>
  <c r="BQ167" i="48"/>
  <c r="BQ175" i="48"/>
  <c r="BQ168" i="48"/>
  <c r="BQ150" i="48"/>
  <c r="BQ163" i="48"/>
  <c r="BQ155" i="48"/>
  <c r="BQ157" i="48"/>
  <c r="BQ159" i="48"/>
  <c r="BQ174" i="48"/>
  <c r="BQ158" i="48"/>
  <c r="BQ170" i="48"/>
  <c r="BQ147" i="48"/>
  <c r="BQ152" i="48"/>
  <c r="BQ173" i="48"/>
  <c r="BQ169" i="48"/>
  <c r="BQ171" i="48"/>
  <c r="BQ146" i="48"/>
  <c r="BQ160" i="48"/>
  <c r="BQ172" i="48"/>
  <c r="BQ156" i="48"/>
  <c r="BQ166" i="48"/>
  <c r="BQ149" i="48"/>
  <c r="BQ165" i="48"/>
  <c r="BQ154" i="48"/>
  <c r="BQ161" i="48"/>
  <c r="BQ164" i="48"/>
  <c r="BQ148" i="48"/>
  <c r="BQ153" i="48"/>
  <c r="BQ151" i="48"/>
  <c r="AY146" i="48" a="1"/>
  <c r="N44" i="48"/>
  <c r="N41" i="48"/>
  <c r="N37" i="48"/>
  <c r="N43" i="48"/>
  <c r="N40" i="48"/>
  <c r="N39" i="48"/>
  <c r="N38" i="48"/>
  <c r="N42" i="48"/>
  <c r="Y62" i="48"/>
  <c r="Y51" i="48"/>
  <c r="Y68" i="48"/>
  <c r="Y56" i="48"/>
  <c r="Y57" i="48" s="1"/>
  <c r="R42" i="48"/>
  <c r="R43" i="48"/>
  <c r="R44" i="48"/>
  <c r="R37" i="48"/>
  <c r="R38" i="48"/>
  <c r="R39" i="48"/>
  <c r="R40" i="48"/>
  <c r="R41" i="48"/>
  <c r="BO41" i="48"/>
  <c r="BG42" i="48"/>
  <c r="BI152" i="48"/>
  <c r="BI164" i="48"/>
  <c r="BI173" i="48"/>
  <c r="BI171" i="48"/>
  <c r="BI149" i="48"/>
  <c r="BI150" i="48"/>
  <c r="BI148" i="48"/>
  <c r="BI147" i="48"/>
  <c r="BI161" i="48"/>
  <c r="BI172" i="48"/>
  <c r="BI146" i="48"/>
  <c r="BI153" i="48"/>
  <c r="BI174" i="48"/>
  <c r="BI170" i="48"/>
  <c r="BI166" i="48"/>
  <c r="BI167" i="48"/>
  <c r="BI160" i="48"/>
  <c r="BI175" i="48"/>
  <c r="BI165" i="48"/>
  <c r="BI168" i="48"/>
  <c r="BI155" i="48"/>
  <c r="BI157" i="48"/>
  <c r="BI163" i="48"/>
  <c r="BI169" i="48"/>
  <c r="BI156" i="48"/>
  <c r="BI162" i="48"/>
  <c r="BI158" i="48"/>
  <c r="BI151" i="48"/>
  <c r="BI159" i="48"/>
  <c r="BI154" i="48"/>
  <c r="BQ127" i="48"/>
  <c r="BQ117" i="48"/>
  <c r="BQ140" i="48"/>
  <c r="BQ123" i="48"/>
  <c r="BQ121" i="48"/>
  <c r="BQ131" i="48"/>
  <c r="BQ124" i="48"/>
  <c r="BQ120" i="48"/>
  <c r="BQ129" i="48"/>
  <c r="BQ141" i="48"/>
  <c r="BQ125" i="48"/>
  <c r="BQ126" i="48"/>
  <c r="BQ142" i="48"/>
  <c r="BQ132" i="48"/>
  <c r="BQ115" i="48"/>
  <c r="BQ116" i="48"/>
  <c r="BQ139" i="48"/>
  <c r="BQ122" i="48"/>
  <c r="BQ119" i="48"/>
  <c r="BQ135" i="48"/>
  <c r="BQ133" i="48"/>
  <c r="BQ138" i="48"/>
  <c r="BQ136" i="48"/>
  <c r="BQ137" i="48"/>
  <c r="BQ128" i="48"/>
  <c r="BQ143" i="48"/>
  <c r="BQ134" i="48"/>
  <c r="BQ118" i="48"/>
  <c r="BQ130" i="48"/>
  <c r="AK51" i="48"/>
  <c r="AK62" i="48"/>
  <c r="AK68" i="48"/>
  <c r="AK56" i="48"/>
  <c r="AK57" i="48" s="1"/>
  <c r="BL14" i="48"/>
  <c r="BK146" i="48" a="1"/>
  <c r="BV138" i="48"/>
  <c r="BV116" i="48"/>
  <c r="BS43" i="48"/>
  <c r="AU41" i="48"/>
  <c r="BN132" i="48"/>
  <c r="BN124" i="48"/>
  <c r="BN143" i="48"/>
  <c r="BN129" i="48"/>
  <c r="BN118" i="48"/>
  <c r="BN134" i="48"/>
  <c r="BN136" i="48"/>
  <c r="BN121" i="48"/>
  <c r="BN116" i="48"/>
  <c r="BN137" i="48"/>
  <c r="BN123" i="48"/>
  <c r="BN119" i="48"/>
  <c r="BN141" i="48"/>
  <c r="BN114" i="48"/>
  <c r="BN127" i="48"/>
  <c r="BN115" i="48"/>
  <c r="BN131" i="48"/>
  <c r="BN120" i="48"/>
  <c r="BN128" i="48"/>
  <c r="BN138" i="48"/>
  <c r="BN133" i="48"/>
  <c r="BN125" i="48"/>
  <c r="BN142" i="48"/>
  <c r="BN122" i="48"/>
  <c r="BN130" i="48"/>
  <c r="BN126" i="48"/>
  <c r="BN139" i="48"/>
  <c r="BN140" i="48"/>
  <c r="BN135" i="48"/>
  <c r="BN117" i="48"/>
  <c r="AU146" i="48" a="1"/>
  <c r="E58" i="48"/>
  <c r="AR39" i="48"/>
  <c r="AR38" i="48"/>
  <c r="AR42" i="48"/>
  <c r="AR37" i="48"/>
  <c r="AR44" i="48"/>
  <c r="AR40" i="48"/>
  <c r="AR41" i="48"/>
  <c r="AR43" i="48"/>
  <c r="AU44" i="48"/>
  <c r="AC115" i="48"/>
  <c r="AC119" i="48"/>
  <c r="AC114" i="48"/>
  <c r="AC127" i="48"/>
  <c r="AC116" i="48"/>
  <c r="AC143" i="48"/>
  <c r="AC118" i="48"/>
  <c r="AC139" i="48"/>
  <c r="AC140" i="48"/>
  <c r="AC126" i="48"/>
  <c r="AC130" i="48"/>
  <c r="AC131" i="48"/>
  <c r="AC134" i="48"/>
  <c r="AC121" i="48"/>
  <c r="AC122" i="48"/>
  <c r="AC135" i="48"/>
  <c r="AC141" i="48"/>
  <c r="AC136" i="48"/>
  <c r="AC132" i="48"/>
  <c r="AC123" i="48"/>
  <c r="AC137" i="48"/>
  <c r="AC142" i="48"/>
  <c r="AC128" i="48"/>
  <c r="AC133" i="48"/>
  <c r="AC49" i="48"/>
  <c r="AC124" i="48"/>
  <c r="AC138" i="48"/>
  <c r="AC117" i="48"/>
  <c r="AC129" i="48"/>
  <c r="AC125" i="48"/>
  <c r="AC120" i="48"/>
  <c r="BP37" i="48"/>
  <c r="BP38" i="48"/>
  <c r="BP39" i="48"/>
  <c r="BP42" i="48"/>
  <c r="BP43" i="48"/>
  <c r="BP40" i="48"/>
  <c r="BP41" i="48"/>
  <c r="BP44" i="48"/>
  <c r="BW41" i="48"/>
  <c r="AK146" i="48"/>
  <c r="AK156" i="48"/>
  <c r="AK173" i="48"/>
  <c r="AK151" i="48"/>
  <c r="AK158" i="48"/>
  <c r="AK169" i="48"/>
  <c r="AK172" i="48"/>
  <c r="AK175" i="48"/>
  <c r="AK149" i="48"/>
  <c r="AK160" i="48"/>
  <c r="AK174" i="48"/>
  <c r="AK161" i="48"/>
  <c r="AK154" i="48"/>
  <c r="AK150" i="48"/>
  <c r="AK152" i="48"/>
  <c r="AK170" i="48"/>
  <c r="AK162" i="48"/>
  <c r="AK157" i="48"/>
  <c r="AK163" i="48"/>
  <c r="AK147" i="48"/>
  <c r="AK153" i="48"/>
  <c r="AK148" i="48"/>
  <c r="AK155" i="48"/>
  <c r="AK164" i="48"/>
  <c r="AK165" i="48"/>
  <c r="AK168" i="48"/>
  <c r="AK159" i="48"/>
  <c r="AK171" i="48"/>
  <c r="AK166" i="48"/>
  <c r="AK167" i="48"/>
  <c r="BV135" i="48"/>
  <c r="BV123" i="48"/>
  <c r="AO134" i="48"/>
  <c r="AO135" i="48"/>
  <c r="AO140" i="48"/>
  <c r="AO130" i="48"/>
  <c r="AO123" i="48"/>
  <c r="AO143" i="48"/>
  <c r="AO138" i="48"/>
  <c r="AO128" i="48"/>
  <c r="AO133" i="48"/>
  <c r="AO139" i="48"/>
  <c r="AO127" i="48"/>
  <c r="AO122" i="48"/>
  <c r="AO119" i="48"/>
  <c r="AO132" i="48"/>
  <c r="AO118" i="48"/>
  <c r="AO125" i="48"/>
  <c r="AO137" i="48"/>
  <c r="AO124" i="48"/>
  <c r="AO142" i="48"/>
  <c r="AO117" i="48"/>
  <c r="AO136" i="48"/>
  <c r="AO126" i="48"/>
  <c r="AO115" i="48"/>
  <c r="AO121" i="48"/>
  <c r="AO116" i="48"/>
  <c r="AO114" i="48"/>
  <c r="AO120" i="48"/>
  <c r="AO129" i="48"/>
  <c r="AO141" i="48"/>
  <c r="AO131" i="48"/>
  <c r="AS122" i="48"/>
  <c r="AS136" i="48"/>
  <c r="AS137" i="48"/>
  <c r="AS127" i="48"/>
  <c r="AS124" i="48"/>
  <c r="AS142" i="48"/>
  <c r="AS117" i="48"/>
  <c r="AS126" i="48"/>
  <c r="AS135" i="48"/>
  <c r="AS125" i="48"/>
  <c r="AS130" i="48"/>
  <c r="AS120" i="48"/>
  <c r="AS119" i="48"/>
  <c r="AS140" i="48"/>
  <c r="AS128" i="48"/>
  <c r="AS118" i="48"/>
  <c r="AS133" i="48"/>
  <c r="AS131" i="48"/>
  <c r="AS141" i="48"/>
  <c r="AS139" i="48"/>
  <c r="AS115" i="48"/>
  <c r="AS132" i="48"/>
  <c r="AS121" i="48"/>
  <c r="AS143" i="48"/>
  <c r="AS129" i="48"/>
  <c r="AS114" i="48"/>
  <c r="AS134" i="48"/>
  <c r="AS116" i="48"/>
  <c r="AS138" i="48"/>
  <c r="AS123" i="48"/>
  <c r="AO150" i="48"/>
  <c r="AO172" i="48"/>
  <c r="AO171" i="48"/>
  <c r="AO157" i="48"/>
  <c r="AO146" i="48"/>
  <c r="AO147" i="48"/>
  <c r="AO169" i="48"/>
  <c r="AO164" i="48"/>
  <c r="AO167" i="48"/>
  <c r="AO151" i="48"/>
  <c r="AO173" i="48"/>
  <c r="AO170" i="48"/>
  <c r="AO166" i="48"/>
  <c r="AO161" i="48"/>
  <c r="AO175" i="48"/>
  <c r="AO159" i="48"/>
  <c r="AO158" i="48"/>
  <c r="AO153" i="48"/>
  <c r="AO168" i="48"/>
  <c r="AO156" i="48"/>
  <c r="AO163" i="48"/>
  <c r="AO174" i="48"/>
  <c r="AO162" i="48"/>
  <c r="AO154" i="48"/>
  <c r="AO148" i="48"/>
  <c r="AO152" i="48"/>
  <c r="AO149" i="48"/>
  <c r="AO160" i="48"/>
  <c r="AO165" i="48"/>
  <c r="AO155" i="48"/>
  <c r="Y127" i="48"/>
  <c r="Y134" i="48"/>
  <c r="Y117" i="48"/>
  <c r="Y132" i="48"/>
  <c r="Y129" i="48"/>
  <c r="Y142" i="48"/>
  <c r="Y121" i="48"/>
  <c r="Y125" i="48"/>
  <c r="Y138" i="48"/>
  <c r="Y49" i="48"/>
  <c r="Y130" i="48"/>
  <c r="Y143" i="48"/>
  <c r="Y139" i="48"/>
  <c r="Y116" i="48"/>
  <c r="Y118" i="48"/>
  <c r="Y128" i="48"/>
  <c r="Y140" i="48"/>
  <c r="Y119" i="48"/>
  <c r="Y135" i="48"/>
  <c r="Y114" i="48"/>
  <c r="Y131" i="48"/>
  <c r="Y120" i="48"/>
  <c r="Y122" i="48"/>
  <c r="Y123" i="48"/>
  <c r="Y136" i="48"/>
  <c r="Y141" i="48"/>
  <c r="Y126" i="48"/>
  <c r="Y124" i="48"/>
  <c r="Y137" i="48"/>
  <c r="Y133" i="48"/>
  <c r="Y115" i="48"/>
  <c r="BW37" i="48"/>
  <c r="AK133" i="48"/>
  <c r="AK137" i="48"/>
  <c r="AK119" i="48"/>
  <c r="AK134" i="48"/>
  <c r="AK139" i="48"/>
  <c r="AK121" i="48"/>
  <c r="AK136" i="48"/>
  <c r="AK129" i="48"/>
  <c r="AK49" i="48"/>
  <c r="AK120" i="48"/>
  <c r="AK142" i="48"/>
  <c r="AK116" i="48"/>
  <c r="AK130" i="48"/>
  <c r="AK143" i="48"/>
  <c r="AK138" i="48"/>
  <c r="AK131" i="48"/>
  <c r="AK132" i="48"/>
  <c r="AK115" i="48"/>
  <c r="AK122" i="48"/>
  <c r="AK123" i="48"/>
  <c r="AK126" i="48"/>
  <c r="AK117" i="48"/>
  <c r="AK124" i="48"/>
  <c r="AK140" i="48"/>
  <c r="AK114" i="48"/>
  <c r="AK127" i="48"/>
  <c r="AK135" i="48"/>
  <c r="AK118" i="48"/>
  <c r="AK125" i="48"/>
  <c r="AK141" i="48"/>
  <c r="AK128" i="48"/>
  <c r="BB123" i="48"/>
  <c r="BB137" i="48"/>
  <c r="BB138" i="48"/>
  <c r="BB132" i="48"/>
  <c r="BB126" i="48"/>
  <c r="BB139" i="48"/>
  <c r="BB136" i="48"/>
  <c r="BB131" i="48"/>
  <c r="BB118" i="48"/>
  <c r="BB117" i="48"/>
  <c r="BB121" i="48"/>
  <c r="BB116" i="48"/>
  <c r="BB119" i="48"/>
  <c r="BB115" i="48"/>
  <c r="BB135" i="48"/>
  <c r="BB124" i="48"/>
  <c r="BB130" i="48"/>
  <c r="BB141" i="48"/>
  <c r="BB125" i="48"/>
  <c r="BB142" i="48"/>
  <c r="BB127" i="48"/>
  <c r="BB120" i="48"/>
  <c r="BB143" i="48"/>
  <c r="BB134" i="48"/>
  <c r="BB140" i="48"/>
  <c r="BB133" i="48"/>
  <c r="BB129" i="48"/>
  <c r="BB114" i="48"/>
  <c r="BB128" i="48"/>
  <c r="BB122" i="48"/>
  <c r="BV131" i="48"/>
  <c r="BV122" i="48"/>
  <c r="BJ133" i="48"/>
  <c r="BJ137" i="48"/>
  <c r="BJ141" i="48"/>
  <c r="BJ138" i="48"/>
  <c r="BJ115" i="48"/>
  <c r="BJ134" i="48"/>
  <c r="BJ126" i="48"/>
  <c r="BJ118" i="48"/>
  <c r="BJ125" i="48"/>
  <c r="BJ143" i="48"/>
  <c r="BJ129" i="48"/>
  <c r="BJ127" i="48"/>
  <c r="BJ139" i="48"/>
  <c r="BJ122" i="48"/>
  <c r="BJ132" i="48"/>
  <c r="BJ130" i="48"/>
  <c r="BJ123" i="48"/>
  <c r="BJ136" i="48"/>
  <c r="BJ140" i="48"/>
  <c r="BJ128" i="48"/>
  <c r="BJ124" i="48"/>
  <c r="BJ121" i="48"/>
  <c r="BJ135" i="48"/>
  <c r="BJ117" i="48"/>
  <c r="BJ114" i="48"/>
  <c r="BJ119" i="48"/>
  <c r="BJ120" i="48"/>
  <c r="BJ131" i="48"/>
  <c r="BJ142" i="48"/>
  <c r="BJ116" i="48"/>
  <c r="BM141" i="48"/>
  <c r="BM116" i="48"/>
  <c r="BM123" i="48"/>
  <c r="BM135" i="48"/>
  <c r="BM119" i="48"/>
  <c r="BM124" i="48"/>
  <c r="BM139" i="48"/>
  <c r="BM137" i="48"/>
  <c r="BM114" i="48"/>
  <c r="BM131" i="48"/>
  <c r="BM120" i="48"/>
  <c r="BM117" i="48"/>
  <c r="BM132" i="48"/>
  <c r="BM122" i="48"/>
  <c r="BM133" i="48"/>
  <c r="BM115" i="48"/>
  <c r="BM134" i="48"/>
  <c r="BM143" i="48"/>
  <c r="BM142" i="48"/>
  <c r="BM138" i="48"/>
  <c r="BM127" i="48"/>
  <c r="BM129" i="48"/>
  <c r="BM136" i="48"/>
  <c r="BM140" i="48"/>
  <c r="BM126" i="48"/>
  <c r="BM130" i="48"/>
  <c r="BM121" i="48"/>
  <c r="BM128" i="48"/>
  <c r="BM125" i="48"/>
  <c r="BM118" i="48"/>
  <c r="AU39" i="48"/>
  <c r="BW42" i="48"/>
  <c r="BV142" i="48"/>
  <c r="BV141" i="48"/>
  <c r="BV130" i="48"/>
  <c r="AP115" i="48"/>
  <c r="AP132" i="48"/>
  <c r="AP142" i="48"/>
  <c r="AP127" i="48"/>
  <c r="AP117" i="48"/>
  <c r="AP130" i="48"/>
  <c r="AP123" i="48"/>
  <c r="AP120" i="48"/>
  <c r="AP141" i="48"/>
  <c r="AP118" i="48"/>
  <c r="AP125" i="48"/>
  <c r="AP121" i="48"/>
  <c r="AP135" i="48"/>
  <c r="AP129" i="48"/>
  <c r="AP133" i="48"/>
  <c r="AP138" i="48"/>
  <c r="AP124" i="48"/>
  <c r="AP140" i="48"/>
  <c r="AP139" i="48"/>
  <c r="AP126" i="48"/>
  <c r="AP136" i="48"/>
  <c r="AP122" i="48"/>
  <c r="AP137" i="48"/>
  <c r="AP143" i="48"/>
  <c r="AP131" i="48"/>
  <c r="AP134" i="48"/>
  <c r="AP116" i="48"/>
  <c r="AP128" i="48"/>
  <c r="AP119" i="48"/>
  <c r="AP114" i="48"/>
  <c r="AC51" i="48"/>
  <c r="AC56" i="48"/>
  <c r="AC58" i="48" s="1"/>
  <c r="AC68" i="48"/>
  <c r="AC62" i="48"/>
  <c r="AV39" i="48"/>
  <c r="BW44" i="48"/>
  <c r="BV120" i="48"/>
  <c r="BV137" i="48"/>
  <c r="BV133" i="48"/>
  <c r="AX140" i="48"/>
  <c r="AX130" i="48"/>
  <c r="AX128" i="48"/>
  <c r="AX136" i="48"/>
  <c r="AX132" i="48"/>
  <c r="AX131" i="48"/>
  <c r="AX143" i="48"/>
  <c r="AX114" i="48"/>
  <c r="AX142" i="48"/>
  <c r="AX134" i="48"/>
  <c r="AX133" i="48"/>
  <c r="AX120" i="48"/>
  <c r="AX117" i="48"/>
  <c r="AX135" i="48"/>
  <c r="AX121" i="48"/>
  <c r="AX138" i="48"/>
  <c r="AX116" i="48"/>
  <c r="AX126" i="48"/>
  <c r="AX122" i="48"/>
  <c r="AX141" i="48"/>
  <c r="AX115" i="48"/>
  <c r="AX139" i="48"/>
  <c r="AX125" i="48"/>
  <c r="AX118" i="48"/>
  <c r="AX127" i="48"/>
  <c r="AX119" i="48"/>
  <c r="AX123" i="48"/>
  <c r="AX129" i="48"/>
  <c r="AX124" i="48"/>
  <c r="AX137" i="48"/>
  <c r="AG142" i="48"/>
  <c r="AG119" i="48"/>
  <c r="AG124" i="48"/>
  <c r="AG137" i="48"/>
  <c r="AG120" i="48"/>
  <c r="AG49" i="48"/>
  <c r="AG127" i="48"/>
  <c r="AG132" i="48"/>
  <c r="AG117" i="48"/>
  <c r="AG123" i="48"/>
  <c r="AG139" i="48"/>
  <c r="AG114" i="48"/>
  <c r="AG128" i="48"/>
  <c r="AG133" i="48"/>
  <c r="AG118" i="48"/>
  <c r="AG125" i="48"/>
  <c r="AG140" i="48"/>
  <c r="AG134" i="48"/>
  <c r="AG143" i="48"/>
  <c r="AG129" i="48"/>
  <c r="AG136" i="48"/>
  <c r="AG141" i="48"/>
  <c r="AG135" i="48"/>
  <c r="AG115" i="48"/>
  <c r="AG130" i="48"/>
  <c r="AG126" i="48"/>
  <c r="AG121" i="48"/>
  <c r="AG116" i="48"/>
  <c r="AG131" i="48"/>
  <c r="AG138" i="48"/>
  <c r="AG122" i="48"/>
  <c r="BF172" i="48"/>
  <c r="BF167" i="48"/>
  <c r="BF159" i="48"/>
  <c r="BF157" i="48"/>
  <c r="BF160" i="48"/>
  <c r="BF175" i="48"/>
  <c r="BF158" i="48"/>
  <c r="BF161" i="48"/>
  <c r="BF151" i="48"/>
  <c r="BF149" i="48"/>
  <c r="BF170" i="48"/>
  <c r="BF173" i="48"/>
  <c r="BF147" i="48"/>
  <c r="BF174" i="48"/>
  <c r="BF163" i="48"/>
  <c r="BF171" i="48"/>
  <c r="BF146" i="48"/>
  <c r="BF164" i="48"/>
  <c r="BF150" i="48"/>
  <c r="BF156" i="48"/>
  <c r="BF162" i="48"/>
  <c r="BF165" i="48"/>
  <c r="BF153" i="48"/>
  <c r="BF148" i="48"/>
  <c r="BF154" i="48"/>
  <c r="BF166" i="48"/>
  <c r="BF152" i="48"/>
  <c r="BF169" i="48"/>
  <c r="BF155" i="48"/>
  <c r="BF168" i="48"/>
  <c r="BD13" i="48"/>
  <c r="BC146" i="48" a="1"/>
  <c r="BC37" i="48"/>
  <c r="BC43" i="48"/>
  <c r="BC44" i="48"/>
  <c r="BC40" i="48"/>
  <c r="BC38" i="48"/>
  <c r="BC42" i="48"/>
  <c r="BC39" i="48"/>
  <c r="BC41" i="48"/>
  <c r="M62" i="48"/>
  <c r="M51" i="48"/>
  <c r="M56" i="48"/>
  <c r="M58" i="48" s="1"/>
  <c r="M68" i="48"/>
  <c r="Y153" i="48"/>
  <c r="Y163" i="48"/>
  <c r="Y148" i="48"/>
  <c r="Y146" i="48"/>
  <c r="Y167" i="48"/>
  <c r="Y172" i="48"/>
  <c r="Y159" i="48"/>
  <c r="Y150" i="48"/>
  <c r="Y156" i="48"/>
  <c r="Y152" i="48"/>
  <c r="Y173" i="48"/>
  <c r="Y147" i="48"/>
  <c r="Y162" i="48"/>
  <c r="Y151" i="48"/>
  <c r="Y157" i="48"/>
  <c r="Y160" i="48"/>
  <c r="Y174" i="48"/>
  <c r="Y154" i="48"/>
  <c r="Y161" i="48"/>
  <c r="Y164" i="48"/>
  <c r="Y155" i="48"/>
  <c r="Y165" i="48"/>
  <c r="Y168" i="48"/>
  <c r="Y169" i="48"/>
  <c r="Y170" i="48"/>
  <c r="Y175" i="48"/>
  <c r="Y149" i="48"/>
  <c r="Y166" i="48"/>
  <c r="Y158" i="48"/>
  <c r="Y171" i="48"/>
  <c r="AD40" i="48"/>
  <c r="AD41" i="48"/>
  <c r="AD42" i="48"/>
  <c r="AD43" i="48"/>
  <c r="AD44" i="48"/>
  <c r="AD37" i="48"/>
  <c r="AD38" i="48"/>
  <c r="AD39" i="48"/>
  <c r="U121" i="48"/>
  <c r="U126" i="48"/>
  <c r="U141" i="48"/>
  <c r="U127" i="48"/>
  <c r="U120" i="48"/>
  <c r="U125" i="48"/>
  <c r="U117" i="48"/>
  <c r="U114" i="48"/>
  <c r="U137" i="48"/>
  <c r="U133" i="48"/>
  <c r="U118" i="48"/>
  <c r="U122" i="48"/>
  <c r="U138" i="48"/>
  <c r="U134" i="48"/>
  <c r="U128" i="48"/>
  <c r="U123" i="48"/>
  <c r="U139" i="48"/>
  <c r="U142" i="48"/>
  <c r="U115" i="48"/>
  <c r="U129" i="48"/>
  <c r="U143" i="48"/>
  <c r="U135" i="48"/>
  <c r="U140" i="48"/>
  <c r="U132" i="48"/>
  <c r="U124" i="48"/>
  <c r="U130" i="48"/>
  <c r="U119" i="48"/>
  <c r="U116" i="48"/>
  <c r="U131" i="48"/>
  <c r="U49" i="48"/>
  <c r="U136" i="48"/>
  <c r="BR163" i="48"/>
  <c r="BR164" i="48"/>
  <c r="BR153" i="48"/>
  <c r="BR147" i="48"/>
  <c r="BR152" i="48"/>
  <c r="BR146" i="48"/>
  <c r="BR158" i="48"/>
  <c r="BR161" i="48"/>
  <c r="BR149" i="48"/>
  <c r="BR154" i="48"/>
  <c r="BR160" i="48"/>
  <c r="BR155" i="48"/>
  <c r="BR171" i="48"/>
  <c r="BR157" i="48"/>
  <c r="BR156" i="48"/>
  <c r="BR151" i="48"/>
  <c r="BR150" i="48"/>
  <c r="BR165" i="48"/>
  <c r="BR169" i="48"/>
  <c r="BR162" i="48"/>
  <c r="BR166" i="48"/>
  <c r="BR159" i="48"/>
  <c r="BR148" i="48"/>
  <c r="BR173" i="48"/>
  <c r="BR174" i="48"/>
  <c r="BR175" i="48"/>
  <c r="BR167" i="48"/>
  <c r="BR172" i="48"/>
  <c r="BR168" i="48"/>
  <c r="BR170" i="48"/>
  <c r="BW40" i="48"/>
  <c r="BV128" i="48"/>
  <c r="BV114" i="48"/>
  <c r="BP11" i="45"/>
  <c r="AD12" i="45"/>
  <c r="BX11" i="45"/>
  <c r="AQ12" i="45"/>
  <c r="AC13" i="45"/>
  <c r="R12" i="45"/>
  <c r="Q13" i="45"/>
  <c r="R13" i="45" s="1"/>
  <c r="AL12" i="45"/>
  <c r="BH11" i="45"/>
  <c r="AG13" i="45"/>
  <c r="BG12" i="45"/>
  <c r="BH12" i="45" s="1"/>
  <c r="BC12" i="45"/>
  <c r="BD12" i="45" s="1"/>
  <c r="F12" i="45"/>
  <c r="U13" i="45"/>
  <c r="AU12" i="45"/>
  <c r="I13" i="45"/>
  <c r="BT11" i="45"/>
  <c r="Z12" i="45"/>
  <c r="E13" i="45"/>
  <c r="BD11" i="45"/>
  <c r="BO12" i="45"/>
  <c r="Y13" i="45"/>
  <c r="AH12" i="45"/>
  <c r="BK12" i="45"/>
  <c r="M13" i="45"/>
  <c r="BW12" i="45"/>
  <c r="BL11" i="45"/>
  <c r="V12" i="45"/>
  <c r="BS12" i="45"/>
  <c r="AZ11" i="45"/>
  <c r="AK13" i="45"/>
  <c r="AL13" i="45" s="1"/>
  <c r="AY12" i="45"/>
  <c r="AZ12" i="45" s="1"/>
  <c r="BS114" i="48" l="1"/>
  <c r="V57" i="48"/>
  <c r="AV56" i="48"/>
  <c r="AV58" i="48" s="1"/>
  <c r="I70" i="48"/>
  <c r="I71" i="48" s="1"/>
  <c r="AH58" i="48"/>
  <c r="I52" i="48"/>
  <c r="I53" i="48"/>
  <c r="I54" i="48" s="1"/>
  <c r="AQ130" i="48"/>
  <c r="I63" i="48"/>
  <c r="AQ118" i="48"/>
  <c r="U57" i="48"/>
  <c r="I58" i="48"/>
  <c r="AQ115" i="48"/>
  <c r="AQ140" i="48"/>
  <c r="I69" i="48"/>
  <c r="AQ154" i="48"/>
  <c r="J57" i="48"/>
  <c r="AQ51" i="48"/>
  <c r="AQ62" i="48"/>
  <c r="BH43" i="48"/>
  <c r="BH39" i="48"/>
  <c r="BH44" i="48"/>
  <c r="BH42" i="48"/>
  <c r="BH37" i="48"/>
  <c r="BH41" i="48"/>
  <c r="AQ136" i="48"/>
  <c r="BH40" i="48"/>
  <c r="AG57" i="48"/>
  <c r="AL56" i="48"/>
  <c r="AL57" i="48" s="1"/>
  <c r="AU68" i="48"/>
  <c r="AU69" i="48" s="1"/>
  <c r="AU62" i="48"/>
  <c r="AU63" i="48" s="1"/>
  <c r="AQ117" i="48"/>
  <c r="AQ126" i="48"/>
  <c r="AQ141" i="48"/>
  <c r="AQ142" i="48"/>
  <c r="AQ131" i="48"/>
  <c r="AQ114" i="48"/>
  <c r="AQ134" i="48"/>
  <c r="AU142" i="48"/>
  <c r="AQ120" i="48"/>
  <c r="AQ125" i="48"/>
  <c r="AQ56" i="48"/>
  <c r="AQ57" i="48" s="1"/>
  <c r="AQ135" i="48"/>
  <c r="AQ49" i="48"/>
  <c r="AQ69" i="48" s="1"/>
  <c r="AQ124" i="48"/>
  <c r="AQ132" i="48"/>
  <c r="AQ121" i="48"/>
  <c r="AQ143" i="48"/>
  <c r="AQ163" i="48"/>
  <c r="AQ127" i="48"/>
  <c r="AQ133" i="48"/>
  <c r="AQ116" i="48"/>
  <c r="AQ149" i="48"/>
  <c r="BP56" i="48"/>
  <c r="BP57" i="48" s="1"/>
  <c r="AQ128" i="48"/>
  <c r="AQ137" i="48"/>
  <c r="AQ122" i="48"/>
  <c r="AQ119" i="48"/>
  <c r="AQ138" i="48"/>
  <c r="AQ123" i="48"/>
  <c r="AQ129" i="48"/>
  <c r="AQ139" i="48"/>
  <c r="AQ174" i="48"/>
  <c r="AQ148" i="48"/>
  <c r="AQ157" i="48"/>
  <c r="AQ167" i="48"/>
  <c r="AQ155" i="48"/>
  <c r="AQ170" i="48"/>
  <c r="AQ162" i="48"/>
  <c r="AQ165" i="48"/>
  <c r="AQ150" i="48"/>
  <c r="AQ166" i="48"/>
  <c r="AQ151" i="48"/>
  <c r="AQ164" i="48"/>
  <c r="AQ146" i="48"/>
  <c r="AQ175" i="48"/>
  <c r="AQ153" i="48"/>
  <c r="AQ171" i="48"/>
  <c r="AQ158" i="48"/>
  <c r="AQ156" i="48"/>
  <c r="AQ160" i="48"/>
  <c r="AQ169" i="48"/>
  <c r="AQ172" i="48"/>
  <c r="AQ168" i="48"/>
  <c r="AQ173" i="48"/>
  <c r="AQ152" i="48"/>
  <c r="AQ159" i="48"/>
  <c r="AQ147" i="48"/>
  <c r="AR56" i="48"/>
  <c r="AR58" i="48" s="1"/>
  <c r="AD56" i="48"/>
  <c r="AD58" i="48" s="1"/>
  <c r="AU133" i="48"/>
  <c r="AU131" i="48"/>
  <c r="BX56" i="48"/>
  <c r="BX57" i="48" s="1"/>
  <c r="AK58" i="48"/>
  <c r="AU134" i="48"/>
  <c r="Q58" i="48"/>
  <c r="Z56" i="48"/>
  <c r="Z57" i="48" s="1"/>
  <c r="AU117" i="48"/>
  <c r="AU116" i="48"/>
  <c r="AC57" i="48"/>
  <c r="AU135" i="48"/>
  <c r="BC51" i="48"/>
  <c r="BC62" i="48"/>
  <c r="BC68" i="48"/>
  <c r="BC56" i="48"/>
  <c r="BC57" i="48" s="1"/>
  <c r="AG70" i="48"/>
  <c r="AG71" i="48" s="1"/>
  <c r="AG52" i="48"/>
  <c r="AG64" i="48"/>
  <c r="AG65" i="48" s="1"/>
  <c r="AG53" i="48"/>
  <c r="AG54" i="48" s="1"/>
  <c r="AG69" i="48"/>
  <c r="AG63" i="48"/>
  <c r="AU123" i="48"/>
  <c r="AU140" i="48"/>
  <c r="AU139" i="48"/>
  <c r="BW127" i="48"/>
  <c r="BW134" i="48"/>
  <c r="BW124" i="48"/>
  <c r="BW129" i="48"/>
  <c r="BW120" i="48"/>
  <c r="BW114" i="48"/>
  <c r="BW118" i="48"/>
  <c r="BW121" i="48"/>
  <c r="BW126" i="48"/>
  <c r="BW131" i="48"/>
  <c r="BW122" i="48"/>
  <c r="BW140" i="48"/>
  <c r="BW119" i="48"/>
  <c r="BW139" i="48"/>
  <c r="BW125" i="48"/>
  <c r="BW115" i="48"/>
  <c r="BW142" i="48"/>
  <c r="BW116" i="48"/>
  <c r="BW143" i="48"/>
  <c r="BW117" i="48"/>
  <c r="BW135" i="48"/>
  <c r="BW141" i="48"/>
  <c r="BW128" i="48"/>
  <c r="BW136" i="48"/>
  <c r="BW130" i="48"/>
  <c r="BW137" i="48"/>
  <c r="BW133" i="48"/>
  <c r="BW123" i="48"/>
  <c r="BW132" i="48"/>
  <c r="BW49" i="48"/>
  <c r="BW138" i="48"/>
  <c r="BC152" i="48"/>
  <c r="BC161" i="48"/>
  <c r="BC172" i="48"/>
  <c r="BC169" i="48"/>
  <c r="BC175" i="48"/>
  <c r="BC153" i="48"/>
  <c r="BC149" i="48"/>
  <c r="BC166" i="48"/>
  <c r="BC146" i="48"/>
  <c r="BC148" i="48"/>
  <c r="BC154" i="48"/>
  <c r="BC165" i="48"/>
  <c r="BC158" i="48"/>
  <c r="BC147" i="48"/>
  <c r="BC151" i="48"/>
  <c r="BC174" i="48"/>
  <c r="BC159" i="48"/>
  <c r="BC168" i="48"/>
  <c r="BC173" i="48"/>
  <c r="BC163" i="48"/>
  <c r="BC164" i="48"/>
  <c r="BC160" i="48"/>
  <c r="BC167" i="48"/>
  <c r="BC170" i="48"/>
  <c r="BC155" i="48"/>
  <c r="BC156" i="48"/>
  <c r="BC171" i="48"/>
  <c r="BC162" i="48"/>
  <c r="BC150" i="48"/>
  <c r="BC157" i="48"/>
  <c r="Y58" i="48"/>
  <c r="AU128" i="48"/>
  <c r="AU130" i="48"/>
  <c r="AU124" i="48"/>
  <c r="M57" i="48"/>
  <c r="BW160" i="48"/>
  <c r="BW175" i="48"/>
  <c r="BW155" i="48"/>
  <c r="BW162" i="48"/>
  <c r="BW152" i="48"/>
  <c r="BW158" i="48"/>
  <c r="BW156" i="48"/>
  <c r="BW151" i="48"/>
  <c r="BW147" i="48"/>
  <c r="BW174" i="48"/>
  <c r="BW157" i="48"/>
  <c r="BW167" i="48"/>
  <c r="BW154" i="48"/>
  <c r="BW150" i="48"/>
  <c r="BW170" i="48"/>
  <c r="BW161" i="48"/>
  <c r="BW149" i="48"/>
  <c r="BW173" i="48"/>
  <c r="BW165" i="48"/>
  <c r="BW168" i="48"/>
  <c r="BW164" i="48"/>
  <c r="BW146" i="48"/>
  <c r="BW159" i="48"/>
  <c r="BW153" i="48"/>
  <c r="BW171" i="48"/>
  <c r="BW172" i="48"/>
  <c r="BW163" i="48"/>
  <c r="BW148" i="48"/>
  <c r="BW166" i="48"/>
  <c r="BW169" i="48"/>
  <c r="BD37" i="48"/>
  <c r="BD41" i="48"/>
  <c r="BD44" i="48"/>
  <c r="BD43" i="48"/>
  <c r="BD38" i="48"/>
  <c r="BD39" i="48"/>
  <c r="BD40" i="48"/>
  <c r="BD42" i="48"/>
  <c r="AU121" i="48"/>
  <c r="AU125" i="48"/>
  <c r="M52" i="48"/>
  <c r="M69" i="48"/>
  <c r="M63" i="48"/>
  <c r="M64" i="48"/>
  <c r="M65" i="48" s="1"/>
  <c r="M70" i="48"/>
  <c r="M71" i="48" s="1"/>
  <c r="M53" i="48"/>
  <c r="M54" i="48" s="1"/>
  <c r="BS141" i="48"/>
  <c r="BS122" i="48"/>
  <c r="BS138" i="48"/>
  <c r="BS142" i="48"/>
  <c r="BS123" i="48"/>
  <c r="BS143" i="48"/>
  <c r="BS136" i="48"/>
  <c r="BS139" i="48"/>
  <c r="BS132" i="48"/>
  <c r="BS124" i="48"/>
  <c r="BS127" i="48"/>
  <c r="BS49" i="48"/>
  <c r="BS137" i="48"/>
  <c r="BS140" i="48"/>
  <c r="BS121" i="48"/>
  <c r="BS129" i="48"/>
  <c r="BS115" i="48"/>
  <c r="BS119" i="48"/>
  <c r="BS135" i="48"/>
  <c r="BS116" i="48"/>
  <c r="BS125" i="48"/>
  <c r="BS128" i="48"/>
  <c r="BS126" i="48"/>
  <c r="BS117" i="48"/>
  <c r="BS118" i="48"/>
  <c r="BS130" i="48"/>
  <c r="BS120" i="48"/>
  <c r="BS131" i="48"/>
  <c r="BS133" i="48"/>
  <c r="BS134" i="48"/>
  <c r="BG159" i="48"/>
  <c r="BG173" i="48"/>
  <c r="BG151" i="48"/>
  <c r="BG169" i="48"/>
  <c r="BG147" i="48"/>
  <c r="BG161" i="48"/>
  <c r="BG174" i="48"/>
  <c r="BG152" i="48"/>
  <c r="BG163" i="48"/>
  <c r="BG158" i="48"/>
  <c r="BG154" i="48"/>
  <c r="BG170" i="48"/>
  <c r="BG171" i="48"/>
  <c r="BG168" i="48"/>
  <c r="BG146" i="48"/>
  <c r="BG162" i="48"/>
  <c r="BG148" i="48"/>
  <c r="BG167" i="48"/>
  <c r="BG166" i="48"/>
  <c r="BG153" i="48"/>
  <c r="BG155" i="48"/>
  <c r="BG157" i="48"/>
  <c r="BG156" i="48"/>
  <c r="BG160" i="48"/>
  <c r="BG149" i="48"/>
  <c r="BG165" i="48"/>
  <c r="BG175" i="48"/>
  <c r="BG172" i="48"/>
  <c r="BG164" i="48"/>
  <c r="BG150" i="48"/>
  <c r="U53" i="48"/>
  <c r="U54" i="48" s="1"/>
  <c r="U64" i="48"/>
  <c r="U65" i="48" s="1"/>
  <c r="U69" i="48"/>
  <c r="U70" i="48"/>
  <c r="U71" i="48" s="1"/>
  <c r="U52" i="48"/>
  <c r="U63" i="48"/>
  <c r="AU137" i="48"/>
  <c r="AU120" i="48"/>
  <c r="AU122" i="48"/>
  <c r="AC63" i="48"/>
  <c r="AC69" i="48"/>
  <c r="AC70" i="48"/>
  <c r="AC71" i="48" s="1"/>
  <c r="AC52" i="48"/>
  <c r="AC53" i="48"/>
  <c r="AC54" i="48" s="1"/>
  <c r="AC64" i="48"/>
  <c r="AC65" i="48" s="1"/>
  <c r="BL38" i="48"/>
  <c r="BL39" i="48"/>
  <c r="BL40" i="48"/>
  <c r="BL37" i="48"/>
  <c r="BL42" i="48"/>
  <c r="BL43" i="48"/>
  <c r="BL44" i="48"/>
  <c r="BL41" i="48"/>
  <c r="BG121" i="48"/>
  <c r="BG124" i="48"/>
  <c r="BG114" i="48"/>
  <c r="BG117" i="48"/>
  <c r="BG132" i="48"/>
  <c r="BG135" i="48"/>
  <c r="BG118" i="48"/>
  <c r="BG120" i="48"/>
  <c r="BG129" i="48"/>
  <c r="BG49" i="48"/>
  <c r="BG127" i="48"/>
  <c r="BG130" i="48"/>
  <c r="BG136" i="48"/>
  <c r="BG115" i="48"/>
  <c r="BG137" i="48"/>
  <c r="BG128" i="48"/>
  <c r="BG142" i="48"/>
  <c r="BG122" i="48"/>
  <c r="BG143" i="48"/>
  <c r="BG138" i="48"/>
  <c r="BG133" i="48"/>
  <c r="BG123" i="48"/>
  <c r="BG139" i="48"/>
  <c r="BG134" i="48"/>
  <c r="BG140" i="48"/>
  <c r="BG119" i="48"/>
  <c r="BG131" i="48"/>
  <c r="BG126" i="48"/>
  <c r="BG125" i="48"/>
  <c r="BG116" i="48"/>
  <c r="BG141" i="48"/>
  <c r="Q70" i="48"/>
  <c r="Q71" i="48" s="1"/>
  <c r="Q53" i="48"/>
  <c r="Q54" i="48" s="1"/>
  <c r="Q63" i="48"/>
  <c r="Q52" i="48"/>
  <c r="Q64" i="48"/>
  <c r="Q65" i="48" s="1"/>
  <c r="Q69" i="48"/>
  <c r="AU118" i="48"/>
  <c r="AU126" i="48"/>
  <c r="AU156" i="48"/>
  <c r="AU149" i="48"/>
  <c r="AU168" i="48"/>
  <c r="AU159" i="48"/>
  <c r="AU152" i="48"/>
  <c r="AU157" i="48"/>
  <c r="AU151" i="48"/>
  <c r="AU171" i="48"/>
  <c r="AU175" i="48"/>
  <c r="AU162" i="48"/>
  <c r="AU150" i="48"/>
  <c r="AU148" i="48"/>
  <c r="AU147" i="48"/>
  <c r="AU158" i="48"/>
  <c r="AU174" i="48"/>
  <c r="AU164" i="48"/>
  <c r="AU163" i="48"/>
  <c r="AU172" i="48"/>
  <c r="AU153" i="48"/>
  <c r="AU169" i="48"/>
  <c r="AU173" i="48"/>
  <c r="AU146" i="48"/>
  <c r="AU165" i="48"/>
  <c r="AU155" i="48"/>
  <c r="AU166" i="48"/>
  <c r="AU154" i="48"/>
  <c r="AU160" i="48"/>
  <c r="AU170" i="48"/>
  <c r="AU161" i="48"/>
  <c r="AU167" i="48"/>
  <c r="BK163" i="48"/>
  <c r="BK152" i="48"/>
  <c r="BK162" i="48"/>
  <c r="BK172" i="48"/>
  <c r="BK155" i="48"/>
  <c r="BK147" i="48"/>
  <c r="BK154" i="48"/>
  <c r="BK156" i="48"/>
  <c r="BK170" i="48"/>
  <c r="BK153" i="48"/>
  <c r="BK168" i="48"/>
  <c r="BK169" i="48"/>
  <c r="BK148" i="48"/>
  <c r="BK150" i="48"/>
  <c r="BK175" i="48"/>
  <c r="BK165" i="48"/>
  <c r="BK174" i="48"/>
  <c r="BK167" i="48"/>
  <c r="BK173" i="48"/>
  <c r="BK159" i="48"/>
  <c r="BK160" i="48"/>
  <c r="BK157" i="48"/>
  <c r="BK171" i="48"/>
  <c r="BK166" i="48"/>
  <c r="BK164" i="48"/>
  <c r="BK161" i="48"/>
  <c r="BK151" i="48"/>
  <c r="BK158" i="48"/>
  <c r="BK149" i="48"/>
  <c r="BK146" i="48"/>
  <c r="R56" i="48"/>
  <c r="R57" i="48" s="1"/>
  <c r="AH57" i="48"/>
  <c r="BG56" i="48"/>
  <c r="BG58" i="48" s="1"/>
  <c r="BG51" i="48"/>
  <c r="BG68" i="48"/>
  <c r="BG62" i="48"/>
  <c r="BO136" i="48"/>
  <c r="BO133" i="48"/>
  <c r="BO114" i="48"/>
  <c r="BO119" i="48"/>
  <c r="BO142" i="48"/>
  <c r="BO138" i="48"/>
  <c r="BO141" i="48"/>
  <c r="BO117" i="48"/>
  <c r="BO132" i="48"/>
  <c r="BO135" i="48"/>
  <c r="BO122" i="48"/>
  <c r="BO120" i="48"/>
  <c r="BO49" i="48"/>
  <c r="BO127" i="48"/>
  <c r="BO139" i="48"/>
  <c r="BO123" i="48"/>
  <c r="BO140" i="48"/>
  <c r="BO130" i="48"/>
  <c r="BO131" i="48"/>
  <c r="BO134" i="48"/>
  <c r="BO115" i="48"/>
  <c r="BO143" i="48"/>
  <c r="BO126" i="48"/>
  <c r="BO124" i="48"/>
  <c r="BO118" i="48"/>
  <c r="BO137" i="48"/>
  <c r="BO125" i="48"/>
  <c r="BO121" i="48"/>
  <c r="BO116" i="48"/>
  <c r="BO129" i="48"/>
  <c r="BO128" i="48"/>
  <c r="AU143" i="48"/>
  <c r="AU119" i="48"/>
  <c r="AU115" i="48"/>
  <c r="N56" i="48"/>
  <c r="N58" i="48" s="1"/>
  <c r="AY56" i="48"/>
  <c r="AY57" i="48" s="1"/>
  <c r="AY51" i="48"/>
  <c r="AY62" i="48"/>
  <c r="AY68" i="48"/>
  <c r="BS164" i="48"/>
  <c r="BS146" i="48"/>
  <c r="BS159" i="48"/>
  <c r="BS158" i="48"/>
  <c r="BS169" i="48"/>
  <c r="BS170" i="48"/>
  <c r="BS161" i="48"/>
  <c r="BS163" i="48"/>
  <c r="BS165" i="48"/>
  <c r="BS160" i="48"/>
  <c r="BS153" i="48"/>
  <c r="BS151" i="48"/>
  <c r="BS168" i="48"/>
  <c r="BS147" i="48"/>
  <c r="BS171" i="48"/>
  <c r="BS148" i="48"/>
  <c r="BS174" i="48"/>
  <c r="BS172" i="48"/>
  <c r="BS150" i="48"/>
  <c r="BS152" i="48"/>
  <c r="BS173" i="48"/>
  <c r="BS156" i="48"/>
  <c r="BS155" i="48"/>
  <c r="BS149" i="48"/>
  <c r="BS162" i="48"/>
  <c r="BS154" i="48"/>
  <c r="BS166" i="48"/>
  <c r="BS167" i="48"/>
  <c r="BS157" i="48"/>
  <c r="BS175" i="48"/>
  <c r="BS56" i="48"/>
  <c r="BS58" i="48" s="1"/>
  <c r="BS51" i="48"/>
  <c r="BS62" i="48"/>
  <c r="BS68" i="48"/>
  <c r="Y63" i="48"/>
  <c r="Y69" i="48"/>
  <c r="Y64" i="48"/>
  <c r="Y65" i="48" s="1"/>
  <c r="Y52" i="48"/>
  <c r="Y53" i="48"/>
  <c r="Y54" i="48" s="1"/>
  <c r="Y70" i="48"/>
  <c r="Y71" i="48" s="1"/>
  <c r="AU56" i="48"/>
  <c r="BO161" i="48"/>
  <c r="BO156" i="48"/>
  <c r="BO175" i="48"/>
  <c r="BO163" i="48"/>
  <c r="BO170" i="48"/>
  <c r="BO171" i="48"/>
  <c r="BO162" i="48"/>
  <c r="BO152" i="48"/>
  <c r="BO172" i="48"/>
  <c r="BO158" i="48"/>
  <c r="BO169" i="48"/>
  <c r="BO174" i="48"/>
  <c r="BO147" i="48"/>
  <c r="BO159" i="48"/>
  <c r="BO149" i="48"/>
  <c r="BO153" i="48"/>
  <c r="BO164" i="48"/>
  <c r="BO167" i="48"/>
  <c r="BO146" i="48"/>
  <c r="BO168" i="48"/>
  <c r="BO165" i="48"/>
  <c r="BO151" i="48"/>
  <c r="BO154" i="48"/>
  <c r="BO148" i="48"/>
  <c r="BO155" i="48"/>
  <c r="BO150" i="48"/>
  <c r="BO157" i="48"/>
  <c r="BO166" i="48"/>
  <c r="BO173" i="48"/>
  <c r="BO160" i="48"/>
  <c r="BT38" i="48"/>
  <c r="BT39" i="48"/>
  <c r="BT37" i="48"/>
  <c r="BT42" i="48"/>
  <c r="BT43" i="48"/>
  <c r="BT41" i="48"/>
  <c r="BT44" i="48"/>
  <c r="BT40" i="48"/>
  <c r="BW56" i="48"/>
  <c r="BW57" i="48" s="1"/>
  <c r="BW62" i="48"/>
  <c r="BW51" i="48"/>
  <c r="BW68" i="48"/>
  <c r="AU127" i="48"/>
  <c r="AU136" i="48"/>
  <c r="AU138" i="48"/>
  <c r="AY120" i="48"/>
  <c r="AY137" i="48"/>
  <c r="AY141" i="48"/>
  <c r="AY128" i="48"/>
  <c r="AY134" i="48"/>
  <c r="AY114" i="48"/>
  <c r="AY127" i="48"/>
  <c r="AY138" i="48"/>
  <c r="AY126" i="48"/>
  <c r="AY135" i="48"/>
  <c r="AY121" i="48"/>
  <c r="AY122" i="48"/>
  <c r="AY132" i="48"/>
  <c r="AY139" i="48"/>
  <c r="AY116" i="48"/>
  <c r="AY142" i="48"/>
  <c r="AY124" i="48"/>
  <c r="AY136" i="48"/>
  <c r="AY130" i="48"/>
  <c r="AY118" i="48"/>
  <c r="AY129" i="48"/>
  <c r="AY140" i="48"/>
  <c r="AY119" i="48"/>
  <c r="AY133" i="48"/>
  <c r="AY49" i="48"/>
  <c r="AY125" i="48"/>
  <c r="AY115" i="48"/>
  <c r="AY123" i="48"/>
  <c r="AY117" i="48"/>
  <c r="AY143" i="48"/>
  <c r="AY131" i="48"/>
  <c r="BK124" i="48"/>
  <c r="BK136" i="48"/>
  <c r="BK131" i="48"/>
  <c r="BK120" i="48"/>
  <c r="BK129" i="48"/>
  <c r="BK132" i="48"/>
  <c r="BK138" i="48"/>
  <c r="BK117" i="48"/>
  <c r="BK126" i="48"/>
  <c r="BK127" i="48"/>
  <c r="BK133" i="48"/>
  <c r="BK141" i="48"/>
  <c r="BK134" i="48"/>
  <c r="BK128" i="48"/>
  <c r="BK130" i="48"/>
  <c r="BK135" i="48"/>
  <c r="BK122" i="48"/>
  <c r="BK119" i="48"/>
  <c r="BK49" i="48"/>
  <c r="BK137" i="48"/>
  <c r="BK114" i="48"/>
  <c r="BK121" i="48"/>
  <c r="BK139" i="48"/>
  <c r="BK115" i="48"/>
  <c r="BK143" i="48"/>
  <c r="BK140" i="48"/>
  <c r="BK116" i="48"/>
  <c r="BK123" i="48"/>
  <c r="BK142" i="48"/>
  <c r="BK125" i="48"/>
  <c r="BK118" i="48"/>
  <c r="BC133" i="48"/>
  <c r="BC136" i="48"/>
  <c r="BC122" i="48"/>
  <c r="BC131" i="48"/>
  <c r="BC128" i="48"/>
  <c r="BC120" i="48"/>
  <c r="BC125" i="48"/>
  <c r="BC123" i="48"/>
  <c r="BC139" i="48"/>
  <c r="BC135" i="48"/>
  <c r="BC126" i="48"/>
  <c r="BC114" i="48"/>
  <c r="BC130" i="48"/>
  <c r="BC140" i="48"/>
  <c r="BC143" i="48"/>
  <c r="BC124" i="48"/>
  <c r="BC115" i="48"/>
  <c r="BC141" i="48"/>
  <c r="BC134" i="48"/>
  <c r="BC142" i="48"/>
  <c r="BC129" i="48"/>
  <c r="BC116" i="48"/>
  <c r="BC117" i="48"/>
  <c r="BC119" i="48"/>
  <c r="BC138" i="48"/>
  <c r="BC118" i="48"/>
  <c r="BC49" i="48"/>
  <c r="BC121" i="48"/>
  <c r="BC132" i="48"/>
  <c r="BC137" i="48"/>
  <c r="BC127" i="48"/>
  <c r="AY175" i="48"/>
  <c r="AY153" i="48"/>
  <c r="AY149" i="48"/>
  <c r="AY159" i="48"/>
  <c r="AY165" i="48"/>
  <c r="AY169" i="48"/>
  <c r="AY156" i="48"/>
  <c r="AY150" i="48"/>
  <c r="AY155" i="48"/>
  <c r="AY146" i="48"/>
  <c r="AY161" i="48"/>
  <c r="AY170" i="48"/>
  <c r="AY171" i="48"/>
  <c r="AY167" i="48"/>
  <c r="AY158" i="48"/>
  <c r="AY152" i="48"/>
  <c r="AY154" i="48"/>
  <c r="AY148" i="48"/>
  <c r="AY163" i="48"/>
  <c r="AY168" i="48"/>
  <c r="AY172" i="48"/>
  <c r="AY160" i="48"/>
  <c r="AY162" i="48"/>
  <c r="AY166" i="48"/>
  <c r="AY157" i="48"/>
  <c r="AY174" i="48"/>
  <c r="AY164" i="48"/>
  <c r="AY173" i="48"/>
  <c r="AY151" i="48"/>
  <c r="AY147" i="48"/>
  <c r="BK56" i="48"/>
  <c r="BK57" i="48" s="1"/>
  <c r="BK51" i="48"/>
  <c r="BK68" i="48"/>
  <c r="BK62" i="48"/>
  <c r="AU141" i="48"/>
  <c r="AU53" i="48"/>
  <c r="AU54" i="48" s="1"/>
  <c r="AU64" i="48"/>
  <c r="AU65" i="48" s="1"/>
  <c r="AU70" i="48"/>
  <c r="AU71" i="48" s="1"/>
  <c r="AU52" i="48"/>
  <c r="AU129" i="48"/>
  <c r="AZ44" i="48"/>
  <c r="AZ42" i="48"/>
  <c r="AZ40" i="48"/>
  <c r="AZ38" i="48"/>
  <c r="AZ37" i="48"/>
  <c r="AZ41" i="48"/>
  <c r="AZ39" i="48"/>
  <c r="AZ43" i="48"/>
  <c r="BO56" i="48"/>
  <c r="BO57" i="48" s="1"/>
  <c r="BO51" i="48"/>
  <c r="BO68" i="48"/>
  <c r="BO62" i="48"/>
  <c r="AK63" i="48"/>
  <c r="AK52" i="48"/>
  <c r="AK69" i="48"/>
  <c r="AK70" i="48"/>
  <c r="AK71" i="48" s="1"/>
  <c r="AK64" i="48"/>
  <c r="AK65" i="48" s="1"/>
  <c r="AK53" i="48"/>
  <c r="AK54" i="48" s="1"/>
  <c r="AU132" i="48"/>
  <c r="AU114" i="48"/>
  <c r="BG13" i="45"/>
  <c r="BH13" i="45" s="1"/>
  <c r="BL12" i="45"/>
  <c r="Z13" i="45"/>
  <c r="AR12" i="45"/>
  <c r="AY13" i="45"/>
  <c r="BC13" i="45"/>
  <c r="N13" i="45"/>
  <c r="V13" i="45"/>
  <c r="BO13" i="45"/>
  <c r="BP13" i="45" s="1"/>
  <c r="BP12" i="45"/>
  <c r="E14" i="45"/>
  <c r="F14" i="45" s="1"/>
  <c r="BT12" i="45"/>
  <c r="AH13" i="45"/>
  <c r="BW13" i="45"/>
  <c r="BX13" i="45" s="1"/>
  <c r="AD13" i="45"/>
  <c r="I14" i="45"/>
  <c r="M14" i="45"/>
  <c r="N14" i="45" s="1"/>
  <c r="BX12" i="45"/>
  <c r="AC14" i="45"/>
  <c r="AD14" i="45" s="1"/>
  <c r="U14" i="45"/>
  <c r="BS13" i="45"/>
  <c r="BT13" i="45" s="1"/>
  <c r="AG14" i="45"/>
  <c r="F13" i="45"/>
  <c r="J13" i="45"/>
  <c r="AQ13" i="45"/>
  <c r="AK14" i="45"/>
  <c r="AL14" i="45" s="1"/>
  <c r="Q14" i="45"/>
  <c r="R14" i="45" s="1"/>
  <c r="AV12" i="45"/>
  <c r="AU13" i="45"/>
  <c r="AV13" i="45" s="1"/>
  <c r="BK13" i="45"/>
  <c r="Y14" i="45"/>
  <c r="Z14" i="45" s="1"/>
  <c r="AQ70" i="48" l="1"/>
  <c r="AQ71" i="48" s="1"/>
  <c r="AQ64" i="48"/>
  <c r="AQ65" i="48" s="1"/>
  <c r="AQ53" i="48"/>
  <c r="AQ54" i="48" s="1"/>
  <c r="AQ52" i="48"/>
  <c r="AL58" i="48"/>
  <c r="AV57" i="48"/>
  <c r="BC58" i="48"/>
  <c r="BH56" i="48"/>
  <c r="BH57" i="48" s="1"/>
  <c r="AR57" i="48"/>
  <c r="AQ63" i="48"/>
  <c r="BP58" i="48"/>
  <c r="AQ58" i="48"/>
  <c r="Z58" i="48"/>
  <c r="BX58" i="48"/>
  <c r="AZ56" i="48"/>
  <c r="AZ57" i="48" s="1"/>
  <c r="AD57" i="48"/>
  <c r="BL56" i="48"/>
  <c r="BL58" i="48" s="1"/>
  <c r="BK58" i="48"/>
  <c r="BD56" i="48"/>
  <c r="BD57" i="48" s="1"/>
  <c r="BO58" i="48"/>
  <c r="BS69" i="48"/>
  <c r="BS70" i="48"/>
  <c r="BS71" i="48" s="1"/>
  <c r="BS53" i="48"/>
  <c r="BS54" i="48" s="1"/>
  <c r="BS52" i="48"/>
  <c r="BS63" i="48"/>
  <c r="BS64" i="48"/>
  <c r="BS65" i="48" s="1"/>
  <c r="BW53" i="48"/>
  <c r="BW54" i="48" s="1"/>
  <c r="BW52" i="48"/>
  <c r="BW63" i="48"/>
  <c r="BW64" i="48"/>
  <c r="BW65" i="48" s="1"/>
  <c r="BW69" i="48"/>
  <c r="BW70" i="48"/>
  <c r="BW71" i="48" s="1"/>
  <c r="BS57" i="48"/>
  <c r="N57" i="48"/>
  <c r="BK64" i="48"/>
  <c r="BK65" i="48" s="1"/>
  <c r="BK63" i="48"/>
  <c r="BK69" i="48"/>
  <c r="BK52" i="48"/>
  <c r="BK53" i="48"/>
  <c r="BK54" i="48" s="1"/>
  <c r="BK70" i="48"/>
  <c r="BK71" i="48" s="1"/>
  <c r="AY58" i="48"/>
  <c r="BG57" i="48"/>
  <c r="BG69" i="48"/>
  <c r="BG64" i="48"/>
  <c r="BG65" i="48" s="1"/>
  <c r="BG53" i="48"/>
  <c r="BG54" i="48" s="1"/>
  <c r="BG63" i="48"/>
  <c r="BG70" i="48"/>
  <c r="BG71" i="48" s="1"/>
  <c r="BG52" i="48"/>
  <c r="AY70" i="48"/>
  <c r="AY71" i="48" s="1"/>
  <c r="AY64" i="48"/>
  <c r="AY65" i="48" s="1"/>
  <c r="AY69" i="48"/>
  <c r="AY52" i="48"/>
  <c r="AY63" i="48"/>
  <c r="AY53" i="48"/>
  <c r="AY54" i="48" s="1"/>
  <c r="AU57" i="48"/>
  <c r="AU58" i="48"/>
  <c r="R58" i="48"/>
  <c r="BW58" i="48"/>
  <c r="BO64" i="48"/>
  <c r="BO65" i="48" s="1"/>
  <c r="BO70" i="48"/>
  <c r="BO71" i="48" s="1"/>
  <c r="BO53" i="48"/>
  <c r="BO54" i="48" s="1"/>
  <c r="BO52" i="48"/>
  <c r="BO69" i="48"/>
  <c r="BO63" i="48"/>
  <c r="BT56" i="48"/>
  <c r="BT57" i="48" s="1"/>
  <c r="BC52" i="48"/>
  <c r="BC53" i="48"/>
  <c r="BC54" i="48" s="1"/>
  <c r="BC69" i="48"/>
  <c r="BC64" i="48"/>
  <c r="BC65" i="48" s="1"/>
  <c r="BC70" i="48"/>
  <c r="BC71" i="48" s="1"/>
  <c r="BC63" i="48"/>
  <c r="Q16" i="45"/>
  <c r="R16" i="45" s="1"/>
  <c r="AQ15" i="45"/>
  <c r="AR15" i="45" s="1"/>
  <c r="E16" i="45"/>
  <c r="F16" i="45" s="1"/>
  <c r="J14" i="45"/>
  <c r="AZ13" i="45"/>
  <c r="E15" i="45"/>
  <c r="F15" i="45" s="1"/>
  <c r="Q15" i="45"/>
  <c r="R15" i="45" s="1"/>
  <c r="AK15" i="45"/>
  <c r="AL15" i="45" s="1"/>
  <c r="U15" i="45"/>
  <c r="V15" i="45" s="1"/>
  <c r="BC14" i="45"/>
  <c r="BD14" i="45" s="1"/>
  <c r="BK14" i="45"/>
  <c r="BL14" i="45" s="1"/>
  <c r="V14" i="45"/>
  <c r="AG15" i="45"/>
  <c r="AH15" i="45" s="1"/>
  <c r="I15" i="45"/>
  <c r="AQ14" i="45"/>
  <c r="AR13" i="45"/>
  <c r="AH14" i="45"/>
  <c r="BO14" i="45"/>
  <c r="BW14" i="45"/>
  <c r="BS14" i="45"/>
  <c r="BT14" i="45" s="1"/>
  <c r="BD13" i="45"/>
  <c r="BG14" i="45"/>
  <c r="BL13" i="45"/>
  <c r="M15" i="45"/>
  <c r="N15" i="45" s="1"/>
  <c r="AC15" i="45"/>
  <c r="AU14" i="45"/>
  <c r="AV14" i="45" s="1"/>
  <c r="AY14" i="45"/>
  <c r="AZ14" i="45" s="1"/>
  <c r="Y15" i="45"/>
  <c r="Z15" i="45" s="1"/>
  <c r="BH58" i="48" l="1"/>
  <c r="BL57" i="48"/>
  <c r="AZ58" i="48"/>
  <c r="BD58" i="48"/>
  <c r="BT58" i="48"/>
  <c r="BC15" i="45"/>
  <c r="BD15" i="45" s="1"/>
  <c r="AY15" i="45"/>
  <c r="AZ15" i="45" s="1"/>
  <c r="BG15" i="45"/>
  <c r="BH15" i="45" s="1"/>
  <c r="AG16" i="45"/>
  <c r="AH16" i="45" s="1"/>
  <c r="BK15" i="45"/>
  <c r="BL15" i="45" s="1"/>
  <c r="M16" i="45"/>
  <c r="N16" i="45" s="1"/>
  <c r="AU15" i="45"/>
  <c r="AV15" i="45" s="1"/>
  <c r="AK16" i="45"/>
  <c r="AL16" i="45" s="1"/>
  <c r="BS15" i="45"/>
  <c r="BT15" i="45" s="1"/>
  <c r="E17" i="45"/>
  <c r="F17" i="45" s="1"/>
  <c r="M17" i="45"/>
  <c r="N17" i="45" s="1"/>
  <c r="Q17" i="45"/>
  <c r="R17" i="45" s="1"/>
  <c r="I16" i="45"/>
  <c r="J16" i="45" s="1"/>
  <c r="AD15" i="45"/>
  <c r="BH14" i="45"/>
  <c r="AR14" i="45"/>
  <c r="AC16" i="45"/>
  <c r="AD16" i="45" s="1"/>
  <c r="U16" i="45"/>
  <c r="V16" i="45" s="1"/>
  <c r="BP14" i="45"/>
  <c r="BO15" i="45"/>
  <c r="BP15" i="45" s="1"/>
  <c r="BX14" i="45"/>
  <c r="J15" i="45"/>
  <c r="BW15" i="45"/>
  <c r="BX15" i="45" s="1"/>
  <c r="Y16" i="45"/>
  <c r="Z16" i="45" s="1"/>
  <c r="AU16" i="45" l="1"/>
  <c r="AV16" i="45" s="1"/>
  <c r="AG17" i="45"/>
  <c r="AH17" i="45" s="1"/>
  <c r="BC16" i="45"/>
  <c r="BD16" i="45" s="1"/>
  <c r="BG16" i="45"/>
  <c r="BH16" i="45" s="1"/>
  <c r="Y17" i="45"/>
  <c r="Z17" i="45" s="1"/>
  <c r="AQ16" i="45"/>
  <c r="AR16" i="45" s="1"/>
  <c r="AC17" i="45"/>
  <c r="AD17" i="45" s="1"/>
  <c r="AK17" i="45"/>
  <c r="AL17" i="45" s="1"/>
  <c r="BO16" i="45"/>
  <c r="BP16" i="45" s="1"/>
  <c r="AG18" i="45"/>
  <c r="AH18" i="45" s="1"/>
  <c r="E18" i="45"/>
  <c r="F18" i="45" s="1"/>
  <c r="I17" i="45"/>
  <c r="J17" i="45" s="1"/>
  <c r="AY16" i="45"/>
  <c r="AZ16" i="45" s="1"/>
  <c r="BS16" i="45"/>
  <c r="BT16" i="45" s="1"/>
  <c r="BK16" i="45"/>
  <c r="BL16" i="45" s="1"/>
  <c r="U17" i="45"/>
  <c r="V17" i="45" s="1"/>
  <c r="BW16" i="45"/>
  <c r="BX16" i="45" s="1"/>
  <c r="BG17" i="45" l="1"/>
  <c r="BH17" i="45" s="1"/>
  <c r="BC17" i="45"/>
  <c r="BD17" i="45" s="1"/>
  <c r="AY17" i="45"/>
  <c r="AZ17" i="45" s="1"/>
  <c r="AC18" i="45"/>
  <c r="AD18" i="45" s="1"/>
  <c r="M18" i="45"/>
  <c r="N18" i="45" s="1"/>
  <c r="I18" i="45"/>
  <c r="J18" i="45" s="1"/>
  <c r="U18" i="45"/>
  <c r="V18" i="45" s="1"/>
  <c r="BO17" i="45"/>
  <c r="BP17" i="45" s="1"/>
  <c r="AQ17" i="45"/>
  <c r="AR17" i="45" s="1"/>
  <c r="E19" i="45"/>
  <c r="F19" i="45" s="1"/>
  <c r="AU17" i="45"/>
  <c r="AV17" i="45" s="1"/>
  <c r="BW17" i="45"/>
  <c r="BX17" i="45" s="1"/>
  <c r="BK17" i="45"/>
  <c r="BL17" i="45" s="1"/>
  <c r="Q18" i="45"/>
  <c r="R18" i="45" s="1"/>
  <c r="Y18" i="45"/>
  <c r="Z18" i="45" s="1"/>
  <c r="BS17" i="45"/>
  <c r="BT17" i="45" s="1"/>
  <c r="AK18" i="45"/>
  <c r="AL18" i="45" s="1"/>
  <c r="AC19" i="45" l="1"/>
  <c r="AD19" i="45" s="1"/>
  <c r="M19" i="45"/>
  <c r="N19" i="45" s="1"/>
  <c r="AG19" i="45"/>
  <c r="AH19" i="45" s="1"/>
  <c r="BK18" i="45"/>
  <c r="BL18" i="45" s="1"/>
  <c r="BO18" i="45"/>
  <c r="BP18" i="45" s="1"/>
  <c r="BC18" i="45"/>
  <c r="BD18" i="45" s="1"/>
  <c r="AY18" i="45"/>
  <c r="AZ18" i="45" s="1"/>
  <c r="BW18" i="45"/>
  <c r="BX18" i="45" s="1"/>
  <c r="Q19" i="45"/>
  <c r="R19" i="45" s="1"/>
  <c r="BS18" i="45"/>
  <c r="BT18" i="45" s="1"/>
  <c r="AQ18" i="45"/>
  <c r="AR18" i="45" s="1"/>
  <c r="Y19" i="45"/>
  <c r="Z19" i="45" s="1"/>
  <c r="U19" i="45"/>
  <c r="V19" i="45" s="1"/>
  <c r="BG18" i="45"/>
  <c r="BH18" i="45" s="1"/>
  <c r="I19" i="45"/>
  <c r="J19" i="45" s="1"/>
  <c r="AK19" i="45"/>
  <c r="AL19" i="45" s="1"/>
  <c r="AU18" i="45"/>
  <c r="AV18" i="45" s="1"/>
  <c r="BW19" i="45" l="1"/>
  <c r="BX19" i="45" s="1"/>
  <c r="AU19" i="45"/>
  <c r="AV19" i="45" s="1"/>
  <c r="BO19" i="45"/>
  <c r="BP19" i="45" s="1"/>
  <c r="BK19" i="45"/>
  <c r="BL19" i="45" s="1"/>
  <c r="E20" i="45"/>
  <c r="F20" i="45" s="1"/>
  <c r="BG19" i="45"/>
  <c r="BH19" i="45" s="1"/>
  <c r="BC19" i="45"/>
  <c r="BD19" i="45" s="1"/>
  <c r="BS19" i="45"/>
  <c r="BT19" i="45" s="1"/>
  <c r="AY19" i="45"/>
  <c r="AZ19" i="45" s="1"/>
  <c r="AQ19" i="45"/>
  <c r="AR19" i="45" s="1"/>
  <c r="BK20" i="45" l="1"/>
  <c r="BL20" i="45" s="1"/>
  <c r="Y21" i="45"/>
  <c r="Z21" i="45" s="1"/>
  <c r="AG20" i="45"/>
  <c r="AH20" i="45" s="1"/>
  <c r="AU20" i="45"/>
  <c r="AV20" i="45" s="1"/>
  <c r="AY20" i="45"/>
  <c r="AZ20" i="45" s="1"/>
  <c r="BO20" i="45"/>
  <c r="BP20" i="45" s="1"/>
  <c r="Q21" i="45"/>
  <c r="R21" i="45" s="1"/>
  <c r="Y20" i="45"/>
  <c r="Z20" i="45" s="1"/>
  <c r="M21" i="45"/>
  <c r="N21" i="45" s="1"/>
  <c r="M20" i="45"/>
  <c r="N20" i="45" s="1"/>
  <c r="BG20" i="45"/>
  <c r="BH20" i="45" s="1"/>
  <c r="I21" i="45"/>
  <c r="J21" i="45" s="1"/>
  <c r="AC20" i="45"/>
  <c r="AD20" i="45" s="1"/>
  <c r="AG21" i="45"/>
  <c r="AH21" i="45" s="1"/>
  <c r="BW20" i="45"/>
  <c r="BX20" i="45" s="1"/>
  <c r="BS20" i="45"/>
  <c r="BT20" i="45" s="1"/>
  <c r="I22" i="45"/>
  <c r="J22" i="45" s="1"/>
  <c r="Y22" i="45"/>
  <c r="Z22" i="45" s="1"/>
  <c r="BC20" i="45"/>
  <c r="BD20" i="45" s="1"/>
  <c r="Q20" i="45"/>
  <c r="R20" i="45" s="1"/>
  <c r="U20" i="45"/>
  <c r="V20" i="45" s="1"/>
  <c r="U21" i="45"/>
  <c r="V21" i="45" s="1"/>
  <c r="I20" i="45"/>
  <c r="J20" i="45" s="1"/>
  <c r="AC21" i="45"/>
  <c r="AD21" i="45" s="1"/>
  <c r="AK21" i="45"/>
  <c r="AL21" i="45" s="1"/>
  <c r="AQ20" i="45"/>
  <c r="AR20" i="45" s="1"/>
  <c r="AK20" i="45"/>
  <c r="AL20" i="45" s="1"/>
  <c r="E21" i="45"/>
  <c r="F21" i="45" s="1"/>
  <c r="AK22" i="45" l="1"/>
  <c r="AL22" i="45" s="1"/>
  <c r="BC21" i="45"/>
  <c r="BD21" i="45" s="1"/>
  <c r="BW21" i="45"/>
  <c r="BX21" i="45" s="1"/>
  <c r="AC22" i="45"/>
  <c r="AD22" i="45" s="1"/>
  <c r="BG21" i="45"/>
  <c r="BH21" i="45" s="1"/>
  <c r="BS21" i="45"/>
  <c r="BT21" i="45" s="1"/>
  <c r="AG22" i="45"/>
  <c r="AH22" i="45" s="1"/>
  <c r="Q22" i="45"/>
  <c r="R22" i="45" s="1"/>
  <c r="AU21" i="45"/>
  <c r="AV21" i="45" s="1"/>
  <c r="BO21" i="45"/>
  <c r="BP21" i="45" s="1"/>
  <c r="BK21" i="45"/>
  <c r="BL21" i="45" s="1"/>
  <c r="U22" i="45"/>
  <c r="V22" i="45" s="1"/>
  <c r="AY21" i="45"/>
  <c r="AZ21" i="45" s="1"/>
  <c r="M22" i="45"/>
  <c r="N22" i="45" s="1"/>
  <c r="E22" i="45"/>
  <c r="F22" i="45" s="1"/>
  <c r="AQ21" i="45"/>
  <c r="AR21" i="45" s="1"/>
  <c r="U23" i="45" l="1"/>
  <c r="V23" i="45" s="1"/>
  <c r="AK23" i="45"/>
  <c r="AL23" i="45" s="1"/>
  <c r="BS22" i="45"/>
  <c r="BT22" i="45" s="1"/>
  <c r="AC23" i="45"/>
  <c r="AD23" i="45" s="1"/>
  <c r="Y23" i="45"/>
  <c r="Z23" i="45" s="1"/>
  <c r="AU22" i="45"/>
  <c r="AV22" i="45" s="1"/>
  <c r="M23" i="45"/>
  <c r="N23" i="45" s="1"/>
  <c r="I23" i="45"/>
  <c r="J23" i="45" s="1"/>
  <c r="BG22" i="45"/>
  <c r="BH22" i="45" s="1"/>
  <c r="BK22" i="45"/>
  <c r="BL22" i="45" s="1"/>
  <c r="AG23" i="45"/>
  <c r="AH23" i="45" s="1"/>
  <c r="BC22" i="45"/>
  <c r="BD22" i="45" s="1"/>
  <c r="Q23" i="45"/>
  <c r="R23" i="45" s="1"/>
  <c r="AY22" i="45"/>
  <c r="AZ22" i="45" s="1"/>
  <c r="BW22" i="45"/>
  <c r="BX22" i="45" s="1"/>
  <c r="E23" i="45"/>
  <c r="F23" i="45" s="1"/>
  <c r="AQ22" i="45"/>
  <c r="AR22" i="45" s="1"/>
  <c r="BO22" i="45"/>
  <c r="BP22" i="45" s="1"/>
  <c r="BW23" i="45" l="1"/>
  <c r="BX23" i="45" s="1"/>
  <c r="BO23" i="45"/>
  <c r="BP23" i="45" s="1"/>
  <c r="AU23" i="45"/>
  <c r="AV23" i="45" s="1"/>
  <c r="BG23" i="45"/>
  <c r="BH23" i="45" s="1"/>
  <c r="BK23" i="45"/>
  <c r="BL23" i="45" s="1"/>
  <c r="E25" i="45"/>
  <c r="F25" i="45" s="1"/>
  <c r="AQ23" i="45"/>
  <c r="AR23" i="45" s="1"/>
  <c r="BS23" i="45"/>
  <c r="BT23" i="45" s="1"/>
  <c r="BC23" i="45"/>
  <c r="BD23" i="45" s="1"/>
  <c r="AY23" i="45"/>
  <c r="AZ23" i="45" s="1"/>
  <c r="U26" i="45" l="1"/>
  <c r="V26" i="45" s="1"/>
  <c r="Q25" i="45"/>
  <c r="R25" i="45" s="1"/>
  <c r="U25" i="45"/>
  <c r="V25" i="45" s="1"/>
  <c r="AQ24" i="45"/>
  <c r="AR24" i="45" s="1"/>
  <c r="I25" i="45"/>
  <c r="J25" i="45" s="1"/>
  <c r="BW24" i="45"/>
  <c r="BX24" i="45" s="1"/>
  <c r="AY24" i="45"/>
  <c r="AZ24" i="45" s="1"/>
  <c r="BG24" i="45"/>
  <c r="BH24" i="45" s="1"/>
  <c r="AK25" i="45"/>
  <c r="AL25" i="45" s="1"/>
  <c r="BK24" i="45"/>
  <c r="BL24" i="45" s="1"/>
  <c r="AC25" i="45"/>
  <c r="AD25" i="45" s="1"/>
  <c r="Y25" i="45"/>
  <c r="Z25" i="45" s="1"/>
  <c r="BS24" i="45"/>
  <c r="BT24" i="45" s="1"/>
  <c r="M25" i="45"/>
  <c r="N25" i="45" s="1"/>
  <c r="AG25" i="45"/>
  <c r="AH25" i="45" s="1"/>
  <c r="AU24" i="45"/>
  <c r="AV24" i="45" s="1"/>
  <c r="BC24" i="45"/>
  <c r="BD24" i="45" s="1"/>
  <c r="BO24" i="45"/>
  <c r="BP24" i="45" s="1"/>
  <c r="AY25" i="45" l="1"/>
  <c r="AZ25" i="45" s="1"/>
  <c r="BW25" i="45"/>
  <c r="BX25" i="45" s="1"/>
  <c r="BG25" i="45"/>
  <c r="BH25" i="45" s="1"/>
  <c r="BO25" i="45"/>
  <c r="BP25" i="45" s="1"/>
  <c r="Q26" i="45"/>
  <c r="R26" i="45" s="1"/>
  <c r="BS25" i="45"/>
  <c r="BT25" i="45" s="1"/>
  <c r="AK26" i="45"/>
  <c r="AL26" i="45" s="1"/>
  <c r="BC25" i="45"/>
  <c r="BD25" i="45" s="1"/>
  <c r="AG26" i="45"/>
  <c r="AH26" i="45" s="1"/>
  <c r="I26" i="45"/>
  <c r="J26" i="45" s="1"/>
  <c r="Y26" i="45"/>
  <c r="Z26" i="45" s="1"/>
  <c r="AC26" i="45"/>
  <c r="AD26" i="45" s="1"/>
  <c r="E27" i="45"/>
  <c r="F27" i="45" s="1"/>
  <c r="E26" i="45"/>
  <c r="F26" i="45" s="1"/>
  <c r="M26" i="45"/>
  <c r="N26" i="45" s="1"/>
  <c r="AQ25" i="45"/>
  <c r="AR25" i="45" s="1"/>
  <c r="AU25" i="45"/>
  <c r="AV25" i="45" s="1"/>
  <c r="BK25" i="45"/>
  <c r="BL25" i="45" s="1"/>
  <c r="Y27" i="45" l="1"/>
  <c r="Z27" i="45" s="1"/>
  <c r="AK27" i="45"/>
  <c r="AL27" i="45" s="1"/>
  <c r="M27" i="45"/>
  <c r="N27" i="45" s="1"/>
  <c r="AG27" i="45"/>
  <c r="AH27" i="45" s="1"/>
  <c r="BG26" i="45"/>
  <c r="BH26" i="45" s="1"/>
  <c r="AQ26" i="45"/>
  <c r="AR26" i="45" s="1"/>
  <c r="BS26" i="45"/>
  <c r="BT26" i="45" s="1"/>
  <c r="U27" i="45"/>
  <c r="V27" i="45" s="1"/>
  <c r="BW26" i="45"/>
  <c r="BX26" i="45" s="1"/>
  <c r="I27" i="45"/>
  <c r="J27" i="45" s="1"/>
  <c r="AY26" i="45"/>
  <c r="AZ26" i="45" s="1"/>
  <c r="Q27" i="45"/>
  <c r="R27" i="45" s="1"/>
  <c r="AU26" i="45"/>
  <c r="AV26" i="45" s="1"/>
  <c r="BO26" i="45"/>
  <c r="BP26" i="45" s="1"/>
  <c r="BC26" i="45"/>
  <c r="BD26" i="45" s="1"/>
  <c r="AC27" i="45"/>
  <c r="AD27" i="45" s="1"/>
  <c r="BK26" i="45"/>
  <c r="BL26" i="45" s="1"/>
  <c r="AY27" i="45" l="1"/>
  <c r="AZ27" i="45" s="1"/>
  <c r="BS27" i="45"/>
  <c r="BT27" i="45" s="1"/>
  <c r="BG27" i="45"/>
  <c r="BH27" i="45" s="1"/>
  <c r="BO27" i="45"/>
  <c r="BP27" i="45" s="1"/>
  <c r="AQ27" i="45"/>
  <c r="AR27" i="45" s="1"/>
  <c r="BW27" i="45"/>
  <c r="BX27" i="45" s="1"/>
  <c r="AU27" i="45"/>
  <c r="AV27" i="45" s="1"/>
  <c r="E28" i="45"/>
  <c r="F28" i="45" s="1"/>
  <c r="E29" i="45"/>
  <c r="F29" i="45" s="1"/>
  <c r="BK27" i="45"/>
  <c r="BL27" i="45" s="1"/>
  <c r="BC27" i="45"/>
  <c r="BD27" i="45" s="1"/>
  <c r="U29" i="45" l="1"/>
  <c r="V29" i="45" s="1"/>
  <c r="BK28" i="45"/>
  <c r="BL28" i="45" s="1"/>
  <c r="AU28" i="45"/>
  <c r="AV28" i="45" s="1"/>
  <c r="I28" i="45"/>
  <c r="J28" i="45" s="1"/>
  <c r="AG28" i="45"/>
  <c r="AH28" i="45" s="1"/>
  <c r="BO28" i="45"/>
  <c r="BP28" i="45" s="1"/>
  <c r="AQ28" i="45"/>
  <c r="AR28" i="45" s="1"/>
  <c r="Q29" i="45"/>
  <c r="R29" i="45" s="1"/>
  <c r="U28" i="45"/>
  <c r="V28" i="45" s="1"/>
  <c r="BW28" i="45"/>
  <c r="BX28" i="45" s="1"/>
  <c r="AY28" i="45"/>
  <c r="AZ28" i="45" s="1"/>
  <c r="I29" i="45"/>
  <c r="J29" i="45" s="1"/>
  <c r="BG28" i="45"/>
  <c r="BH28" i="45" s="1"/>
  <c r="E30" i="45"/>
  <c r="F30" i="45" s="1"/>
  <c r="AK29" i="45"/>
  <c r="AL29" i="45" s="1"/>
  <c r="BC28" i="45"/>
  <c r="BD28" i="45" s="1"/>
  <c r="AG29" i="45"/>
  <c r="AH29" i="45" s="1"/>
  <c r="Y28" i="45"/>
  <c r="Z28" i="45" s="1"/>
  <c r="BS28" i="45"/>
  <c r="BT28" i="45" s="1"/>
  <c r="AC29" i="45"/>
  <c r="AD29" i="45" s="1"/>
  <c r="Q28" i="45"/>
  <c r="R28" i="45" s="1"/>
  <c r="AC28" i="45"/>
  <c r="AD28" i="45" s="1"/>
  <c r="M29" i="45"/>
  <c r="N29" i="45" s="1"/>
  <c r="AK28" i="45"/>
  <c r="AL28" i="45" s="1"/>
  <c r="M28" i="45"/>
  <c r="N28" i="45" s="1"/>
  <c r="Y29" i="45"/>
  <c r="Z29" i="45" s="1"/>
  <c r="BW29" i="45" l="1"/>
  <c r="BX29" i="45" s="1"/>
  <c r="Y30" i="45"/>
  <c r="Z30" i="45" s="1"/>
  <c r="Q30" i="45"/>
  <c r="R30" i="45" s="1"/>
  <c r="AY29" i="45"/>
  <c r="AZ29" i="45" s="1"/>
  <c r="BK29" i="45"/>
  <c r="BL29" i="45" s="1"/>
  <c r="I31" i="45"/>
  <c r="J31" i="45" s="1"/>
  <c r="BO29" i="45"/>
  <c r="BP29" i="45" s="1"/>
  <c r="AG30" i="45"/>
  <c r="AH30" i="45" s="1"/>
  <c r="BS29" i="45"/>
  <c r="BT29" i="45" s="1"/>
  <c r="AK30" i="45"/>
  <c r="AL30" i="45" s="1"/>
  <c r="AQ29" i="45"/>
  <c r="AR29" i="45" s="1"/>
  <c r="AC30" i="45"/>
  <c r="AD30" i="45" s="1"/>
  <c r="BC29" i="45"/>
  <c r="BD29" i="45" s="1"/>
  <c r="I30" i="45"/>
  <c r="J30" i="45" s="1"/>
  <c r="U30" i="45"/>
  <c r="V30" i="45" s="1"/>
  <c r="AU29" i="45"/>
  <c r="AV29" i="45" s="1"/>
  <c r="M30" i="45"/>
  <c r="N30" i="45" s="1"/>
  <c r="BG29" i="45"/>
  <c r="BH29" i="45" s="1"/>
  <c r="U31" i="45" l="1"/>
  <c r="V31" i="45" s="1"/>
  <c r="AY30" i="45"/>
  <c r="AZ30" i="45" s="1"/>
  <c r="AC31" i="45"/>
  <c r="AD31" i="45" s="1"/>
  <c r="AG31" i="45"/>
  <c r="AH31" i="45" s="1"/>
  <c r="AK31" i="45"/>
  <c r="AL31" i="45" s="1"/>
  <c r="BC30" i="45"/>
  <c r="BD30" i="45" s="1"/>
  <c r="BG30" i="45"/>
  <c r="BH30" i="45" s="1"/>
  <c r="BS30" i="45"/>
  <c r="BT30" i="45" s="1"/>
  <c r="BO30" i="45"/>
  <c r="BP30" i="45" s="1"/>
  <c r="AU30" i="45"/>
  <c r="AV30" i="45" s="1"/>
  <c r="BW30" i="45"/>
  <c r="BX30" i="45" s="1"/>
  <c r="Q31" i="45"/>
  <c r="R31" i="45" s="1"/>
  <c r="M31" i="45"/>
  <c r="N31" i="45" s="1"/>
  <c r="AQ30" i="45"/>
  <c r="AR30" i="45" s="1"/>
  <c r="BK30" i="45"/>
  <c r="BL30" i="45" s="1"/>
  <c r="Y31" i="45"/>
  <c r="Z31" i="45" s="1"/>
  <c r="E31" i="45"/>
  <c r="F31" i="45" s="1"/>
  <c r="U33" i="45" l="1"/>
  <c r="V33" i="45" s="1"/>
  <c r="BC31" i="45"/>
  <c r="BD31" i="45" s="1"/>
  <c r="AU31" i="45"/>
  <c r="AV31" i="45" s="1"/>
  <c r="BW31" i="45"/>
  <c r="BX31" i="45" s="1"/>
  <c r="AQ31" i="45"/>
  <c r="AR31" i="45" s="1"/>
  <c r="BG31" i="45"/>
  <c r="BH31" i="45" s="1"/>
  <c r="E33" i="45"/>
  <c r="F33" i="45" s="1"/>
  <c r="I33" i="45"/>
  <c r="J33" i="45" s="1"/>
  <c r="M33" i="45"/>
  <c r="N33" i="45" s="1"/>
  <c r="E32" i="45"/>
  <c r="F32" i="45" s="1"/>
  <c r="AY31" i="45"/>
  <c r="AZ31" i="45" s="1"/>
  <c r="BK31" i="45"/>
  <c r="BL31" i="45" s="1"/>
  <c r="BO31" i="45"/>
  <c r="BP31" i="45" s="1"/>
  <c r="BS31" i="45"/>
  <c r="BT31" i="45" s="1"/>
  <c r="BO32" i="45" l="1"/>
  <c r="BP32" i="45" s="1"/>
  <c r="AC33" i="45"/>
  <c r="AD33" i="45" s="1"/>
  <c r="BC32" i="45"/>
  <c r="BD32" i="45" s="1"/>
  <c r="U32" i="45"/>
  <c r="V32" i="45" s="1"/>
  <c r="Q33" i="45"/>
  <c r="R33" i="45" s="1"/>
  <c r="AG33" i="45"/>
  <c r="AH33" i="45" s="1"/>
  <c r="I32" i="45"/>
  <c r="J32" i="45" s="1"/>
  <c r="Y32" i="45"/>
  <c r="Z32" i="45" s="1"/>
  <c r="M32" i="45"/>
  <c r="N32" i="45" s="1"/>
  <c r="Q32" i="45"/>
  <c r="R32" i="45" s="1"/>
  <c r="AG32" i="45"/>
  <c r="AH32" i="45" s="1"/>
  <c r="AQ32" i="45"/>
  <c r="AR32" i="45" s="1"/>
  <c r="AK32" i="45"/>
  <c r="AL32" i="45" s="1"/>
  <c r="AU32" i="45"/>
  <c r="AV32" i="45" s="1"/>
  <c r="BG32" i="45"/>
  <c r="BH32" i="45" s="1"/>
  <c r="BS32" i="45"/>
  <c r="BT32" i="45" s="1"/>
  <c r="BK32" i="45"/>
  <c r="BL32" i="45" s="1"/>
  <c r="AC32" i="45"/>
  <c r="AD32" i="45" s="1"/>
  <c r="AK33" i="45"/>
  <c r="AL33" i="45" s="1"/>
  <c r="Y33" i="45"/>
  <c r="Z33" i="45" s="1"/>
  <c r="AY32" i="45"/>
  <c r="AZ32" i="45" s="1"/>
  <c r="BW32" i="45"/>
  <c r="BX32" i="45" s="1"/>
  <c r="BG33" i="45" l="1"/>
  <c r="BH33" i="45" s="1"/>
  <c r="BC33" i="45"/>
  <c r="BD33" i="45" s="1"/>
  <c r="BW33" i="45"/>
  <c r="BX33" i="45" s="1"/>
  <c r="AY33" i="45"/>
  <c r="AZ33" i="45" s="1"/>
  <c r="BO33" i="45"/>
  <c r="BP33" i="45" s="1"/>
  <c r="AU33" i="45"/>
  <c r="AV33" i="45" s="1"/>
  <c r="BS33" i="45"/>
  <c r="BT33" i="45" s="1"/>
  <c r="BK33" i="45"/>
  <c r="BL33" i="45" s="1"/>
  <c r="AQ33" i="45"/>
  <c r="AR33" i="45" s="1"/>
  <c r="AQ34" i="45" l="1"/>
  <c r="AR34" i="45" s="1"/>
  <c r="BG34" i="45"/>
  <c r="BH34" i="45" s="1"/>
  <c r="AK34" i="45"/>
  <c r="AL34" i="45" s="1"/>
  <c r="BK34" i="45"/>
  <c r="BL34" i="45" s="1"/>
  <c r="I34" i="45"/>
  <c r="J34" i="45" s="1"/>
  <c r="AY34" i="45"/>
  <c r="AZ34" i="45" s="1"/>
  <c r="Y34" i="45"/>
  <c r="W41" i="45"/>
  <c r="W144" i="45" a="1"/>
  <c r="W42" i="45"/>
  <c r="W40" i="45"/>
  <c r="W37" i="45"/>
  <c r="W39" i="45"/>
  <c r="W44" i="45"/>
  <c r="W38" i="45"/>
  <c r="W43" i="45"/>
  <c r="AU34" i="45"/>
  <c r="AV34" i="45" s="1"/>
  <c r="E34" i="45"/>
  <c r="F34" i="45" s="1"/>
  <c r="X42" i="45"/>
  <c r="X144" i="45" a="1"/>
  <c r="X38" i="45"/>
  <c r="X44" i="45"/>
  <c r="X43" i="45"/>
  <c r="X37" i="45"/>
  <c r="X39" i="45"/>
  <c r="X41" i="45"/>
  <c r="X40" i="45"/>
  <c r="AG34" i="45"/>
  <c r="AH34" i="45" s="1"/>
  <c r="BW34" i="45"/>
  <c r="BX34" i="45" s="1"/>
  <c r="U34" i="45"/>
  <c r="V34" i="45" s="1"/>
  <c r="M34" i="45"/>
  <c r="N34" i="45" s="1"/>
  <c r="AC34" i="45"/>
  <c r="AD34" i="45" s="1"/>
  <c r="Q34" i="45"/>
  <c r="R34" i="45" s="1"/>
  <c r="BO34" i="45"/>
  <c r="BP34" i="45" s="1"/>
  <c r="AJ38" i="45"/>
  <c r="AJ144" i="45" a="1"/>
  <c r="AJ40" i="45"/>
  <c r="AJ43" i="45"/>
  <c r="AJ44" i="45"/>
  <c r="AJ37" i="45"/>
  <c r="AJ39" i="45"/>
  <c r="AJ41" i="45"/>
  <c r="AJ42" i="45"/>
  <c r="BS34" i="45"/>
  <c r="BT34" i="45" s="1"/>
  <c r="BC34" i="45"/>
  <c r="BD34" i="45" s="1"/>
  <c r="X147" i="45" l="1"/>
  <c r="X171" i="45"/>
  <c r="X168" i="45"/>
  <c r="X155" i="45"/>
  <c r="X152" i="45"/>
  <c r="X145" i="45"/>
  <c r="X159" i="45"/>
  <c r="X156" i="45"/>
  <c r="X165" i="45"/>
  <c r="X162" i="45"/>
  <c r="X167" i="45"/>
  <c r="X164" i="45"/>
  <c r="X169" i="45"/>
  <c r="X166" i="45"/>
  <c r="X158" i="45"/>
  <c r="X160" i="45"/>
  <c r="X149" i="45"/>
  <c r="X170" i="45"/>
  <c r="X173" i="45"/>
  <c r="X148" i="45"/>
  <c r="X150" i="45"/>
  <c r="X154" i="45"/>
  <c r="X172" i="45"/>
  <c r="X144" i="45"/>
  <c r="X146" i="45"/>
  <c r="X151" i="45"/>
  <c r="X153" i="45"/>
  <c r="X157" i="45"/>
  <c r="X161" i="45"/>
  <c r="X163" i="45"/>
  <c r="H37" i="45"/>
  <c r="H144" i="45" a="1"/>
  <c r="H38" i="45"/>
  <c r="H42" i="45"/>
  <c r="H43" i="45"/>
  <c r="H40" i="45"/>
  <c r="H41" i="45"/>
  <c r="H39" i="45"/>
  <c r="H44" i="45"/>
  <c r="M35" i="45"/>
  <c r="K40" i="45"/>
  <c r="K41" i="45"/>
  <c r="K42" i="45"/>
  <c r="K37" i="45"/>
  <c r="K39" i="45"/>
  <c r="K144" i="45" a="1"/>
  <c r="K38" i="45"/>
  <c r="K43" i="45"/>
  <c r="K44" i="45"/>
  <c r="Z34" i="45"/>
  <c r="Y144" i="45" a="1"/>
  <c r="Y42" i="45"/>
  <c r="Y41" i="45"/>
  <c r="Y40" i="45"/>
  <c r="Y38" i="45"/>
  <c r="Y39" i="45"/>
  <c r="Y44" i="45"/>
  <c r="Y37" i="45"/>
  <c r="Y43" i="45"/>
  <c r="I35" i="45"/>
  <c r="G38" i="45"/>
  <c r="G40" i="45"/>
  <c r="G41" i="45"/>
  <c r="G44" i="45"/>
  <c r="G43" i="45"/>
  <c r="G37" i="45"/>
  <c r="G42" i="45"/>
  <c r="G39" i="45"/>
  <c r="G144" i="45" a="1"/>
  <c r="L38" i="45"/>
  <c r="L40" i="45"/>
  <c r="L37" i="45"/>
  <c r="L44" i="45"/>
  <c r="L41" i="45"/>
  <c r="L39" i="45"/>
  <c r="L42" i="45"/>
  <c r="L43" i="45"/>
  <c r="L144" i="45" a="1"/>
  <c r="AG35" i="45"/>
  <c r="AE144" i="45" a="1"/>
  <c r="AE43" i="45"/>
  <c r="AE37" i="45"/>
  <c r="AE41" i="45"/>
  <c r="AE38" i="45"/>
  <c r="AE39" i="45"/>
  <c r="AE44" i="45"/>
  <c r="AE42" i="45"/>
  <c r="AE40" i="45"/>
  <c r="BW35" i="45"/>
  <c r="BU37" i="45"/>
  <c r="BU41" i="45"/>
  <c r="BU43" i="45"/>
  <c r="BU40" i="45"/>
  <c r="BU39" i="45"/>
  <c r="BU44" i="45"/>
  <c r="BU38" i="45"/>
  <c r="BU42" i="45"/>
  <c r="BU144" i="45" a="1"/>
  <c r="AY35" i="45"/>
  <c r="AW37" i="45"/>
  <c r="AW39" i="45"/>
  <c r="AW38" i="45"/>
  <c r="AW144" i="45" a="1"/>
  <c r="AW44" i="45"/>
  <c r="AW43" i="45"/>
  <c r="AW42" i="45"/>
  <c r="AW40" i="45"/>
  <c r="AW41" i="45"/>
  <c r="BS35" i="45"/>
  <c r="BQ40" i="45"/>
  <c r="BQ43" i="45"/>
  <c r="BQ38" i="45"/>
  <c r="BQ39" i="45"/>
  <c r="BQ44" i="45"/>
  <c r="BQ37" i="45"/>
  <c r="BQ41" i="45"/>
  <c r="BQ144" i="45" a="1"/>
  <c r="BQ42" i="45"/>
  <c r="AF37" i="45"/>
  <c r="AF38" i="45"/>
  <c r="AF39" i="45"/>
  <c r="AF43" i="45"/>
  <c r="AF144" i="45" a="1"/>
  <c r="AF41" i="45"/>
  <c r="AF44" i="45"/>
  <c r="AF40" i="45"/>
  <c r="AF42" i="45"/>
  <c r="BV38" i="45"/>
  <c r="BV40" i="45"/>
  <c r="BV144" i="45" a="1"/>
  <c r="BV39" i="45"/>
  <c r="BV43" i="45"/>
  <c r="BV41" i="45"/>
  <c r="BV37" i="45"/>
  <c r="BV44" i="45"/>
  <c r="BV42" i="45"/>
  <c r="AX37" i="45"/>
  <c r="AX144" i="45" a="1"/>
  <c r="AX44" i="45"/>
  <c r="AX42" i="45"/>
  <c r="AX40" i="45"/>
  <c r="AX39" i="45"/>
  <c r="AX41" i="45"/>
  <c r="AX43" i="45"/>
  <c r="AX38" i="45"/>
  <c r="W167" i="45"/>
  <c r="W155" i="45"/>
  <c r="W168" i="45"/>
  <c r="W173" i="45"/>
  <c r="W172" i="45"/>
  <c r="W150" i="45"/>
  <c r="W148" i="45"/>
  <c r="W169" i="45"/>
  <c r="W152" i="45"/>
  <c r="W149" i="45"/>
  <c r="W147" i="45"/>
  <c r="W154" i="45"/>
  <c r="W162" i="45"/>
  <c r="W158" i="45"/>
  <c r="W165" i="45"/>
  <c r="W153" i="45"/>
  <c r="W156" i="45"/>
  <c r="W145" i="45"/>
  <c r="W166" i="45"/>
  <c r="W164" i="45"/>
  <c r="W163" i="45"/>
  <c r="W160" i="45"/>
  <c r="W151" i="45"/>
  <c r="W170" i="45"/>
  <c r="W144" i="45"/>
  <c r="W171" i="45"/>
  <c r="W146" i="45"/>
  <c r="W157" i="45"/>
  <c r="W161" i="45"/>
  <c r="W159" i="45"/>
  <c r="BJ39" i="45"/>
  <c r="BJ144" i="45" a="1"/>
  <c r="BJ44" i="45"/>
  <c r="BJ38" i="45"/>
  <c r="BJ41" i="45"/>
  <c r="BJ42" i="45"/>
  <c r="BJ37" i="45"/>
  <c r="BJ43" i="45"/>
  <c r="BJ40" i="45"/>
  <c r="BO35" i="45"/>
  <c r="BM40" i="45"/>
  <c r="BM144" i="45" a="1"/>
  <c r="BM39" i="45"/>
  <c r="BM41" i="45"/>
  <c r="BM38" i="45"/>
  <c r="BM37" i="45"/>
  <c r="BM43" i="45"/>
  <c r="BM44" i="45"/>
  <c r="BM42" i="45"/>
  <c r="E35" i="45"/>
  <c r="C38" i="45"/>
  <c r="C43" i="45"/>
  <c r="C39" i="45"/>
  <c r="C144" i="45" a="1"/>
  <c r="C44" i="45"/>
  <c r="C37" i="45"/>
  <c r="C41" i="45"/>
  <c r="C40" i="45"/>
  <c r="C42" i="45"/>
  <c r="X119" i="45"/>
  <c r="X117" i="45"/>
  <c r="X121" i="45"/>
  <c r="X132" i="45"/>
  <c r="X116" i="45"/>
  <c r="X128" i="45"/>
  <c r="X134" i="45"/>
  <c r="X120" i="45"/>
  <c r="X111" i="45"/>
  <c r="X129" i="45"/>
  <c r="X118" i="45"/>
  <c r="X114" i="45"/>
  <c r="X110" i="45"/>
  <c r="X137" i="45"/>
  <c r="X127" i="45"/>
  <c r="X123" i="45"/>
  <c r="X136" i="45"/>
  <c r="X138" i="45"/>
  <c r="X122" i="45"/>
  <c r="X126" i="45"/>
  <c r="X130" i="45"/>
  <c r="X131" i="45"/>
  <c r="X133" i="45"/>
  <c r="X135" i="45"/>
  <c r="X115" i="45"/>
  <c r="X124" i="45"/>
  <c r="X112" i="45"/>
  <c r="X113" i="45"/>
  <c r="X125" i="45"/>
  <c r="X139" i="45"/>
  <c r="BK35" i="45"/>
  <c r="BI144" i="45" a="1"/>
  <c r="BI40" i="45"/>
  <c r="BI44" i="45"/>
  <c r="BI38" i="45"/>
  <c r="BI37" i="45"/>
  <c r="BI39" i="45"/>
  <c r="BI41" i="45"/>
  <c r="BI42" i="45"/>
  <c r="BI43" i="45"/>
  <c r="BN41" i="45"/>
  <c r="BN40" i="45"/>
  <c r="BN43" i="45"/>
  <c r="BN44" i="45"/>
  <c r="BN39" i="45"/>
  <c r="BN37" i="45"/>
  <c r="BN144" i="45" a="1"/>
  <c r="BN38" i="45"/>
  <c r="BN42" i="45"/>
  <c r="D44" i="45"/>
  <c r="D40" i="45"/>
  <c r="D39" i="45"/>
  <c r="D144" i="45" a="1"/>
  <c r="D41" i="45"/>
  <c r="D38" i="45"/>
  <c r="D37" i="45"/>
  <c r="D42" i="45"/>
  <c r="D43" i="45"/>
  <c r="T144" i="45" a="1"/>
  <c r="T44" i="45"/>
  <c r="T43" i="45"/>
  <c r="T40" i="45"/>
  <c r="T39" i="45"/>
  <c r="T38" i="45"/>
  <c r="T41" i="45"/>
  <c r="T37" i="45"/>
  <c r="T42" i="45"/>
  <c r="AP43" i="45"/>
  <c r="AP42" i="45"/>
  <c r="AP37" i="45"/>
  <c r="AP40" i="45"/>
  <c r="AP144" i="45" a="1"/>
  <c r="AP39" i="45"/>
  <c r="AP44" i="45"/>
  <c r="AP38" i="45"/>
  <c r="AP41" i="45"/>
  <c r="AC35" i="45"/>
  <c r="AA144" i="45" a="1"/>
  <c r="AA41" i="45"/>
  <c r="AA40" i="45"/>
  <c r="AA37" i="45"/>
  <c r="AA38" i="45"/>
  <c r="AA42" i="45"/>
  <c r="AA39" i="45"/>
  <c r="AA44" i="45"/>
  <c r="AA43" i="45"/>
  <c r="AJ132" i="45"/>
  <c r="AJ133" i="45"/>
  <c r="AJ134" i="45"/>
  <c r="AJ135" i="45"/>
  <c r="AJ136" i="45"/>
  <c r="AJ137" i="45"/>
  <c r="AJ138" i="45"/>
  <c r="AJ139" i="45"/>
  <c r="AJ128" i="45"/>
  <c r="AJ120" i="45"/>
  <c r="AJ125" i="45"/>
  <c r="AJ126" i="45"/>
  <c r="AJ127" i="45"/>
  <c r="AJ119" i="45"/>
  <c r="AJ124" i="45"/>
  <c r="AJ129" i="45"/>
  <c r="AJ121" i="45"/>
  <c r="AJ130" i="45"/>
  <c r="AJ122" i="45"/>
  <c r="AJ111" i="45"/>
  <c r="AJ123" i="45"/>
  <c r="AJ112" i="45"/>
  <c r="AJ110" i="45"/>
  <c r="AJ114" i="45"/>
  <c r="AJ116" i="45"/>
  <c r="AJ131" i="45"/>
  <c r="AJ113" i="45"/>
  <c r="AJ115" i="45"/>
  <c r="AJ117" i="45"/>
  <c r="AJ118" i="45"/>
  <c r="U35" i="45"/>
  <c r="S144" i="45" a="1"/>
  <c r="S37" i="45"/>
  <c r="S42" i="45"/>
  <c r="S38" i="45"/>
  <c r="S41" i="45"/>
  <c r="S44" i="45"/>
  <c r="S40" i="45"/>
  <c r="S39" i="45"/>
  <c r="S43" i="45"/>
  <c r="AQ35" i="45"/>
  <c r="AO41" i="45"/>
  <c r="AO42" i="45"/>
  <c r="AO40" i="45"/>
  <c r="AO37" i="45"/>
  <c r="AO38" i="45"/>
  <c r="AO144" i="45" a="1"/>
  <c r="AO39" i="45"/>
  <c r="AO43" i="45"/>
  <c r="AO44" i="45"/>
  <c r="AB144" i="45" a="1"/>
  <c r="AB40" i="45"/>
  <c r="AB41" i="45"/>
  <c r="AB43" i="45"/>
  <c r="AB42" i="45"/>
  <c r="AB44" i="45"/>
  <c r="AB39" i="45"/>
  <c r="AB37" i="45"/>
  <c r="AB38" i="45"/>
  <c r="AJ146" i="45"/>
  <c r="AJ152" i="45"/>
  <c r="AJ171" i="45"/>
  <c r="AJ157" i="45"/>
  <c r="AJ167" i="45"/>
  <c r="AJ155" i="45"/>
  <c r="AJ169" i="45"/>
  <c r="AJ148" i="45"/>
  <c r="AJ163" i="45"/>
  <c r="AJ159" i="45"/>
  <c r="AJ168" i="45"/>
  <c r="AJ172" i="45"/>
  <c r="AJ147" i="45"/>
  <c r="AJ166" i="45"/>
  <c r="AJ173" i="45"/>
  <c r="AJ151" i="45"/>
  <c r="AJ153" i="45"/>
  <c r="AJ144" i="45"/>
  <c r="AJ170" i="45"/>
  <c r="AJ156" i="45"/>
  <c r="AJ164" i="45"/>
  <c r="AJ165" i="45"/>
  <c r="AJ160" i="45"/>
  <c r="AJ149" i="45"/>
  <c r="AJ161" i="45"/>
  <c r="AJ158" i="45"/>
  <c r="AJ150" i="45"/>
  <c r="AJ154" i="45"/>
  <c r="AJ162" i="45"/>
  <c r="AJ145" i="45"/>
  <c r="BF42" i="45"/>
  <c r="BF37" i="45"/>
  <c r="BF41" i="45"/>
  <c r="BF144" i="45" a="1"/>
  <c r="BF43" i="45"/>
  <c r="BF44" i="45"/>
  <c r="BF38" i="45"/>
  <c r="BF39" i="45"/>
  <c r="BF40" i="45"/>
  <c r="AU35" i="45"/>
  <c r="AS144" i="45" a="1"/>
  <c r="AS38" i="45"/>
  <c r="AS43" i="45"/>
  <c r="AS40" i="45"/>
  <c r="AS39" i="45"/>
  <c r="AS44" i="45"/>
  <c r="AS41" i="45"/>
  <c r="AS42" i="45"/>
  <c r="AS37" i="45"/>
  <c r="AK35" i="45"/>
  <c r="AI144" i="45" a="1"/>
  <c r="AI44" i="45"/>
  <c r="AI43" i="45"/>
  <c r="AI42" i="45"/>
  <c r="AI37" i="45"/>
  <c r="AI41" i="45"/>
  <c r="AI39" i="45"/>
  <c r="AI40" i="45"/>
  <c r="AI38" i="45"/>
  <c r="P42" i="45"/>
  <c r="P144" i="45" a="1"/>
  <c r="P40" i="45"/>
  <c r="P44" i="45"/>
  <c r="P38" i="45"/>
  <c r="P39" i="45"/>
  <c r="P43" i="45"/>
  <c r="P37" i="45"/>
  <c r="P41" i="45"/>
  <c r="W129" i="45"/>
  <c r="W130" i="45"/>
  <c r="W131" i="45"/>
  <c r="W132" i="45"/>
  <c r="W133" i="45"/>
  <c r="W134" i="45"/>
  <c r="W135" i="45"/>
  <c r="W136" i="45"/>
  <c r="W137" i="45"/>
  <c r="W138" i="45"/>
  <c r="W139" i="45"/>
  <c r="W113" i="45"/>
  <c r="W121" i="45"/>
  <c r="W116" i="45"/>
  <c r="W123" i="45"/>
  <c r="W118" i="45"/>
  <c r="W126" i="45"/>
  <c r="W110" i="45"/>
  <c r="W127" i="45"/>
  <c r="W111" i="45"/>
  <c r="W128" i="45"/>
  <c r="W112" i="45"/>
  <c r="W122" i="45"/>
  <c r="W120" i="45"/>
  <c r="W124" i="45"/>
  <c r="W114" i="45"/>
  <c r="W125" i="45"/>
  <c r="W115" i="45"/>
  <c r="W117" i="45"/>
  <c r="W119" i="45"/>
  <c r="BG35" i="45"/>
  <c r="BE40" i="45"/>
  <c r="BE38" i="45"/>
  <c r="BE44" i="45"/>
  <c r="BE144" i="45" a="1"/>
  <c r="BE37" i="45"/>
  <c r="BE43" i="45"/>
  <c r="BE42" i="45"/>
  <c r="BE39" i="45"/>
  <c r="BE41" i="45"/>
  <c r="AT144" i="45" a="1"/>
  <c r="AT43" i="45"/>
  <c r="AT40" i="45"/>
  <c r="AT38" i="45"/>
  <c r="AT37" i="45"/>
  <c r="AT39" i="45"/>
  <c r="AT42" i="45"/>
  <c r="AT41" i="45"/>
  <c r="AT44" i="45"/>
  <c r="BB43" i="45"/>
  <c r="BB41" i="45"/>
  <c r="BB144" i="45" a="1"/>
  <c r="BB38" i="45"/>
  <c r="BB40" i="45"/>
  <c r="BB39" i="45"/>
  <c r="BB42" i="45"/>
  <c r="BB44" i="45"/>
  <c r="BB37" i="45"/>
  <c r="Q35" i="45"/>
  <c r="O144" i="45" a="1"/>
  <c r="O44" i="45"/>
  <c r="O38" i="45"/>
  <c r="O39" i="45"/>
  <c r="O41" i="45"/>
  <c r="O40" i="45"/>
  <c r="O37" i="45"/>
  <c r="O42" i="45"/>
  <c r="O43" i="45"/>
  <c r="BR37" i="45"/>
  <c r="BR40" i="45"/>
  <c r="BR43" i="45"/>
  <c r="BR38" i="45"/>
  <c r="BR42" i="45"/>
  <c r="BR44" i="45"/>
  <c r="BR39" i="45"/>
  <c r="BR41" i="45"/>
  <c r="BR144" i="45" a="1"/>
  <c r="BC35" i="45"/>
  <c r="BA144" i="45" a="1"/>
  <c r="BA43" i="45"/>
  <c r="BA39" i="45"/>
  <c r="BA44" i="45"/>
  <c r="BA42" i="45"/>
  <c r="BA37" i="45"/>
  <c r="BA40" i="45"/>
  <c r="BA41" i="45"/>
  <c r="BA38" i="45"/>
  <c r="AI129" i="45" l="1"/>
  <c r="AI130" i="45"/>
  <c r="AI131" i="45"/>
  <c r="AI132" i="45"/>
  <c r="AI133" i="45"/>
  <c r="AI134" i="45"/>
  <c r="AI135" i="45"/>
  <c r="AI136" i="45"/>
  <c r="AI137" i="45"/>
  <c r="AI138" i="45"/>
  <c r="AI139" i="45"/>
  <c r="AI121" i="45"/>
  <c r="AI116" i="45"/>
  <c r="AI123" i="45"/>
  <c r="AI118" i="45"/>
  <c r="AI126" i="45"/>
  <c r="AI127" i="45"/>
  <c r="AI128" i="45"/>
  <c r="AI122" i="45"/>
  <c r="AI117" i="45"/>
  <c r="AI111" i="45"/>
  <c r="AI112" i="45"/>
  <c r="AI110" i="45"/>
  <c r="AI113" i="45"/>
  <c r="AI114" i="45"/>
  <c r="AI119" i="45"/>
  <c r="AI115" i="45"/>
  <c r="AI120" i="45"/>
  <c r="AI124" i="45"/>
  <c r="AI125" i="45"/>
  <c r="BF157" i="45"/>
  <c r="BF173" i="45"/>
  <c r="BF167" i="45"/>
  <c r="BF150" i="45"/>
  <c r="BF169" i="45"/>
  <c r="BF148" i="45"/>
  <c r="BF147" i="45"/>
  <c r="BF146" i="45"/>
  <c r="BF166" i="45"/>
  <c r="BF158" i="45"/>
  <c r="BF155" i="45"/>
  <c r="BF164" i="45"/>
  <c r="BF163" i="45"/>
  <c r="BF153" i="45"/>
  <c r="BF152" i="45"/>
  <c r="BF171" i="45"/>
  <c r="BF161" i="45"/>
  <c r="BF144" i="45"/>
  <c r="BF154" i="45"/>
  <c r="BF149" i="45"/>
  <c r="BF156" i="45"/>
  <c r="BF145" i="45"/>
  <c r="BF162" i="45"/>
  <c r="BF159" i="45"/>
  <c r="BF170" i="45"/>
  <c r="BF165" i="45"/>
  <c r="BF151" i="45"/>
  <c r="BF172" i="45"/>
  <c r="BF168" i="45"/>
  <c r="BF160" i="45"/>
  <c r="AP123" i="45"/>
  <c r="AP132" i="45"/>
  <c r="AP112" i="45"/>
  <c r="AP134" i="45"/>
  <c r="AP125" i="45"/>
  <c r="AP127" i="45"/>
  <c r="AP110" i="45"/>
  <c r="AP136" i="45"/>
  <c r="AP117" i="45"/>
  <c r="AP111" i="45"/>
  <c r="AP138" i="45"/>
  <c r="AP139" i="45"/>
  <c r="AP118" i="45"/>
  <c r="AP120" i="45"/>
  <c r="AP119" i="45"/>
  <c r="AP129" i="45"/>
  <c r="AP126" i="45"/>
  <c r="AP130" i="45"/>
  <c r="AP114" i="45"/>
  <c r="AP131" i="45"/>
  <c r="AP115" i="45"/>
  <c r="AP133" i="45"/>
  <c r="AP122" i="45"/>
  <c r="AP135" i="45"/>
  <c r="AP128" i="45"/>
  <c r="AP137" i="45"/>
  <c r="AP113" i="45"/>
  <c r="AP121" i="45"/>
  <c r="AP124" i="45"/>
  <c r="AP116" i="45"/>
  <c r="T166" i="45"/>
  <c r="T163" i="45"/>
  <c r="T153" i="45"/>
  <c r="T172" i="45"/>
  <c r="T155" i="45"/>
  <c r="T158" i="45"/>
  <c r="T147" i="45"/>
  <c r="T173" i="45"/>
  <c r="T170" i="45"/>
  <c r="T160" i="45"/>
  <c r="T159" i="45"/>
  <c r="T151" i="45"/>
  <c r="T168" i="45"/>
  <c r="T165" i="45"/>
  <c r="T157" i="45"/>
  <c r="T146" i="45"/>
  <c r="T150" i="45"/>
  <c r="T164" i="45"/>
  <c r="T167" i="45"/>
  <c r="T169" i="45"/>
  <c r="T162" i="45"/>
  <c r="T161" i="45"/>
  <c r="T154" i="45"/>
  <c r="T148" i="45"/>
  <c r="T149" i="45"/>
  <c r="T152" i="45"/>
  <c r="T171" i="45"/>
  <c r="T156" i="45"/>
  <c r="T145" i="45"/>
  <c r="T144" i="45"/>
  <c r="BN160" i="45"/>
  <c r="BN157" i="45"/>
  <c r="BN144" i="45"/>
  <c r="BN168" i="45"/>
  <c r="BN165" i="45"/>
  <c r="BN148" i="45"/>
  <c r="BN172" i="45"/>
  <c r="BN169" i="45"/>
  <c r="BN154" i="45"/>
  <c r="BN151" i="45"/>
  <c r="BN145" i="45"/>
  <c r="BN156" i="45"/>
  <c r="BN153" i="45"/>
  <c r="BN158" i="45"/>
  <c r="BN155" i="45"/>
  <c r="BN146" i="45"/>
  <c r="BN167" i="45"/>
  <c r="BN150" i="45"/>
  <c r="BN171" i="45"/>
  <c r="BN152" i="45"/>
  <c r="BN173" i="45"/>
  <c r="BN166" i="45"/>
  <c r="BN170" i="45"/>
  <c r="BN147" i="45"/>
  <c r="BN149" i="45"/>
  <c r="BN159" i="45"/>
  <c r="BN161" i="45"/>
  <c r="BN163" i="45"/>
  <c r="BN162" i="45"/>
  <c r="BN164" i="45"/>
  <c r="C128" i="45"/>
  <c r="C136" i="45"/>
  <c r="C118" i="45"/>
  <c r="C131" i="45"/>
  <c r="C138" i="45"/>
  <c r="C116" i="45"/>
  <c r="C133" i="45"/>
  <c r="C113" i="45"/>
  <c r="C121" i="45"/>
  <c r="C123" i="45"/>
  <c r="C114" i="45"/>
  <c r="C135" i="45"/>
  <c r="C126" i="45"/>
  <c r="C137" i="45"/>
  <c r="C120" i="45"/>
  <c r="C139" i="45"/>
  <c r="C122" i="45"/>
  <c r="C111" i="45"/>
  <c r="C112" i="45"/>
  <c r="C119" i="45"/>
  <c r="C117" i="45"/>
  <c r="C127" i="45"/>
  <c r="C110" i="45"/>
  <c r="C130" i="45"/>
  <c r="C124" i="45"/>
  <c r="C132" i="45"/>
  <c r="C134" i="45"/>
  <c r="C125" i="45"/>
  <c r="C115" i="45"/>
  <c r="C129" i="45"/>
  <c r="AW119" i="45"/>
  <c r="AW129" i="45"/>
  <c r="AW139" i="45"/>
  <c r="AW121" i="45"/>
  <c r="AW133" i="45"/>
  <c r="AW112" i="45"/>
  <c r="AW128" i="45"/>
  <c r="AW116" i="45"/>
  <c r="AW110" i="45"/>
  <c r="AW111" i="45"/>
  <c r="AW124" i="45"/>
  <c r="AW135" i="45"/>
  <c r="AW115" i="45"/>
  <c r="AW118" i="45"/>
  <c r="AW137" i="45"/>
  <c r="AW134" i="45"/>
  <c r="AW122" i="45"/>
  <c r="AW138" i="45"/>
  <c r="AW132" i="45"/>
  <c r="AW126" i="45"/>
  <c r="AW114" i="45"/>
  <c r="AW136" i="45"/>
  <c r="AW123" i="45"/>
  <c r="AW113" i="45"/>
  <c r="AW117" i="45"/>
  <c r="AW125" i="45"/>
  <c r="AW120" i="45"/>
  <c r="AW127" i="45"/>
  <c r="AW130" i="45"/>
  <c r="AW131" i="45"/>
  <c r="L110" i="45"/>
  <c r="L133" i="45"/>
  <c r="L127" i="45"/>
  <c r="L118" i="45"/>
  <c r="L134" i="45"/>
  <c r="L121" i="45"/>
  <c r="L122" i="45"/>
  <c r="L111" i="45"/>
  <c r="L129" i="45"/>
  <c r="L117" i="45"/>
  <c r="L128" i="45"/>
  <c r="L119" i="45"/>
  <c r="L131" i="45"/>
  <c r="L137" i="45"/>
  <c r="L124" i="45"/>
  <c r="L126" i="45"/>
  <c r="L135" i="45"/>
  <c r="L136" i="45"/>
  <c r="L123" i="45"/>
  <c r="L138" i="45"/>
  <c r="L125" i="45"/>
  <c r="L115" i="45"/>
  <c r="L113" i="45"/>
  <c r="L112" i="45"/>
  <c r="L139" i="45"/>
  <c r="L114" i="45"/>
  <c r="L116" i="45"/>
  <c r="L120" i="45"/>
  <c r="L130" i="45"/>
  <c r="L132" i="45"/>
  <c r="BA130" i="45"/>
  <c r="BA131" i="45"/>
  <c r="BA132" i="45"/>
  <c r="BA133" i="45"/>
  <c r="BA134" i="45"/>
  <c r="BA135" i="45"/>
  <c r="BA136" i="45"/>
  <c r="BA137" i="45"/>
  <c r="BA138" i="45"/>
  <c r="BA139" i="45"/>
  <c r="BA126" i="45"/>
  <c r="BA113" i="45"/>
  <c r="BA116" i="45"/>
  <c r="BA118" i="45"/>
  <c r="BA123" i="45"/>
  <c r="BA121" i="45"/>
  <c r="BA124" i="45"/>
  <c r="BA110" i="45"/>
  <c r="BA125" i="45"/>
  <c r="BA112" i="45"/>
  <c r="BA122" i="45"/>
  <c r="BA120" i="45"/>
  <c r="BA127" i="45"/>
  <c r="BA128" i="45"/>
  <c r="BA115" i="45"/>
  <c r="BA129" i="45"/>
  <c r="BA117" i="45"/>
  <c r="BA119" i="45"/>
  <c r="BA111" i="45"/>
  <c r="BA114" i="45"/>
  <c r="AO118" i="45"/>
  <c r="AO137" i="45"/>
  <c r="AO117" i="45"/>
  <c r="AO120" i="45"/>
  <c r="AO116" i="45"/>
  <c r="AO110" i="45"/>
  <c r="AO128" i="45"/>
  <c r="AO126" i="45"/>
  <c r="AO124" i="45"/>
  <c r="AO136" i="45"/>
  <c r="AO127" i="45"/>
  <c r="AO113" i="45"/>
  <c r="AO138" i="45"/>
  <c r="AO112" i="45"/>
  <c r="AO121" i="45"/>
  <c r="AO129" i="45"/>
  <c r="AO125" i="45"/>
  <c r="AO130" i="45"/>
  <c r="AO111" i="45"/>
  <c r="AO131" i="45"/>
  <c r="AO115" i="45"/>
  <c r="AO132" i="45"/>
  <c r="AO119" i="45"/>
  <c r="AO133" i="45"/>
  <c r="AO123" i="45"/>
  <c r="AO134" i="45"/>
  <c r="AO114" i="45"/>
  <c r="AO135" i="45"/>
  <c r="AO122" i="45"/>
  <c r="AO139" i="45"/>
  <c r="S149" i="45"/>
  <c r="S170" i="45"/>
  <c r="S163" i="45"/>
  <c r="S168" i="45"/>
  <c r="S151" i="45"/>
  <c r="S165" i="45"/>
  <c r="S147" i="45"/>
  <c r="S162" i="45"/>
  <c r="S171" i="45"/>
  <c r="S173" i="45"/>
  <c r="S155" i="45"/>
  <c r="S145" i="45"/>
  <c r="S152" i="45"/>
  <c r="S157" i="45"/>
  <c r="S164" i="45"/>
  <c r="S146" i="45"/>
  <c r="S154" i="45"/>
  <c r="S167" i="45"/>
  <c r="S148" i="45"/>
  <c r="S159" i="45"/>
  <c r="S144" i="45"/>
  <c r="S166" i="45"/>
  <c r="S158" i="45"/>
  <c r="S172" i="45"/>
  <c r="S160" i="45"/>
  <c r="S169" i="45"/>
  <c r="S153" i="45"/>
  <c r="S150" i="45"/>
  <c r="S156" i="45"/>
  <c r="S161" i="45"/>
  <c r="BV172" i="45"/>
  <c r="BV154" i="45"/>
  <c r="BV170" i="45"/>
  <c r="BV157" i="45"/>
  <c r="BV156" i="45"/>
  <c r="BV168" i="45"/>
  <c r="BV150" i="45"/>
  <c r="BV159" i="45"/>
  <c r="BV171" i="45"/>
  <c r="BV158" i="45"/>
  <c r="BV148" i="45"/>
  <c r="BV161" i="45"/>
  <c r="BV160" i="45"/>
  <c r="BV144" i="45"/>
  <c r="BV173" i="45"/>
  <c r="BV146" i="45"/>
  <c r="BV152" i="45"/>
  <c r="BV163" i="45"/>
  <c r="BV164" i="45"/>
  <c r="BV165" i="45"/>
  <c r="BV155" i="45"/>
  <c r="BV167" i="45"/>
  <c r="BV147" i="45"/>
  <c r="BV149" i="45"/>
  <c r="BV151" i="45"/>
  <c r="BV169" i="45"/>
  <c r="BV166" i="45"/>
  <c r="BV145" i="45"/>
  <c r="BV162" i="45"/>
  <c r="BV153" i="45"/>
  <c r="Y51" i="45"/>
  <c r="Y60" i="45"/>
  <c r="Y66" i="45"/>
  <c r="Y56" i="45"/>
  <c r="Y58" i="45" s="1"/>
  <c r="K145" i="45"/>
  <c r="K156" i="45"/>
  <c r="K165" i="45"/>
  <c r="K148" i="45"/>
  <c r="K160" i="45"/>
  <c r="K163" i="45"/>
  <c r="K150" i="45"/>
  <c r="K162" i="45"/>
  <c r="K153" i="45"/>
  <c r="K164" i="45"/>
  <c r="K154" i="45"/>
  <c r="K168" i="45"/>
  <c r="K155" i="45"/>
  <c r="K172" i="45"/>
  <c r="K166" i="45"/>
  <c r="K170" i="45"/>
  <c r="K146" i="45"/>
  <c r="K171" i="45"/>
  <c r="K161" i="45"/>
  <c r="K167" i="45"/>
  <c r="K173" i="45"/>
  <c r="K169" i="45"/>
  <c r="K144" i="45"/>
  <c r="K147" i="45"/>
  <c r="K149" i="45"/>
  <c r="K151" i="45"/>
  <c r="K152" i="45"/>
  <c r="K157" i="45"/>
  <c r="K158" i="45"/>
  <c r="K159" i="45"/>
  <c r="AP149" i="45"/>
  <c r="AP173" i="45"/>
  <c r="AP168" i="45"/>
  <c r="AP153" i="45"/>
  <c r="AP148" i="45"/>
  <c r="AP172" i="45"/>
  <c r="AP171" i="45"/>
  <c r="AP146" i="45"/>
  <c r="AP145" i="45"/>
  <c r="AP144" i="45"/>
  <c r="AP147" i="45"/>
  <c r="AP150" i="45"/>
  <c r="AP151" i="45"/>
  <c r="AP152" i="45"/>
  <c r="AP155" i="45"/>
  <c r="AP154" i="45"/>
  <c r="AP157" i="45"/>
  <c r="AP156" i="45"/>
  <c r="AP159" i="45"/>
  <c r="AP158" i="45"/>
  <c r="AP161" i="45"/>
  <c r="AP160" i="45"/>
  <c r="AP163" i="45"/>
  <c r="AP162" i="45"/>
  <c r="AP165" i="45"/>
  <c r="AP164" i="45"/>
  <c r="AP167" i="45"/>
  <c r="AP166" i="45"/>
  <c r="AP169" i="45"/>
  <c r="AP170" i="45"/>
  <c r="O145" i="45"/>
  <c r="O163" i="45"/>
  <c r="O165" i="45"/>
  <c r="O157" i="45"/>
  <c r="O153" i="45"/>
  <c r="O173" i="45"/>
  <c r="O147" i="45"/>
  <c r="O159" i="45"/>
  <c r="O160" i="45"/>
  <c r="O167" i="45"/>
  <c r="O170" i="45"/>
  <c r="O164" i="45"/>
  <c r="O144" i="45"/>
  <c r="O162" i="45"/>
  <c r="O151" i="45"/>
  <c r="O146" i="45"/>
  <c r="O148" i="45"/>
  <c r="O171" i="45"/>
  <c r="O155" i="45"/>
  <c r="O166" i="45"/>
  <c r="O168" i="45"/>
  <c r="O152" i="45"/>
  <c r="O154" i="45"/>
  <c r="O169" i="45"/>
  <c r="O150" i="45"/>
  <c r="O172" i="45"/>
  <c r="O156" i="45"/>
  <c r="O161" i="45"/>
  <c r="O158" i="45"/>
  <c r="O149" i="45"/>
  <c r="AS128" i="45"/>
  <c r="AS129" i="45"/>
  <c r="AS130" i="45"/>
  <c r="AS131" i="45"/>
  <c r="AS132" i="45"/>
  <c r="AS133" i="45"/>
  <c r="AS134" i="45"/>
  <c r="AS135" i="45"/>
  <c r="AS136" i="45"/>
  <c r="AS137" i="45"/>
  <c r="AS138" i="45"/>
  <c r="AS139" i="45"/>
  <c r="AS124" i="45"/>
  <c r="AS116" i="45"/>
  <c r="AS110" i="45"/>
  <c r="AS121" i="45"/>
  <c r="AS113" i="45"/>
  <c r="AS122" i="45"/>
  <c r="AS114" i="45"/>
  <c r="AS123" i="45"/>
  <c r="AS115" i="45"/>
  <c r="AS120" i="45"/>
  <c r="AS112" i="45"/>
  <c r="AS125" i="45"/>
  <c r="AS126" i="45"/>
  <c r="AS127" i="45"/>
  <c r="AS117" i="45"/>
  <c r="AS118" i="45"/>
  <c r="AS111" i="45"/>
  <c r="AS119" i="45"/>
  <c r="V35" i="45"/>
  <c r="U37" i="45"/>
  <c r="U144" i="45" a="1"/>
  <c r="U38" i="45"/>
  <c r="U39" i="45"/>
  <c r="U42" i="45"/>
  <c r="U40" i="45"/>
  <c r="U43" i="45"/>
  <c r="U44" i="45"/>
  <c r="U41" i="45"/>
  <c r="BI127" i="45"/>
  <c r="BI128" i="45"/>
  <c r="BI129" i="45"/>
  <c r="BI130" i="45"/>
  <c r="BI131" i="45"/>
  <c r="BI132" i="45"/>
  <c r="BI133" i="45"/>
  <c r="BI134" i="45"/>
  <c r="BI135" i="45"/>
  <c r="BI136" i="45"/>
  <c r="BI137" i="45"/>
  <c r="BI138" i="45"/>
  <c r="BI139" i="45"/>
  <c r="BI119" i="45"/>
  <c r="BI123" i="45"/>
  <c r="BI115" i="45"/>
  <c r="BI125" i="45"/>
  <c r="BI117" i="45"/>
  <c r="BI116" i="45"/>
  <c r="BI111" i="45"/>
  <c r="BI110" i="45"/>
  <c r="BI112" i="45"/>
  <c r="BI113" i="45"/>
  <c r="BI120" i="45"/>
  <c r="BI121" i="45"/>
  <c r="BI114" i="45"/>
  <c r="BI122" i="45"/>
  <c r="BI118" i="45"/>
  <c r="BI124" i="45"/>
  <c r="BI126" i="45"/>
  <c r="BJ166" i="45"/>
  <c r="BJ159" i="45"/>
  <c r="BJ146" i="45"/>
  <c r="BJ145" i="45"/>
  <c r="BJ163" i="45"/>
  <c r="BJ151" i="45"/>
  <c r="BJ158" i="45"/>
  <c r="BJ148" i="45"/>
  <c r="BJ152" i="45"/>
  <c r="BJ144" i="45"/>
  <c r="BJ172" i="45"/>
  <c r="BJ153" i="45"/>
  <c r="BJ164" i="45"/>
  <c r="BJ157" i="45"/>
  <c r="BJ167" i="45"/>
  <c r="BJ161" i="45"/>
  <c r="BJ171" i="45"/>
  <c r="BJ165" i="45"/>
  <c r="BJ160" i="45"/>
  <c r="BJ170" i="45"/>
  <c r="BJ156" i="45"/>
  <c r="BJ155" i="45"/>
  <c r="BJ147" i="45"/>
  <c r="BJ162" i="45"/>
  <c r="BJ169" i="45"/>
  <c r="BJ154" i="45"/>
  <c r="BJ173" i="45"/>
  <c r="BJ149" i="45"/>
  <c r="BJ150" i="45"/>
  <c r="BJ168" i="45"/>
  <c r="AX111" i="45"/>
  <c r="AX117" i="45"/>
  <c r="AX113" i="45"/>
  <c r="AX115" i="45"/>
  <c r="AX130" i="45"/>
  <c r="AX110" i="45"/>
  <c r="AX132" i="45"/>
  <c r="AX128" i="45"/>
  <c r="AX135" i="45"/>
  <c r="AX116" i="45"/>
  <c r="AX127" i="45"/>
  <c r="AX137" i="45"/>
  <c r="AX124" i="45"/>
  <c r="AX136" i="45"/>
  <c r="AX139" i="45"/>
  <c r="AX123" i="45"/>
  <c r="AX122" i="45"/>
  <c r="AX138" i="45"/>
  <c r="AX129" i="45"/>
  <c r="AX131" i="45"/>
  <c r="AX133" i="45"/>
  <c r="AX134" i="45"/>
  <c r="AX126" i="45"/>
  <c r="AX121" i="45"/>
  <c r="AX114" i="45"/>
  <c r="AX119" i="45"/>
  <c r="AX112" i="45"/>
  <c r="AX120" i="45"/>
  <c r="AX125" i="45"/>
  <c r="AX118" i="45"/>
  <c r="BV130" i="45"/>
  <c r="BV131" i="45"/>
  <c r="BV132" i="45"/>
  <c r="BV133" i="45"/>
  <c r="BV134" i="45"/>
  <c r="BV135" i="45"/>
  <c r="BV136" i="45"/>
  <c r="BV137" i="45"/>
  <c r="BV138" i="45"/>
  <c r="BV139" i="45"/>
  <c r="BV122" i="45"/>
  <c r="BV117" i="45"/>
  <c r="BV116" i="45"/>
  <c r="BV126" i="45"/>
  <c r="BV121" i="45"/>
  <c r="BV128" i="45"/>
  <c r="BV111" i="45"/>
  <c r="BV110" i="45"/>
  <c r="BV114" i="45"/>
  <c r="BV115" i="45"/>
  <c r="BV127" i="45"/>
  <c r="BV113" i="45"/>
  <c r="BV112" i="45"/>
  <c r="BV123" i="45"/>
  <c r="BV124" i="45"/>
  <c r="BV125" i="45"/>
  <c r="BV129" i="45"/>
  <c r="BV118" i="45"/>
  <c r="BV119" i="45"/>
  <c r="BV120" i="45"/>
  <c r="BQ147" i="45"/>
  <c r="BQ159" i="45"/>
  <c r="BQ171" i="45"/>
  <c r="BQ149" i="45"/>
  <c r="BQ161" i="45"/>
  <c r="BQ162" i="45"/>
  <c r="BQ154" i="45"/>
  <c r="BQ164" i="45"/>
  <c r="BQ155" i="45"/>
  <c r="BQ170" i="45"/>
  <c r="BQ156" i="45"/>
  <c r="BQ165" i="45"/>
  <c r="BQ157" i="45"/>
  <c r="BQ168" i="45"/>
  <c r="BQ158" i="45"/>
  <c r="BQ173" i="45"/>
  <c r="BQ145" i="45"/>
  <c r="BQ160" i="45"/>
  <c r="BQ146" i="45"/>
  <c r="BQ144" i="45"/>
  <c r="BQ148" i="45"/>
  <c r="BQ163" i="45"/>
  <c r="BQ150" i="45"/>
  <c r="BQ169" i="45"/>
  <c r="BQ151" i="45"/>
  <c r="BQ166" i="45"/>
  <c r="BQ152" i="45"/>
  <c r="BQ172" i="45"/>
  <c r="BQ167" i="45"/>
  <c r="BQ153" i="45"/>
  <c r="BU114" i="45"/>
  <c r="BU121" i="45"/>
  <c r="BU139" i="45"/>
  <c r="BU128" i="45"/>
  <c r="BU117" i="45"/>
  <c r="BU130" i="45"/>
  <c r="BU127" i="45"/>
  <c r="BU120" i="45"/>
  <c r="BU133" i="45"/>
  <c r="BU123" i="45"/>
  <c r="BU124" i="45"/>
  <c r="BU134" i="45"/>
  <c r="BU113" i="45"/>
  <c r="BU110" i="45"/>
  <c r="BU115" i="45"/>
  <c r="BU137" i="45"/>
  <c r="BU129" i="45"/>
  <c r="BU131" i="45"/>
  <c r="BU132" i="45"/>
  <c r="BU126" i="45"/>
  <c r="BU111" i="45"/>
  <c r="BU119" i="45"/>
  <c r="BU135" i="45"/>
  <c r="BU125" i="45"/>
  <c r="BU136" i="45"/>
  <c r="BU138" i="45"/>
  <c r="BU112" i="45"/>
  <c r="BU116" i="45"/>
  <c r="BU118" i="45"/>
  <c r="BU122" i="45"/>
  <c r="G169" i="45"/>
  <c r="G156" i="45"/>
  <c r="G170" i="45"/>
  <c r="G145" i="45"/>
  <c r="G158" i="45"/>
  <c r="G149" i="45"/>
  <c r="G171" i="45"/>
  <c r="G150" i="45"/>
  <c r="G168" i="45"/>
  <c r="G151" i="45"/>
  <c r="G166" i="45"/>
  <c r="G152" i="45"/>
  <c r="G172" i="45"/>
  <c r="G153" i="45"/>
  <c r="G164" i="45"/>
  <c r="G144" i="45"/>
  <c r="G154" i="45"/>
  <c r="G162" i="45"/>
  <c r="G161" i="45"/>
  <c r="G155" i="45"/>
  <c r="G146" i="45"/>
  <c r="G157" i="45"/>
  <c r="G165" i="45"/>
  <c r="G159" i="45"/>
  <c r="G173" i="45"/>
  <c r="G160" i="45"/>
  <c r="G147" i="45"/>
  <c r="G163" i="45"/>
  <c r="G148" i="45"/>
  <c r="G167" i="45"/>
  <c r="R35" i="45"/>
  <c r="Q144" i="45" a="1"/>
  <c r="Q39" i="45"/>
  <c r="Q41" i="45"/>
  <c r="Q42" i="45"/>
  <c r="Q44" i="45"/>
  <c r="Q43" i="45"/>
  <c r="Q38" i="45"/>
  <c r="Q40" i="45"/>
  <c r="Q37" i="45"/>
  <c r="BE170" i="45"/>
  <c r="BE167" i="45"/>
  <c r="BE163" i="45"/>
  <c r="BE150" i="45"/>
  <c r="BE162" i="45"/>
  <c r="BE149" i="45"/>
  <c r="BE144" i="45"/>
  <c r="BE169" i="45"/>
  <c r="BE161" i="45"/>
  <c r="BE165" i="45"/>
  <c r="BE160" i="45"/>
  <c r="BE147" i="45"/>
  <c r="BE154" i="45"/>
  <c r="BE164" i="45"/>
  <c r="BE145" i="45"/>
  <c r="BE156" i="45"/>
  <c r="BE146" i="45"/>
  <c r="BE151" i="45"/>
  <c r="BE148" i="45"/>
  <c r="BE172" i="45"/>
  <c r="BE152" i="45"/>
  <c r="BE173" i="45"/>
  <c r="BE158" i="45"/>
  <c r="BE166" i="45"/>
  <c r="BE153" i="45"/>
  <c r="BE159" i="45"/>
  <c r="BE157" i="45"/>
  <c r="BE168" i="45"/>
  <c r="BE171" i="45"/>
  <c r="BE155" i="45"/>
  <c r="AA127" i="45"/>
  <c r="AA128" i="45"/>
  <c r="AA129" i="45"/>
  <c r="AA130" i="45"/>
  <c r="AA131" i="45"/>
  <c r="AA132" i="45"/>
  <c r="AA133" i="45"/>
  <c r="AA134" i="45"/>
  <c r="AA135" i="45"/>
  <c r="AA136" i="45"/>
  <c r="AA137" i="45"/>
  <c r="AA138" i="45"/>
  <c r="AA139" i="45"/>
  <c r="AA119" i="45"/>
  <c r="AA117" i="45"/>
  <c r="AA113" i="45"/>
  <c r="AA123" i="45"/>
  <c r="AA125" i="45"/>
  <c r="AA114" i="45"/>
  <c r="AA110" i="45"/>
  <c r="AA115" i="45"/>
  <c r="AA111" i="45"/>
  <c r="AA116" i="45"/>
  <c r="AA112" i="45"/>
  <c r="AA124" i="45"/>
  <c r="AA118" i="45"/>
  <c r="AA120" i="45"/>
  <c r="AA121" i="45"/>
  <c r="AA122" i="45"/>
  <c r="AA126" i="45"/>
  <c r="BI151" i="45"/>
  <c r="BI156" i="45"/>
  <c r="BI155" i="45"/>
  <c r="BI146" i="45"/>
  <c r="BI169" i="45"/>
  <c r="BI157" i="45"/>
  <c r="BI173" i="45"/>
  <c r="BI171" i="45"/>
  <c r="BI163" i="45"/>
  <c r="BI148" i="45"/>
  <c r="BI152" i="45"/>
  <c r="BI160" i="45"/>
  <c r="BI144" i="45"/>
  <c r="BI172" i="45"/>
  <c r="BI153" i="45"/>
  <c r="BI162" i="45"/>
  <c r="BI154" i="45"/>
  <c r="BI158" i="45"/>
  <c r="BI149" i="45"/>
  <c r="BI170" i="45"/>
  <c r="BI166" i="45"/>
  <c r="BI150" i="45"/>
  <c r="BI145" i="45"/>
  <c r="BI159" i="45"/>
  <c r="BI161" i="45"/>
  <c r="BI164" i="45"/>
  <c r="BI147" i="45"/>
  <c r="BI165" i="45"/>
  <c r="BI168" i="45"/>
  <c r="BI167" i="45"/>
  <c r="AE146" i="45"/>
  <c r="AE161" i="45"/>
  <c r="AE164" i="45"/>
  <c r="AE172" i="45"/>
  <c r="AE162" i="45"/>
  <c r="AE149" i="45"/>
  <c r="AE150" i="45"/>
  <c r="AE156" i="45"/>
  <c r="AE169" i="45"/>
  <c r="AE147" i="45"/>
  <c r="AE157" i="45"/>
  <c r="AE168" i="45"/>
  <c r="AE154" i="45"/>
  <c r="AE170" i="45"/>
  <c r="AE165" i="45"/>
  <c r="AE163" i="45"/>
  <c r="AE173" i="45"/>
  <c r="AE171" i="45"/>
  <c r="AE148" i="45"/>
  <c r="AE144" i="45"/>
  <c r="AE145" i="45"/>
  <c r="AE155" i="45"/>
  <c r="AE152" i="45"/>
  <c r="AE166" i="45"/>
  <c r="AE167" i="45"/>
  <c r="AE153" i="45"/>
  <c r="AE151" i="45"/>
  <c r="AE160" i="45"/>
  <c r="AE159" i="45"/>
  <c r="AE158" i="45"/>
  <c r="H155" i="45"/>
  <c r="H152" i="45"/>
  <c r="H145" i="45"/>
  <c r="H159" i="45"/>
  <c r="H156" i="45"/>
  <c r="H169" i="45"/>
  <c r="H170" i="45"/>
  <c r="H171" i="45"/>
  <c r="H172" i="45"/>
  <c r="H173" i="45"/>
  <c r="H144" i="45"/>
  <c r="H147" i="45"/>
  <c r="H148" i="45"/>
  <c r="H146" i="45"/>
  <c r="H149" i="45"/>
  <c r="H150" i="45"/>
  <c r="H151" i="45"/>
  <c r="H154" i="45"/>
  <c r="H153" i="45"/>
  <c r="H158" i="45"/>
  <c r="H157" i="45"/>
  <c r="H160" i="45"/>
  <c r="H161" i="45"/>
  <c r="H162" i="45"/>
  <c r="H163" i="45"/>
  <c r="H164" i="45"/>
  <c r="H165" i="45"/>
  <c r="H166" i="45"/>
  <c r="H167" i="45"/>
  <c r="H168" i="45"/>
  <c r="BR128" i="45"/>
  <c r="BR110" i="45"/>
  <c r="BR130" i="45"/>
  <c r="BR138" i="45"/>
  <c r="BR132" i="45"/>
  <c r="BR137" i="45"/>
  <c r="BR134" i="45"/>
  <c r="BR139" i="45"/>
  <c r="BR112" i="45"/>
  <c r="BR114" i="45"/>
  <c r="BR111" i="45"/>
  <c r="BR120" i="45"/>
  <c r="BR118" i="45"/>
  <c r="BR113" i="45"/>
  <c r="BR129" i="45"/>
  <c r="BR126" i="45"/>
  <c r="BR115" i="45"/>
  <c r="BR131" i="45"/>
  <c r="BR117" i="45"/>
  <c r="BR133" i="45"/>
  <c r="BR119" i="45"/>
  <c r="BR116" i="45"/>
  <c r="BR121" i="45"/>
  <c r="BR124" i="45"/>
  <c r="BR123" i="45"/>
  <c r="BR122" i="45"/>
  <c r="BR125" i="45"/>
  <c r="BR136" i="45"/>
  <c r="BR127" i="45"/>
  <c r="BR135" i="45"/>
  <c r="AR35" i="45"/>
  <c r="AQ144" i="45" a="1"/>
  <c r="AQ43" i="45"/>
  <c r="AQ40" i="45"/>
  <c r="AQ38" i="45"/>
  <c r="AQ39" i="45"/>
  <c r="AQ37" i="45"/>
  <c r="AQ44" i="45"/>
  <c r="AQ41" i="45"/>
  <c r="AQ42" i="45"/>
  <c r="BL35" i="45"/>
  <c r="BK39" i="45"/>
  <c r="BK41" i="45"/>
  <c r="BK44" i="45"/>
  <c r="BK38" i="45"/>
  <c r="BK42" i="45"/>
  <c r="BK144" i="45" a="1"/>
  <c r="BK37" i="45"/>
  <c r="BK43" i="45"/>
  <c r="BK40" i="45"/>
  <c r="C170" i="45"/>
  <c r="C152" i="45"/>
  <c r="C161" i="45"/>
  <c r="C148" i="45"/>
  <c r="C160" i="45"/>
  <c r="C156" i="45"/>
  <c r="C144" i="45"/>
  <c r="C155" i="45"/>
  <c r="C164" i="45"/>
  <c r="C147" i="45"/>
  <c r="C168" i="45"/>
  <c r="C154" i="45"/>
  <c r="C172" i="45"/>
  <c r="C153" i="45"/>
  <c r="C146" i="45"/>
  <c r="C151" i="45"/>
  <c r="C162" i="45"/>
  <c r="C159" i="45"/>
  <c r="C166" i="45"/>
  <c r="C150" i="45"/>
  <c r="C165" i="45"/>
  <c r="C158" i="45"/>
  <c r="C167" i="45"/>
  <c r="C163" i="45"/>
  <c r="C169" i="45"/>
  <c r="C149" i="45"/>
  <c r="C171" i="45"/>
  <c r="C157" i="45"/>
  <c r="C173" i="45"/>
  <c r="C145" i="45"/>
  <c r="BM163" i="45"/>
  <c r="BM151" i="45"/>
  <c r="BM155" i="45"/>
  <c r="BM144" i="45"/>
  <c r="BM149" i="45"/>
  <c r="BM154" i="45"/>
  <c r="BM162" i="45"/>
  <c r="BM173" i="45"/>
  <c r="BM166" i="45"/>
  <c r="BM164" i="45"/>
  <c r="BM145" i="45"/>
  <c r="BM172" i="45"/>
  <c r="BM170" i="45"/>
  <c r="BM161" i="45"/>
  <c r="BM152" i="45"/>
  <c r="BM147" i="45"/>
  <c r="BM157" i="45"/>
  <c r="BM165" i="45"/>
  <c r="BM148" i="45"/>
  <c r="BM169" i="45"/>
  <c r="BM156" i="45"/>
  <c r="BM153" i="45"/>
  <c r="BM168" i="45"/>
  <c r="BM150" i="45"/>
  <c r="BM158" i="45"/>
  <c r="BM167" i="45"/>
  <c r="BM171" i="45"/>
  <c r="BM159" i="45"/>
  <c r="BM160" i="45"/>
  <c r="BM146" i="45"/>
  <c r="AW146" i="45"/>
  <c r="AW157" i="45"/>
  <c r="AW144" i="45"/>
  <c r="AW154" i="45"/>
  <c r="AW159" i="45"/>
  <c r="AW163" i="45"/>
  <c r="AW158" i="45"/>
  <c r="AW164" i="45"/>
  <c r="AW169" i="45"/>
  <c r="AW151" i="45"/>
  <c r="AW172" i="45"/>
  <c r="AW171" i="45"/>
  <c r="AW153" i="45"/>
  <c r="AW173" i="45"/>
  <c r="AW155" i="45"/>
  <c r="AW145" i="45"/>
  <c r="AW162" i="45"/>
  <c r="AW165" i="45"/>
  <c r="AW170" i="45"/>
  <c r="AW167" i="45"/>
  <c r="AW166" i="45"/>
  <c r="AW149" i="45"/>
  <c r="AW160" i="45"/>
  <c r="AW161" i="45"/>
  <c r="AW168" i="45"/>
  <c r="AW148" i="45"/>
  <c r="AW150" i="45"/>
  <c r="AW152" i="45"/>
  <c r="AW156" i="45"/>
  <c r="AW147" i="45"/>
  <c r="AH35" i="45"/>
  <c r="AG144" i="45" a="1"/>
  <c r="AG44" i="45"/>
  <c r="AG38" i="45"/>
  <c r="AG43" i="45"/>
  <c r="AG40" i="45"/>
  <c r="AG39" i="45"/>
  <c r="AG42" i="45"/>
  <c r="AG41" i="45"/>
  <c r="AG37" i="45"/>
  <c r="H134" i="45"/>
  <c r="H115" i="45"/>
  <c r="H129" i="45"/>
  <c r="H112" i="45"/>
  <c r="H110" i="45"/>
  <c r="H133" i="45"/>
  <c r="H123" i="45"/>
  <c r="H135" i="45"/>
  <c r="H136" i="45"/>
  <c r="H124" i="45"/>
  <c r="H138" i="45"/>
  <c r="H118" i="45"/>
  <c r="H126" i="45"/>
  <c r="H117" i="45"/>
  <c r="H111" i="45"/>
  <c r="H128" i="45"/>
  <c r="H125" i="45"/>
  <c r="H116" i="45"/>
  <c r="H113" i="45"/>
  <c r="H114" i="45"/>
  <c r="H121" i="45"/>
  <c r="H137" i="45"/>
  <c r="H119" i="45"/>
  <c r="H139" i="45"/>
  <c r="H130" i="45"/>
  <c r="H127" i="45"/>
  <c r="H131" i="45"/>
  <c r="H122" i="45"/>
  <c r="H132" i="45"/>
  <c r="H120" i="45"/>
  <c r="AS166" i="45"/>
  <c r="AS149" i="45"/>
  <c r="AS145" i="45"/>
  <c r="AS153" i="45"/>
  <c r="AS146" i="45"/>
  <c r="AS156" i="45"/>
  <c r="AS154" i="45"/>
  <c r="AS157" i="45"/>
  <c r="AS171" i="45"/>
  <c r="AS155" i="45"/>
  <c r="AS144" i="45"/>
  <c r="AS158" i="45"/>
  <c r="AS159" i="45"/>
  <c r="AS151" i="45"/>
  <c r="AS162" i="45"/>
  <c r="AS161" i="45"/>
  <c r="AS160" i="45"/>
  <c r="AS167" i="45"/>
  <c r="AS165" i="45"/>
  <c r="AS163" i="45"/>
  <c r="AS150" i="45"/>
  <c r="AS170" i="45"/>
  <c r="AS169" i="45"/>
  <c r="AS164" i="45"/>
  <c r="AS172" i="45"/>
  <c r="AS152" i="45"/>
  <c r="AS147" i="45"/>
  <c r="AS168" i="45"/>
  <c r="AS173" i="45"/>
  <c r="AS148" i="45"/>
  <c r="AB126" i="45"/>
  <c r="AB133" i="45"/>
  <c r="AB110" i="45"/>
  <c r="AB123" i="45"/>
  <c r="AB134" i="45"/>
  <c r="AB114" i="45"/>
  <c r="AB113" i="45"/>
  <c r="AB137" i="45"/>
  <c r="AB120" i="45"/>
  <c r="AB125" i="45"/>
  <c r="AB139" i="45"/>
  <c r="AB122" i="45"/>
  <c r="AB128" i="45"/>
  <c r="AB124" i="45"/>
  <c r="AB131" i="45"/>
  <c r="AB112" i="45"/>
  <c r="AB136" i="45"/>
  <c r="AB116" i="45"/>
  <c r="AB129" i="45"/>
  <c r="AB118" i="45"/>
  <c r="AB138" i="45"/>
  <c r="AB111" i="45"/>
  <c r="AB115" i="45"/>
  <c r="AB119" i="45"/>
  <c r="AB127" i="45"/>
  <c r="AB117" i="45"/>
  <c r="AB121" i="45"/>
  <c r="AB135" i="45"/>
  <c r="AB130" i="45"/>
  <c r="AB132" i="45"/>
  <c r="AA155" i="45"/>
  <c r="AA166" i="45"/>
  <c r="AA173" i="45"/>
  <c r="AA167" i="45"/>
  <c r="AA164" i="45"/>
  <c r="AA158" i="45"/>
  <c r="AA172" i="45"/>
  <c r="AA146" i="45"/>
  <c r="AA168" i="45"/>
  <c r="AA148" i="45"/>
  <c r="AA154" i="45"/>
  <c r="AA170" i="45"/>
  <c r="AA145" i="45"/>
  <c r="AA156" i="45"/>
  <c r="AA147" i="45"/>
  <c r="AA149" i="45"/>
  <c r="AA150" i="45"/>
  <c r="AA159" i="45"/>
  <c r="AA161" i="45"/>
  <c r="AA162" i="45"/>
  <c r="AA163" i="45"/>
  <c r="AA160" i="45"/>
  <c r="AA151" i="45"/>
  <c r="AA169" i="45"/>
  <c r="AA153" i="45"/>
  <c r="AA144" i="45"/>
  <c r="AA157" i="45"/>
  <c r="AA152" i="45"/>
  <c r="AA165" i="45"/>
  <c r="AA171" i="45"/>
  <c r="BN121" i="45"/>
  <c r="BN128" i="45"/>
  <c r="BN132" i="45"/>
  <c r="BN117" i="45"/>
  <c r="BN119" i="45"/>
  <c r="BN125" i="45"/>
  <c r="BN136" i="45"/>
  <c r="BN112" i="45"/>
  <c r="BN129" i="45"/>
  <c r="BN113" i="45"/>
  <c r="BN123" i="45"/>
  <c r="BN130" i="45"/>
  <c r="BN114" i="45"/>
  <c r="BN124" i="45"/>
  <c r="BN131" i="45"/>
  <c r="BN120" i="45"/>
  <c r="BN138" i="45"/>
  <c r="BN115" i="45"/>
  <c r="BN111" i="45"/>
  <c r="BN135" i="45"/>
  <c r="BN139" i="45"/>
  <c r="BN137" i="45"/>
  <c r="BN133" i="45"/>
  <c r="BN134" i="45"/>
  <c r="BN116" i="45"/>
  <c r="BN122" i="45"/>
  <c r="BN127" i="45"/>
  <c r="BN110" i="45"/>
  <c r="BN118" i="45"/>
  <c r="BN126" i="45"/>
  <c r="BM127" i="45"/>
  <c r="BM129" i="45"/>
  <c r="BM122" i="45"/>
  <c r="BM135" i="45"/>
  <c r="BM133" i="45"/>
  <c r="BM112" i="45"/>
  <c r="BM119" i="45"/>
  <c r="BM121" i="45"/>
  <c r="BM124" i="45"/>
  <c r="BM115" i="45"/>
  <c r="BM137" i="45"/>
  <c r="BM138" i="45"/>
  <c r="BM117" i="45"/>
  <c r="BM113" i="45"/>
  <c r="BM139" i="45"/>
  <c r="BM125" i="45"/>
  <c r="BM136" i="45"/>
  <c r="BM128" i="45"/>
  <c r="BM130" i="45"/>
  <c r="BM131" i="45"/>
  <c r="BM132" i="45"/>
  <c r="BM110" i="45"/>
  <c r="BM134" i="45"/>
  <c r="BM114" i="45"/>
  <c r="BM118" i="45"/>
  <c r="BM126" i="45"/>
  <c r="BM116" i="45"/>
  <c r="BM120" i="45"/>
  <c r="BM111" i="45"/>
  <c r="BM123" i="45"/>
  <c r="AX160" i="45"/>
  <c r="AX157" i="45"/>
  <c r="AX145" i="45"/>
  <c r="AX168" i="45"/>
  <c r="AX165" i="45"/>
  <c r="AX148" i="45"/>
  <c r="AX172" i="45"/>
  <c r="AX169" i="45"/>
  <c r="AX154" i="45"/>
  <c r="AX151" i="45"/>
  <c r="AX144" i="45"/>
  <c r="AX156" i="45"/>
  <c r="AX153" i="45"/>
  <c r="AX158" i="45"/>
  <c r="AX155" i="45"/>
  <c r="AX170" i="45"/>
  <c r="AX147" i="45"/>
  <c r="AX149" i="45"/>
  <c r="AX166" i="45"/>
  <c r="AX159" i="45"/>
  <c r="AX161" i="45"/>
  <c r="AX163" i="45"/>
  <c r="AX167" i="45"/>
  <c r="AX171" i="45"/>
  <c r="AX173" i="45"/>
  <c r="AX146" i="45"/>
  <c r="AX150" i="45"/>
  <c r="AX152" i="45"/>
  <c r="AX162" i="45"/>
  <c r="AX164" i="45"/>
  <c r="AF125" i="45"/>
  <c r="AF110" i="45"/>
  <c r="AF119" i="45"/>
  <c r="AF128" i="45"/>
  <c r="AF122" i="45"/>
  <c r="AF112" i="45"/>
  <c r="AF115" i="45"/>
  <c r="AF120" i="45"/>
  <c r="AF139" i="45"/>
  <c r="AF127" i="45"/>
  <c r="AF137" i="45"/>
  <c r="AF130" i="45"/>
  <c r="AF118" i="45"/>
  <c r="AF131" i="45"/>
  <c r="AF123" i="45"/>
  <c r="AF132" i="45"/>
  <c r="AF126" i="45"/>
  <c r="AF133" i="45"/>
  <c r="AF111" i="45"/>
  <c r="AF134" i="45"/>
  <c r="AF136" i="45"/>
  <c r="AF113" i="45"/>
  <c r="AF135" i="45"/>
  <c r="AF138" i="45"/>
  <c r="AF121" i="45"/>
  <c r="AF116" i="45"/>
  <c r="AF124" i="45"/>
  <c r="AF114" i="45"/>
  <c r="AF117" i="45"/>
  <c r="AF129" i="45"/>
  <c r="L168" i="45"/>
  <c r="L169" i="45"/>
  <c r="L151" i="45"/>
  <c r="L156" i="45"/>
  <c r="L145" i="45"/>
  <c r="L155" i="45"/>
  <c r="L152" i="45"/>
  <c r="L166" i="45"/>
  <c r="L163" i="45"/>
  <c r="L160" i="45"/>
  <c r="L170" i="45"/>
  <c r="L165" i="45"/>
  <c r="L150" i="45"/>
  <c r="L164" i="45"/>
  <c r="L167" i="45"/>
  <c r="L158" i="45"/>
  <c r="L144" i="45"/>
  <c r="L161" i="45"/>
  <c r="L162" i="45"/>
  <c r="L146" i="45"/>
  <c r="L172" i="45"/>
  <c r="L171" i="45"/>
  <c r="L173" i="45"/>
  <c r="L148" i="45"/>
  <c r="L154" i="45"/>
  <c r="L147" i="45"/>
  <c r="L149" i="45"/>
  <c r="L153" i="45"/>
  <c r="L157" i="45"/>
  <c r="L159" i="45"/>
  <c r="Y132" i="45"/>
  <c r="Y133" i="45"/>
  <c r="Y134" i="45"/>
  <c r="Y135" i="45"/>
  <c r="Y136" i="45"/>
  <c r="Y137" i="45"/>
  <c r="Y138" i="45"/>
  <c r="Y139" i="45"/>
  <c r="Y119" i="45"/>
  <c r="Y116" i="45"/>
  <c r="Y121" i="45"/>
  <c r="Y125" i="45"/>
  <c r="Y117" i="45"/>
  <c r="Y126" i="45"/>
  <c r="Y118" i="45"/>
  <c r="Y127" i="45"/>
  <c r="Y131" i="45"/>
  <c r="Y130" i="45"/>
  <c r="Y111" i="45"/>
  <c r="Y120" i="45"/>
  <c r="Y49" i="45"/>
  <c r="Y122" i="45"/>
  <c r="Y113" i="45"/>
  <c r="Y123" i="45"/>
  <c r="Y112" i="45"/>
  <c r="Y110" i="45"/>
  <c r="Y124" i="45"/>
  <c r="Y114" i="45"/>
  <c r="Y128" i="45"/>
  <c r="Y129" i="45"/>
  <c r="Y115" i="45"/>
  <c r="BE127" i="45"/>
  <c r="BE128" i="45"/>
  <c r="BE129" i="45"/>
  <c r="BE130" i="45"/>
  <c r="BE131" i="45"/>
  <c r="BE132" i="45"/>
  <c r="BE133" i="45"/>
  <c r="BE134" i="45"/>
  <c r="BE135" i="45"/>
  <c r="BE136" i="45"/>
  <c r="BE137" i="45"/>
  <c r="BE138" i="45"/>
  <c r="BE139" i="45"/>
  <c r="BE111" i="45"/>
  <c r="BE119" i="45"/>
  <c r="BE117" i="45"/>
  <c r="BE121" i="45"/>
  <c r="BE123" i="45"/>
  <c r="BE124" i="45"/>
  <c r="BE125" i="45"/>
  <c r="BE126" i="45"/>
  <c r="BE110" i="45"/>
  <c r="BE118" i="45"/>
  <c r="BE114" i="45"/>
  <c r="BE112" i="45"/>
  <c r="BE115" i="45"/>
  <c r="BE113" i="45"/>
  <c r="BE116" i="45"/>
  <c r="BE120" i="45"/>
  <c r="BE122" i="45"/>
  <c r="AV35" i="45"/>
  <c r="AU41" i="45"/>
  <c r="AU144" i="45" a="1"/>
  <c r="AU43" i="45"/>
  <c r="AU44" i="45"/>
  <c r="AU40" i="45"/>
  <c r="AU37" i="45"/>
  <c r="AU38" i="45"/>
  <c r="AU39" i="45"/>
  <c r="AU42" i="45"/>
  <c r="AB148" i="45"/>
  <c r="AB173" i="45"/>
  <c r="AB145" i="45"/>
  <c r="AB156" i="45"/>
  <c r="AB153" i="45"/>
  <c r="AB160" i="45"/>
  <c r="AB157" i="45"/>
  <c r="AB167" i="45"/>
  <c r="AB162" i="45"/>
  <c r="AB146" i="45"/>
  <c r="AB169" i="45"/>
  <c r="AB164" i="45"/>
  <c r="AB161" i="45"/>
  <c r="AB171" i="45"/>
  <c r="AB170" i="45"/>
  <c r="AB158" i="45"/>
  <c r="AB163" i="45"/>
  <c r="AB165" i="45"/>
  <c r="AB168" i="45"/>
  <c r="AB150" i="45"/>
  <c r="AB152" i="45"/>
  <c r="AB154" i="45"/>
  <c r="AB147" i="45"/>
  <c r="AB149" i="45"/>
  <c r="AB151" i="45"/>
  <c r="AB155" i="45"/>
  <c r="AB159" i="45"/>
  <c r="AB144" i="45"/>
  <c r="AB166" i="45"/>
  <c r="AB172" i="45"/>
  <c r="AD35" i="45"/>
  <c r="AC144" i="45" a="1"/>
  <c r="AC41" i="45"/>
  <c r="AC44" i="45"/>
  <c r="AC43" i="45"/>
  <c r="AC39" i="45"/>
  <c r="AC42" i="45"/>
  <c r="AC38" i="45"/>
  <c r="AC40" i="45"/>
  <c r="AC37" i="45"/>
  <c r="D164" i="45"/>
  <c r="D171" i="45"/>
  <c r="D146" i="45"/>
  <c r="D166" i="45"/>
  <c r="D161" i="45"/>
  <c r="D162" i="45"/>
  <c r="D168" i="45"/>
  <c r="D167" i="45"/>
  <c r="D159" i="45"/>
  <c r="D160" i="45"/>
  <c r="D170" i="45"/>
  <c r="D169" i="45"/>
  <c r="D172" i="45"/>
  <c r="D148" i="45"/>
  <c r="D145" i="45"/>
  <c r="D150" i="45"/>
  <c r="D144" i="45"/>
  <c r="D152" i="45"/>
  <c r="D147" i="45"/>
  <c r="D154" i="45"/>
  <c r="D149" i="45"/>
  <c r="D156" i="45"/>
  <c r="D151" i="45"/>
  <c r="D158" i="45"/>
  <c r="D153" i="45"/>
  <c r="D165" i="45"/>
  <c r="D155" i="45"/>
  <c r="D173" i="45"/>
  <c r="D157" i="45"/>
  <c r="D163" i="45"/>
  <c r="BP35" i="45"/>
  <c r="BO144" i="45" a="1"/>
  <c r="BO40" i="45"/>
  <c r="BO43" i="45"/>
  <c r="BO44" i="45"/>
  <c r="BO38" i="45"/>
  <c r="BO42" i="45"/>
  <c r="BO37" i="45"/>
  <c r="BO39" i="45"/>
  <c r="BO41" i="45"/>
  <c r="BX35" i="45"/>
  <c r="BW39" i="45"/>
  <c r="BW144" i="45" a="1"/>
  <c r="BW37" i="45"/>
  <c r="BW38" i="45"/>
  <c r="BW41" i="45"/>
  <c r="BW44" i="45"/>
  <c r="BW40" i="45"/>
  <c r="BW42" i="45"/>
  <c r="BW43" i="45"/>
  <c r="K132" i="45"/>
  <c r="K139" i="45"/>
  <c r="K116" i="45"/>
  <c r="K123" i="45"/>
  <c r="K112" i="45"/>
  <c r="K124" i="45"/>
  <c r="K114" i="45"/>
  <c r="K121" i="45"/>
  <c r="K133" i="45"/>
  <c r="K115" i="45"/>
  <c r="K128" i="45"/>
  <c r="K135" i="45"/>
  <c r="K118" i="45"/>
  <c r="K130" i="45"/>
  <c r="K137" i="45"/>
  <c r="K126" i="45"/>
  <c r="K125" i="45"/>
  <c r="K131" i="45"/>
  <c r="K110" i="45"/>
  <c r="K119" i="45"/>
  <c r="K127" i="45"/>
  <c r="K129" i="45"/>
  <c r="K113" i="45"/>
  <c r="K120" i="45"/>
  <c r="K134" i="45"/>
  <c r="K136" i="45"/>
  <c r="K138" i="45"/>
  <c r="K117" i="45"/>
  <c r="K111" i="45"/>
  <c r="K122" i="45"/>
  <c r="J35" i="45"/>
  <c r="I144" i="45" a="1"/>
  <c r="I41" i="45"/>
  <c r="I44" i="45"/>
  <c r="I38" i="45"/>
  <c r="I39" i="45"/>
  <c r="I40" i="45"/>
  <c r="I42" i="45"/>
  <c r="I37" i="45"/>
  <c r="I43" i="45"/>
  <c r="BA163" i="45"/>
  <c r="BA150" i="45"/>
  <c r="BA168" i="45"/>
  <c r="BA157" i="45"/>
  <c r="BA146" i="45"/>
  <c r="BA164" i="45"/>
  <c r="BA152" i="45"/>
  <c r="BA153" i="45"/>
  <c r="BA156" i="45"/>
  <c r="BA148" i="45"/>
  <c r="BA159" i="45"/>
  <c r="BA173" i="45"/>
  <c r="BA155" i="45"/>
  <c r="BA145" i="45"/>
  <c r="BA169" i="45"/>
  <c r="BA151" i="45"/>
  <c r="BA165" i="45"/>
  <c r="BA147" i="45"/>
  <c r="BA167" i="45"/>
  <c r="BA160" i="45"/>
  <c r="BA162" i="45"/>
  <c r="BA161" i="45"/>
  <c r="BA154" i="45"/>
  <c r="BA166" i="45"/>
  <c r="BA144" i="45"/>
  <c r="BA171" i="45"/>
  <c r="BA170" i="45"/>
  <c r="BA149" i="45"/>
  <c r="BA158" i="45"/>
  <c r="BA172" i="45"/>
  <c r="AT128" i="45"/>
  <c r="AT129" i="45"/>
  <c r="AT130" i="45"/>
  <c r="AT131" i="45"/>
  <c r="AT132" i="45"/>
  <c r="AT133" i="45"/>
  <c r="AT134" i="45"/>
  <c r="AT135" i="45"/>
  <c r="AT136" i="45"/>
  <c r="AT137" i="45"/>
  <c r="AT138" i="45"/>
  <c r="AT139" i="45"/>
  <c r="AT120" i="45"/>
  <c r="AT124" i="45"/>
  <c r="AT113" i="45"/>
  <c r="AT126" i="45"/>
  <c r="AT115" i="45"/>
  <c r="AT118" i="45"/>
  <c r="AT119" i="45"/>
  <c r="AT125" i="45"/>
  <c r="AT123" i="45"/>
  <c r="AT127" i="45"/>
  <c r="AT110" i="45"/>
  <c r="AT116" i="45"/>
  <c r="AT111" i="45"/>
  <c r="AT117" i="45"/>
  <c r="AT112" i="45"/>
  <c r="AT114" i="45"/>
  <c r="AT121" i="45"/>
  <c r="AT122" i="45"/>
  <c r="BH35" i="45"/>
  <c r="BG42" i="45"/>
  <c r="BG37" i="45"/>
  <c r="BG44" i="45"/>
  <c r="BG144" i="45" a="1"/>
  <c r="BG43" i="45"/>
  <c r="BG40" i="45"/>
  <c r="BG39" i="45"/>
  <c r="BG38" i="45"/>
  <c r="BG41" i="45"/>
  <c r="AI167" i="45"/>
  <c r="AI161" i="45"/>
  <c r="AI148" i="45"/>
  <c r="AI147" i="45"/>
  <c r="AI157" i="45"/>
  <c r="AI170" i="45"/>
  <c r="AI155" i="45"/>
  <c r="AI162" i="45"/>
  <c r="AI163" i="45"/>
  <c r="AI173" i="45"/>
  <c r="AI154" i="45"/>
  <c r="AI150" i="45"/>
  <c r="AI145" i="45"/>
  <c r="AI164" i="45"/>
  <c r="AI153" i="45"/>
  <c r="AI165" i="45"/>
  <c r="AI149" i="45"/>
  <c r="AI171" i="45"/>
  <c r="AI152" i="45"/>
  <c r="AI172" i="45"/>
  <c r="AI144" i="45"/>
  <c r="AI146" i="45"/>
  <c r="AI151" i="45"/>
  <c r="AI166" i="45"/>
  <c r="AI158" i="45"/>
  <c r="AI168" i="45"/>
  <c r="AI156" i="45"/>
  <c r="AI169" i="45"/>
  <c r="AI160" i="45"/>
  <c r="AI159" i="45"/>
  <c r="BF132" i="45"/>
  <c r="BF133" i="45"/>
  <c r="BF134" i="45"/>
  <c r="BF135" i="45"/>
  <c r="BF136" i="45"/>
  <c r="BF137" i="45"/>
  <c r="BF138" i="45"/>
  <c r="BF139" i="45"/>
  <c r="BF128" i="45"/>
  <c r="BF123" i="45"/>
  <c r="BF114" i="45"/>
  <c r="BF111" i="45"/>
  <c r="BF124" i="45"/>
  <c r="BF125" i="45"/>
  <c r="BF120" i="45"/>
  <c r="BF117" i="45"/>
  <c r="BF126" i="45"/>
  <c r="BF121" i="45"/>
  <c r="BF118" i="45"/>
  <c r="BF127" i="45"/>
  <c r="BF122" i="45"/>
  <c r="BF131" i="45"/>
  <c r="BF119" i="45"/>
  <c r="BF116" i="45"/>
  <c r="BF129" i="45"/>
  <c r="BF130" i="45"/>
  <c r="BF113" i="45"/>
  <c r="BF112" i="45"/>
  <c r="BF110" i="45"/>
  <c r="BF115" i="45"/>
  <c r="S127" i="45"/>
  <c r="S128" i="45"/>
  <c r="S129" i="45"/>
  <c r="S130" i="45"/>
  <c r="S131" i="45"/>
  <c r="S132" i="45"/>
  <c r="S133" i="45"/>
  <c r="S134" i="45"/>
  <c r="S135" i="45"/>
  <c r="S136" i="45"/>
  <c r="S137" i="45"/>
  <c r="S138" i="45"/>
  <c r="S139" i="45"/>
  <c r="S119" i="45"/>
  <c r="S123" i="45"/>
  <c r="S125" i="45"/>
  <c r="S114" i="45"/>
  <c r="S117" i="45"/>
  <c r="S118" i="45"/>
  <c r="S116" i="45"/>
  <c r="S110" i="45"/>
  <c r="S120" i="45"/>
  <c r="S115" i="45"/>
  <c r="S111" i="45"/>
  <c r="S121" i="45"/>
  <c r="S112" i="45"/>
  <c r="S122" i="45"/>
  <c r="S113" i="45"/>
  <c r="S124" i="45"/>
  <c r="S126" i="45"/>
  <c r="BJ129" i="45"/>
  <c r="BJ130" i="45"/>
  <c r="BJ131" i="45"/>
  <c r="BJ132" i="45"/>
  <c r="BJ133" i="45"/>
  <c r="BJ134" i="45"/>
  <c r="BJ135" i="45"/>
  <c r="BJ136" i="45"/>
  <c r="BJ137" i="45"/>
  <c r="BJ138" i="45"/>
  <c r="BJ139" i="45"/>
  <c r="BJ125" i="45"/>
  <c r="BJ120" i="45"/>
  <c r="BJ122" i="45"/>
  <c r="BJ117" i="45"/>
  <c r="BJ123" i="45"/>
  <c r="BJ118" i="45"/>
  <c r="BJ124" i="45"/>
  <c r="BJ119" i="45"/>
  <c r="BJ121" i="45"/>
  <c r="BJ126" i="45"/>
  <c r="BJ127" i="45"/>
  <c r="BJ128" i="45"/>
  <c r="BJ110" i="45"/>
  <c r="BJ111" i="45"/>
  <c r="BJ113" i="45"/>
  <c r="BJ112" i="45"/>
  <c r="BJ114" i="45"/>
  <c r="BJ115" i="45"/>
  <c r="BJ116" i="45"/>
  <c r="AE131" i="45"/>
  <c r="AE132" i="45"/>
  <c r="AE133" i="45"/>
  <c r="AE134" i="45"/>
  <c r="AE135" i="45"/>
  <c r="AE136" i="45"/>
  <c r="AE137" i="45"/>
  <c r="AE138" i="45"/>
  <c r="AE139" i="45"/>
  <c r="AE123" i="45"/>
  <c r="AE121" i="45"/>
  <c r="AE127" i="45"/>
  <c r="AE129" i="45"/>
  <c r="AE118" i="45"/>
  <c r="AE119" i="45"/>
  <c r="AE120" i="45"/>
  <c r="AE125" i="45"/>
  <c r="AE126" i="45"/>
  <c r="AE128" i="45"/>
  <c r="AE130" i="45"/>
  <c r="AE114" i="45"/>
  <c r="AE110" i="45"/>
  <c r="AE113" i="45"/>
  <c r="AE111" i="45"/>
  <c r="AE122" i="45"/>
  <c r="AE115" i="45"/>
  <c r="AE112" i="45"/>
  <c r="AE116" i="45"/>
  <c r="AE117" i="45"/>
  <c r="AE124" i="45"/>
  <c r="N35" i="45"/>
  <c r="M144" i="45" a="1"/>
  <c r="M43" i="45"/>
  <c r="M39" i="45"/>
  <c r="M40" i="45"/>
  <c r="M38" i="45"/>
  <c r="M42" i="45"/>
  <c r="M44" i="45"/>
  <c r="M41" i="45"/>
  <c r="M37" i="45"/>
  <c r="BD35" i="45"/>
  <c r="BC42" i="45"/>
  <c r="BC144" i="45" a="1"/>
  <c r="BC44" i="45"/>
  <c r="BC39" i="45"/>
  <c r="BC38" i="45"/>
  <c r="BC40" i="45"/>
  <c r="BC37" i="45"/>
  <c r="BC41" i="45"/>
  <c r="BC43" i="45"/>
  <c r="BB128" i="45"/>
  <c r="BB129" i="45"/>
  <c r="BB130" i="45"/>
  <c r="BB131" i="45"/>
  <c r="BB132" i="45"/>
  <c r="BB133" i="45"/>
  <c r="BB134" i="45"/>
  <c r="BB135" i="45"/>
  <c r="BB136" i="45"/>
  <c r="BB137" i="45"/>
  <c r="BB138" i="45"/>
  <c r="BB139" i="45"/>
  <c r="BB117" i="45"/>
  <c r="BB120" i="45"/>
  <c r="BB112" i="45"/>
  <c r="BB122" i="45"/>
  <c r="BB114" i="45"/>
  <c r="BB125" i="45"/>
  <c r="BB126" i="45"/>
  <c r="BB115" i="45"/>
  <c r="BB127" i="45"/>
  <c r="BB116" i="45"/>
  <c r="BB121" i="45"/>
  <c r="BB113" i="45"/>
  <c r="BB118" i="45"/>
  <c r="BB119" i="45"/>
  <c r="BB123" i="45"/>
  <c r="BB110" i="45"/>
  <c r="BB124" i="45"/>
  <c r="BB111" i="45"/>
  <c r="P129" i="45"/>
  <c r="P130" i="45"/>
  <c r="P131" i="45"/>
  <c r="P132" i="45"/>
  <c r="P133" i="45"/>
  <c r="P134" i="45"/>
  <c r="P135" i="45"/>
  <c r="P136" i="45"/>
  <c r="P137" i="45"/>
  <c r="P138" i="45"/>
  <c r="P139" i="45"/>
  <c r="P110" i="45"/>
  <c r="P121" i="45"/>
  <c r="P114" i="45"/>
  <c r="P123" i="45"/>
  <c r="P126" i="45"/>
  <c r="P118" i="45"/>
  <c r="P127" i="45"/>
  <c r="P119" i="45"/>
  <c r="P128" i="45"/>
  <c r="P120" i="45"/>
  <c r="P122" i="45"/>
  <c r="P115" i="45"/>
  <c r="P116" i="45"/>
  <c r="P117" i="45"/>
  <c r="P111" i="45"/>
  <c r="P112" i="45"/>
  <c r="P113" i="45"/>
  <c r="P124" i="45"/>
  <c r="P125" i="45"/>
  <c r="AL35" i="45"/>
  <c r="AK144" i="45" a="1"/>
  <c r="AK44" i="45"/>
  <c r="AK42" i="45"/>
  <c r="AK37" i="45"/>
  <c r="AK39" i="45"/>
  <c r="AK43" i="45"/>
  <c r="AK40" i="45"/>
  <c r="AK41" i="45"/>
  <c r="AK38" i="45"/>
  <c r="D121" i="45"/>
  <c r="D120" i="45"/>
  <c r="D139" i="45"/>
  <c r="D125" i="45"/>
  <c r="D129" i="45"/>
  <c r="D122" i="45"/>
  <c r="D136" i="45"/>
  <c r="D126" i="45"/>
  <c r="D138" i="45"/>
  <c r="D111" i="45"/>
  <c r="D128" i="45"/>
  <c r="D137" i="45"/>
  <c r="D113" i="45"/>
  <c r="D112" i="45"/>
  <c r="D115" i="45"/>
  <c r="D116" i="45"/>
  <c r="D117" i="45"/>
  <c r="D124" i="45"/>
  <c r="D119" i="45"/>
  <c r="D130" i="45"/>
  <c r="D123" i="45"/>
  <c r="D132" i="45"/>
  <c r="D127" i="45"/>
  <c r="D134" i="45"/>
  <c r="D110" i="45"/>
  <c r="D131" i="45"/>
  <c r="D114" i="45"/>
  <c r="D133" i="45"/>
  <c r="D118" i="45"/>
  <c r="D135" i="45"/>
  <c r="F35" i="45"/>
  <c r="E144" i="45" a="1"/>
  <c r="E40" i="45"/>
  <c r="E49" i="45" s="1"/>
  <c r="E42" i="45"/>
  <c r="E44" i="45"/>
  <c r="E41" i="45"/>
  <c r="E39" i="45"/>
  <c r="E38" i="45"/>
  <c r="E37" i="45"/>
  <c r="E43" i="45"/>
  <c r="AF166" i="45"/>
  <c r="AF161" i="45"/>
  <c r="AF168" i="45"/>
  <c r="AF163" i="45"/>
  <c r="AF170" i="45"/>
  <c r="AF165" i="45"/>
  <c r="AF148" i="45"/>
  <c r="AF172" i="45"/>
  <c r="AF167" i="45"/>
  <c r="AF150" i="45"/>
  <c r="AF146" i="45"/>
  <c r="AF169" i="45"/>
  <c r="AF152" i="45"/>
  <c r="AF147" i="45"/>
  <c r="AF171" i="45"/>
  <c r="AF154" i="45"/>
  <c r="AF149" i="45"/>
  <c r="AF173" i="45"/>
  <c r="AF156" i="45"/>
  <c r="AF151" i="45"/>
  <c r="AF145" i="45"/>
  <c r="AF158" i="45"/>
  <c r="AF153" i="45"/>
  <c r="AF144" i="45"/>
  <c r="AF160" i="45"/>
  <c r="AF155" i="45"/>
  <c r="AF162" i="45"/>
  <c r="AF157" i="45"/>
  <c r="AF159" i="45"/>
  <c r="AF164" i="45"/>
  <c r="AZ35" i="45"/>
  <c r="AY41" i="45"/>
  <c r="AY43" i="45"/>
  <c r="AY42" i="45"/>
  <c r="AY144" i="45" a="1"/>
  <c r="AY44" i="45"/>
  <c r="AY39" i="45"/>
  <c r="AY38" i="45"/>
  <c r="AY37" i="45"/>
  <c r="AY40" i="45"/>
  <c r="Y169" i="45"/>
  <c r="Y164" i="45"/>
  <c r="Y157" i="45"/>
  <c r="Y171" i="45"/>
  <c r="Y154" i="45"/>
  <c r="Y155" i="45"/>
  <c r="Y152" i="45"/>
  <c r="Y153" i="45"/>
  <c r="Y151" i="45"/>
  <c r="Y156" i="45"/>
  <c r="Y158" i="45"/>
  <c r="Y146" i="45"/>
  <c r="Y160" i="45"/>
  <c r="Y144" i="45"/>
  <c r="Y148" i="45"/>
  <c r="Y165" i="45"/>
  <c r="Y162" i="45"/>
  <c r="Y166" i="45"/>
  <c r="Y161" i="45"/>
  <c r="Y159" i="45"/>
  <c r="Y170" i="45"/>
  <c r="Y167" i="45"/>
  <c r="Y172" i="45"/>
  <c r="Y168" i="45"/>
  <c r="Y163" i="45"/>
  <c r="Y150" i="45"/>
  <c r="Y173" i="45"/>
  <c r="Y145" i="45"/>
  <c r="Y147" i="45"/>
  <c r="Y149" i="45"/>
  <c r="BR162" i="45"/>
  <c r="BR155" i="45"/>
  <c r="BR165" i="45"/>
  <c r="BR170" i="45"/>
  <c r="BR157" i="45"/>
  <c r="BR167" i="45"/>
  <c r="BR152" i="45"/>
  <c r="BR161" i="45"/>
  <c r="BR153" i="45"/>
  <c r="BR171" i="45"/>
  <c r="BR154" i="45"/>
  <c r="BR173" i="45"/>
  <c r="BR144" i="45"/>
  <c r="BR156" i="45"/>
  <c r="BR145" i="45"/>
  <c r="BR158" i="45"/>
  <c r="BR166" i="45"/>
  <c r="BR159" i="45"/>
  <c r="BR146" i="45"/>
  <c r="BR160" i="45"/>
  <c r="BR147" i="45"/>
  <c r="BR164" i="45"/>
  <c r="BR148" i="45"/>
  <c r="BR168" i="45"/>
  <c r="BR149" i="45"/>
  <c r="BR172" i="45"/>
  <c r="BR150" i="45"/>
  <c r="BR163" i="45"/>
  <c r="BR151" i="45"/>
  <c r="BR169" i="45"/>
  <c r="O128" i="45"/>
  <c r="O129" i="45"/>
  <c r="O130" i="45"/>
  <c r="O131" i="45"/>
  <c r="O132" i="45"/>
  <c r="O133" i="45"/>
  <c r="O134" i="45"/>
  <c r="O135" i="45"/>
  <c r="O136" i="45"/>
  <c r="O137" i="45"/>
  <c r="O138" i="45"/>
  <c r="O139" i="45"/>
  <c r="O124" i="45"/>
  <c r="O112" i="45"/>
  <c r="O117" i="45"/>
  <c r="O119" i="45"/>
  <c r="O121" i="45"/>
  <c r="O122" i="45"/>
  <c r="O110" i="45"/>
  <c r="O123" i="45"/>
  <c r="O111" i="45"/>
  <c r="O118" i="45"/>
  <c r="O120" i="45"/>
  <c r="O125" i="45"/>
  <c r="O126" i="45"/>
  <c r="O115" i="45"/>
  <c r="O116" i="45"/>
  <c r="O127" i="45"/>
  <c r="O113" i="45"/>
  <c r="O114" i="45"/>
  <c r="AT154" i="45"/>
  <c r="AT167" i="45"/>
  <c r="AT150" i="45"/>
  <c r="AT168" i="45"/>
  <c r="AT151" i="45"/>
  <c r="AT166" i="45"/>
  <c r="AT147" i="45"/>
  <c r="AT152" i="45"/>
  <c r="AT159" i="45"/>
  <c r="AT155" i="45"/>
  <c r="AT172" i="45"/>
  <c r="AT171" i="45"/>
  <c r="AT148" i="45"/>
  <c r="AT145" i="45"/>
  <c r="AT149" i="45"/>
  <c r="AT156" i="45"/>
  <c r="AT162" i="45"/>
  <c r="AT158" i="45"/>
  <c r="AT164" i="45"/>
  <c r="AT144" i="45"/>
  <c r="AT160" i="45"/>
  <c r="AT165" i="45"/>
  <c r="AT170" i="45"/>
  <c r="AT153" i="45"/>
  <c r="AT169" i="45"/>
  <c r="AT173" i="45"/>
  <c r="AT161" i="45"/>
  <c r="AT157" i="45"/>
  <c r="AT146" i="45"/>
  <c r="AT163" i="45"/>
  <c r="P172" i="45"/>
  <c r="P168" i="45"/>
  <c r="P147" i="45"/>
  <c r="P164" i="45"/>
  <c r="P144" i="45"/>
  <c r="P173" i="45"/>
  <c r="P170" i="45"/>
  <c r="P169" i="45"/>
  <c r="P165" i="45"/>
  <c r="P160" i="45"/>
  <c r="P158" i="45"/>
  <c r="P146" i="45"/>
  <c r="P154" i="45"/>
  <c r="P163" i="45"/>
  <c r="P151" i="45"/>
  <c r="P171" i="45"/>
  <c r="P155" i="45"/>
  <c r="P156" i="45"/>
  <c r="P153" i="45"/>
  <c r="P150" i="45"/>
  <c r="P157" i="45"/>
  <c r="P167" i="45"/>
  <c r="P166" i="45"/>
  <c r="P148" i="45"/>
  <c r="P162" i="45"/>
  <c r="P145" i="45"/>
  <c r="P159" i="45"/>
  <c r="P152" i="45"/>
  <c r="P161" i="45"/>
  <c r="P149" i="45"/>
  <c r="T129" i="45"/>
  <c r="T130" i="45"/>
  <c r="T131" i="45"/>
  <c r="T132" i="45"/>
  <c r="T133" i="45"/>
  <c r="T134" i="45"/>
  <c r="T135" i="45"/>
  <c r="T136" i="45"/>
  <c r="T137" i="45"/>
  <c r="T138" i="45"/>
  <c r="T139" i="45"/>
  <c r="T121" i="45"/>
  <c r="T119" i="45"/>
  <c r="T123" i="45"/>
  <c r="T126" i="45"/>
  <c r="T127" i="45"/>
  <c r="T128" i="45"/>
  <c r="T122" i="45"/>
  <c r="T117" i="45"/>
  <c r="T114" i="45"/>
  <c r="T124" i="45"/>
  <c r="T118" i="45"/>
  <c r="T115" i="45"/>
  <c r="T125" i="45"/>
  <c r="T120" i="45"/>
  <c r="T111" i="45"/>
  <c r="T112" i="45"/>
  <c r="T110" i="45"/>
  <c r="T116" i="45"/>
  <c r="T113" i="45"/>
  <c r="BQ113" i="45"/>
  <c r="BQ124" i="45"/>
  <c r="BQ130" i="45"/>
  <c r="BQ114" i="45"/>
  <c r="BQ139" i="45"/>
  <c r="BQ119" i="45"/>
  <c r="BQ121" i="45"/>
  <c r="BQ127" i="45"/>
  <c r="BQ132" i="45"/>
  <c r="BQ112" i="45"/>
  <c r="BQ134" i="45"/>
  <c r="BQ120" i="45"/>
  <c r="BQ136" i="45"/>
  <c r="BQ118" i="45"/>
  <c r="BQ117" i="45"/>
  <c r="BQ138" i="45"/>
  <c r="BQ123" i="45"/>
  <c r="BQ125" i="45"/>
  <c r="BQ115" i="45"/>
  <c r="BQ126" i="45"/>
  <c r="BQ129" i="45"/>
  <c r="BQ116" i="45"/>
  <c r="BQ131" i="45"/>
  <c r="BQ110" i="45"/>
  <c r="BQ133" i="45"/>
  <c r="BQ122" i="45"/>
  <c r="BQ135" i="45"/>
  <c r="BQ111" i="45"/>
  <c r="BQ137" i="45"/>
  <c r="BQ128" i="45"/>
  <c r="BU170" i="45"/>
  <c r="BU163" i="45"/>
  <c r="BU149" i="45"/>
  <c r="BU150" i="45"/>
  <c r="BU161" i="45"/>
  <c r="BU153" i="45"/>
  <c r="BU154" i="45"/>
  <c r="BU171" i="45"/>
  <c r="BU164" i="45"/>
  <c r="BU167" i="45"/>
  <c r="BU166" i="45"/>
  <c r="BU173" i="45"/>
  <c r="BU168" i="45"/>
  <c r="BU160" i="45"/>
  <c r="BU152" i="45"/>
  <c r="BU156" i="45"/>
  <c r="BU158" i="45"/>
  <c r="BU157" i="45"/>
  <c r="BU172" i="45"/>
  <c r="BU146" i="45"/>
  <c r="BU148" i="45"/>
  <c r="BU169" i="45"/>
  <c r="BU145" i="45"/>
  <c r="BU159" i="45"/>
  <c r="BU162" i="45"/>
  <c r="BU165" i="45"/>
  <c r="BU144" i="45"/>
  <c r="BU147" i="45"/>
  <c r="BU151" i="45"/>
  <c r="BU155" i="45"/>
  <c r="G113" i="45"/>
  <c r="G115" i="45"/>
  <c r="G114" i="45"/>
  <c r="G137" i="45"/>
  <c r="G138" i="45"/>
  <c r="G139" i="45"/>
  <c r="G135" i="45"/>
  <c r="G112" i="45"/>
  <c r="G120" i="45"/>
  <c r="G124" i="45"/>
  <c r="G123" i="45"/>
  <c r="G125" i="45"/>
  <c r="G136" i="45"/>
  <c r="G119" i="45"/>
  <c r="G121" i="45"/>
  <c r="G127" i="45"/>
  <c r="G111" i="45"/>
  <c r="G122" i="45"/>
  <c r="G117" i="45"/>
  <c r="G116" i="45"/>
  <c r="G110" i="45"/>
  <c r="G130" i="45"/>
  <c r="G118" i="45"/>
  <c r="G131" i="45"/>
  <c r="G126" i="45"/>
  <c r="G132" i="45"/>
  <c r="G129" i="45"/>
  <c r="G133" i="45"/>
  <c r="G134" i="45"/>
  <c r="G128" i="45"/>
  <c r="Z37" i="45"/>
  <c r="Z38" i="45"/>
  <c r="Z40" i="45"/>
  <c r="Z44" i="45"/>
  <c r="Z41" i="45"/>
  <c r="Z42" i="45"/>
  <c r="Z39" i="45"/>
  <c r="Z43" i="45"/>
  <c r="BB150" i="45"/>
  <c r="BB173" i="45"/>
  <c r="BB168" i="45"/>
  <c r="BB161" i="45"/>
  <c r="BB144" i="45"/>
  <c r="BB158" i="45"/>
  <c r="BB152" i="45"/>
  <c r="BB151" i="45"/>
  <c r="BB159" i="45"/>
  <c r="BB154" i="45"/>
  <c r="BB153" i="45"/>
  <c r="BB163" i="45"/>
  <c r="BB145" i="45"/>
  <c r="BB155" i="45"/>
  <c r="BB172" i="45"/>
  <c r="BB146" i="45"/>
  <c r="BB160" i="45"/>
  <c r="BB157" i="45"/>
  <c r="BB169" i="45"/>
  <c r="BB162" i="45"/>
  <c r="BB148" i="45"/>
  <c r="BB147" i="45"/>
  <c r="BB171" i="45"/>
  <c r="BB165" i="45"/>
  <c r="BB156" i="45"/>
  <c r="BB164" i="45"/>
  <c r="BB166" i="45"/>
  <c r="BB170" i="45"/>
  <c r="BB149" i="45"/>
  <c r="BB167" i="45"/>
  <c r="AO172" i="45"/>
  <c r="AO149" i="45"/>
  <c r="AO171" i="45"/>
  <c r="AO166" i="45"/>
  <c r="AO148" i="45"/>
  <c r="AO160" i="45"/>
  <c r="AO169" i="45"/>
  <c r="AO159" i="45"/>
  <c r="AO154" i="45"/>
  <c r="AO151" i="45"/>
  <c r="AO153" i="45"/>
  <c r="AO150" i="45"/>
  <c r="AO152" i="45"/>
  <c r="AO145" i="45"/>
  <c r="AO158" i="45"/>
  <c r="AO165" i="45"/>
  <c r="AO146" i="45"/>
  <c r="AO167" i="45"/>
  <c r="AO161" i="45"/>
  <c r="AO173" i="45"/>
  <c r="AO164" i="45"/>
  <c r="AO157" i="45"/>
  <c r="AO168" i="45"/>
  <c r="AO156" i="45"/>
  <c r="AO162" i="45"/>
  <c r="AO147" i="45"/>
  <c r="AO170" i="45"/>
  <c r="AO155" i="45"/>
  <c r="AO163" i="45"/>
  <c r="AO144" i="45"/>
  <c r="BT35" i="45"/>
  <c r="BS38" i="45"/>
  <c r="BS144" i="45" a="1"/>
  <c r="BS39" i="45"/>
  <c r="BS42" i="45"/>
  <c r="BS43" i="45"/>
  <c r="BS40" i="45"/>
  <c r="BS44" i="45"/>
  <c r="BS41" i="45"/>
  <c r="BS37" i="45"/>
  <c r="Y57" i="45" l="1"/>
  <c r="BW147" i="45"/>
  <c r="BW146" i="45"/>
  <c r="BW152" i="45"/>
  <c r="BW156" i="45"/>
  <c r="BW165" i="45"/>
  <c r="BW167" i="45"/>
  <c r="BW164" i="45"/>
  <c r="BW170" i="45"/>
  <c r="BW171" i="45"/>
  <c r="BW149" i="45"/>
  <c r="BW151" i="45"/>
  <c r="BW169" i="45"/>
  <c r="BW160" i="45"/>
  <c r="BW173" i="45"/>
  <c r="BW163" i="45"/>
  <c r="BW162" i="45"/>
  <c r="BW172" i="45"/>
  <c r="BW168" i="45"/>
  <c r="BW166" i="45"/>
  <c r="BW144" i="45"/>
  <c r="BW161" i="45"/>
  <c r="BW153" i="45"/>
  <c r="BW155" i="45"/>
  <c r="BW158" i="45"/>
  <c r="BW159" i="45"/>
  <c r="BW157" i="45"/>
  <c r="BW154" i="45"/>
  <c r="BW145" i="45"/>
  <c r="BW148" i="45"/>
  <c r="BW150" i="45"/>
  <c r="BK164" i="45"/>
  <c r="BK159" i="45"/>
  <c r="BK173" i="45"/>
  <c r="BK146" i="45"/>
  <c r="BK149" i="45"/>
  <c r="BK153" i="45"/>
  <c r="BK157" i="45"/>
  <c r="BK144" i="45"/>
  <c r="BK160" i="45"/>
  <c r="BK167" i="45"/>
  <c r="BK161" i="45"/>
  <c r="BK171" i="45"/>
  <c r="BK166" i="45"/>
  <c r="BK148" i="45"/>
  <c r="BK168" i="45"/>
  <c r="BK156" i="45"/>
  <c r="BK170" i="45"/>
  <c r="BK147" i="45"/>
  <c r="BK172" i="45"/>
  <c r="BK155" i="45"/>
  <c r="BK163" i="45"/>
  <c r="BK154" i="45"/>
  <c r="BK169" i="45"/>
  <c r="BK152" i="45"/>
  <c r="BK151" i="45"/>
  <c r="BK150" i="45"/>
  <c r="BK162" i="45"/>
  <c r="BK158" i="45"/>
  <c r="BK145" i="45"/>
  <c r="BK165" i="45"/>
  <c r="U129" i="45"/>
  <c r="U130" i="45"/>
  <c r="U131" i="45"/>
  <c r="U132" i="45"/>
  <c r="U133" i="45"/>
  <c r="U134" i="45"/>
  <c r="U135" i="45"/>
  <c r="U136" i="45"/>
  <c r="U137" i="45"/>
  <c r="U138" i="45"/>
  <c r="U139" i="45"/>
  <c r="U125" i="45"/>
  <c r="U118" i="45"/>
  <c r="U111" i="45"/>
  <c r="U126" i="45"/>
  <c r="U119" i="45"/>
  <c r="U127" i="45"/>
  <c r="U120" i="45"/>
  <c r="U113" i="45"/>
  <c r="U114" i="45"/>
  <c r="U121" i="45"/>
  <c r="U122" i="45"/>
  <c r="U124" i="45"/>
  <c r="U117" i="45"/>
  <c r="U49" i="45"/>
  <c r="U110" i="45"/>
  <c r="U115" i="45"/>
  <c r="U123" i="45"/>
  <c r="U116" i="45"/>
  <c r="U128" i="45"/>
  <c r="U112" i="45"/>
  <c r="BS162" i="45"/>
  <c r="BS148" i="45"/>
  <c r="BS167" i="45"/>
  <c r="BS151" i="45"/>
  <c r="BS160" i="45"/>
  <c r="BS152" i="45"/>
  <c r="BS164" i="45"/>
  <c r="BS144" i="45"/>
  <c r="BS146" i="45"/>
  <c r="BS165" i="45"/>
  <c r="BS159" i="45"/>
  <c r="BS149" i="45"/>
  <c r="BS157" i="45"/>
  <c r="BS145" i="45"/>
  <c r="BS158" i="45"/>
  <c r="BS166" i="45"/>
  <c r="BS168" i="45"/>
  <c r="BS170" i="45"/>
  <c r="BS172" i="45"/>
  <c r="BS150" i="45"/>
  <c r="BS161" i="45"/>
  <c r="BS147" i="45"/>
  <c r="BS163" i="45"/>
  <c r="BS153" i="45"/>
  <c r="BS169" i="45"/>
  <c r="BS154" i="45"/>
  <c r="BS171" i="45"/>
  <c r="BS156" i="45"/>
  <c r="BS155" i="45"/>
  <c r="BS173" i="45"/>
  <c r="I66" i="45"/>
  <c r="I51" i="45"/>
  <c r="I56" i="45"/>
  <c r="I57" i="45" s="1"/>
  <c r="I60" i="45"/>
  <c r="BX42" i="45"/>
  <c r="BX39" i="45"/>
  <c r="BX37" i="45"/>
  <c r="BX41" i="45"/>
  <c r="BX43" i="45"/>
  <c r="BX38" i="45"/>
  <c r="BX44" i="45"/>
  <c r="BX40" i="45"/>
  <c r="AU66" i="45"/>
  <c r="AU60" i="45"/>
  <c r="AU56" i="45"/>
  <c r="AU57" i="45" s="1"/>
  <c r="AU51" i="45"/>
  <c r="Y52" i="45"/>
  <c r="Y62" i="45"/>
  <c r="Y63" i="45" s="1"/>
  <c r="Y67" i="45"/>
  <c r="Y53" i="45"/>
  <c r="Y54" i="45" s="1"/>
  <c r="Y61" i="45"/>
  <c r="Y68" i="45"/>
  <c r="Y69" i="45" s="1"/>
  <c r="AG165" i="45"/>
  <c r="AG157" i="45"/>
  <c r="AG148" i="45"/>
  <c r="AG147" i="45"/>
  <c r="AG159" i="45"/>
  <c r="AG156" i="45"/>
  <c r="AG168" i="45"/>
  <c r="AG164" i="45"/>
  <c r="AG153" i="45"/>
  <c r="AG155" i="45"/>
  <c r="AG172" i="45"/>
  <c r="AG162" i="45"/>
  <c r="AG151" i="45"/>
  <c r="AG158" i="45"/>
  <c r="AG170" i="45"/>
  <c r="AG166" i="45"/>
  <c r="AG150" i="45"/>
  <c r="AG144" i="45"/>
  <c r="AG149" i="45"/>
  <c r="AG152" i="45"/>
  <c r="AG161" i="45"/>
  <c r="AG167" i="45"/>
  <c r="AG154" i="45"/>
  <c r="AG146" i="45"/>
  <c r="AG163" i="45"/>
  <c r="AG173" i="45"/>
  <c r="AG160" i="45"/>
  <c r="AG169" i="45"/>
  <c r="AG145" i="45"/>
  <c r="AG171" i="45"/>
  <c r="AQ128" i="45"/>
  <c r="AQ129" i="45"/>
  <c r="AQ130" i="45"/>
  <c r="AQ131" i="45"/>
  <c r="AQ132" i="45"/>
  <c r="AQ133" i="45"/>
  <c r="AQ134" i="45"/>
  <c r="AQ135" i="45"/>
  <c r="AQ136" i="45"/>
  <c r="AQ137" i="45"/>
  <c r="AQ138" i="45"/>
  <c r="AQ139" i="45"/>
  <c r="AQ120" i="45"/>
  <c r="AQ119" i="45"/>
  <c r="AQ121" i="45"/>
  <c r="AQ122" i="45"/>
  <c r="AQ125" i="45"/>
  <c r="AQ111" i="45"/>
  <c r="AQ126" i="45"/>
  <c r="AQ112" i="45"/>
  <c r="AQ127" i="45"/>
  <c r="AQ118" i="45"/>
  <c r="AQ49" i="45"/>
  <c r="AQ110" i="45"/>
  <c r="AQ115" i="45"/>
  <c r="AQ123" i="45"/>
  <c r="AQ116" i="45"/>
  <c r="AQ113" i="45"/>
  <c r="AQ124" i="45"/>
  <c r="AQ117" i="45"/>
  <c r="AQ114" i="45"/>
  <c r="Q160" i="45"/>
  <c r="Q173" i="45"/>
  <c r="Q152" i="45"/>
  <c r="Q153" i="45"/>
  <c r="Q172" i="45"/>
  <c r="Q157" i="45"/>
  <c r="Q164" i="45"/>
  <c r="Q155" i="45"/>
  <c r="Q159" i="45"/>
  <c r="Q169" i="45"/>
  <c r="Q148" i="45"/>
  <c r="Q171" i="45"/>
  <c r="Q166" i="45"/>
  <c r="Q168" i="45"/>
  <c r="Q145" i="45"/>
  <c r="Q158" i="45"/>
  <c r="Q149" i="45"/>
  <c r="Q162" i="45"/>
  <c r="Q154" i="45"/>
  <c r="Q161" i="45"/>
  <c r="Q165" i="45"/>
  <c r="Q144" i="45"/>
  <c r="Q147" i="45"/>
  <c r="Q163" i="45"/>
  <c r="Q156" i="45"/>
  <c r="Q150" i="45"/>
  <c r="Q167" i="45"/>
  <c r="Q170" i="45"/>
  <c r="Q146" i="45"/>
  <c r="Q151" i="45"/>
  <c r="BC56" i="45"/>
  <c r="BC57" i="45" s="1"/>
  <c r="BC66" i="45"/>
  <c r="BC60" i="45"/>
  <c r="BC51" i="45"/>
  <c r="AC160" i="45"/>
  <c r="AC170" i="45"/>
  <c r="AC153" i="45"/>
  <c r="AC149" i="45"/>
  <c r="AC150" i="45"/>
  <c r="AC144" i="45"/>
  <c r="AC151" i="45"/>
  <c r="AC164" i="45"/>
  <c r="AC169" i="45"/>
  <c r="AC168" i="45"/>
  <c r="AC147" i="45"/>
  <c r="AC157" i="45"/>
  <c r="AC152" i="45"/>
  <c r="AC154" i="45"/>
  <c r="AC155" i="45"/>
  <c r="AC172" i="45"/>
  <c r="AC167" i="45"/>
  <c r="AC156" i="45"/>
  <c r="AC145" i="45"/>
  <c r="AC162" i="45"/>
  <c r="AC159" i="45"/>
  <c r="AC146" i="45"/>
  <c r="AC171" i="45"/>
  <c r="AC165" i="45"/>
  <c r="AC173" i="45"/>
  <c r="AC148" i="45"/>
  <c r="AC166" i="45"/>
  <c r="AC163" i="45"/>
  <c r="AC161" i="45"/>
  <c r="AC158" i="45"/>
  <c r="AU133" i="45"/>
  <c r="AU116" i="45"/>
  <c r="AU123" i="45"/>
  <c r="AU121" i="45"/>
  <c r="AU118" i="45"/>
  <c r="AU137" i="45"/>
  <c r="AU128" i="45"/>
  <c r="AU127" i="45"/>
  <c r="AU132" i="45"/>
  <c r="AU126" i="45"/>
  <c r="AU113" i="45"/>
  <c r="AU135" i="45"/>
  <c r="AU119" i="45"/>
  <c r="AU138" i="45"/>
  <c r="AU111" i="45"/>
  <c r="AU49" i="45"/>
  <c r="AU117" i="45"/>
  <c r="AU110" i="45"/>
  <c r="AU129" i="45"/>
  <c r="AU112" i="45"/>
  <c r="AU130" i="45"/>
  <c r="AU114" i="45"/>
  <c r="AU131" i="45"/>
  <c r="AU120" i="45"/>
  <c r="AU134" i="45"/>
  <c r="AU122" i="45"/>
  <c r="AU125" i="45"/>
  <c r="AU139" i="45"/>
  <c r="AU124" i="45"/>
  <c r="AU115" i="45"/>
  <c r="AU136" i="45"/>
  <c r="AH44" i="45"/>
  <c r="AH42" i="45"/>
  <c r="AH40" i="45"/>
  <c r="AH38" i="45"/>
  <c r="AH41" i="45"/>
  <c r="AH39" i="45"/>
  <c r="AH37" i="45"/>
  <c r="AH43" i="45"/>
  <c r="R44" i="45"/>
  <c r="R39" i="45"/>
  <c r="R43" i="45"/>
  <c r="R37" i="45"/>
  <c r="R38" i="45"/>
  <c r="R40" i="45"/>
  <c r="R41" i="45"/>
  <c r="R42" i="45"/>
  <c r="E66" i="45"/>
  <c r="E51" i="45"/>
  <c r="E56" i="45"/>
  <c r="E58" i="45" s="1"/>
  <c r="E60" i="45"/>
  <c r="BT41" i="45"/>
  <c r="BT42" i="45"/>
  <c r="BT39" i="45"/>
  <c r="BT40" i="45"/>
  <c r="BT44" i="45"/>
  <c r="BT37" i="45"/>
  <c r="BT38" i="45"/>
  <c r="BT43" i="45"/>
  <c r="AZ38" i="45"/>
  <c r="AZ39" i="45"/>
  <c r="AZ41" i="45"/>
  <c r="AZ40" i="45"/>
  <c r="AZ43" i="45"/>
  <c r="AZ37" i="45"/>
  <c r="AZ42" i="45"/>
  <c r="AZ44" i="45"/>
  <c r="BC127" i="45"/>
  <c r="BC128" i="45"/>
  <c r="BC129" i="45"/>
  <c r="BC130" i="45"/>
  <c r="BC131" i="45"/>
  <c r="BC132" i="45"/>
  <c r="BC133" i="45"/>
  <c r="BC134" i="45"/>
  <c r="BC135" i="45"/>
  <c r="BC136" i="45"/>
  <c r="BC137" i="45"/>
  <c r="BC138" i="45"/>
  <c r="BC139" i="45"/>
  <c r="BC119" i="45"/>
  <c r="BC115" i="45"/>
  <c r="BC120" i="45"/>
  <c r="BC116" i="45"/>
  <c r="BC121" i="45"/>
  <c r="BC117" i="45"/>
  <c r="BC124" i="45"/>
  <c r="BC125" i="45"/>
  <c r="BC126" i="45"/>
  <c r="BC114" i="45"/>
  <c r="BC110" i="45"/>
  <c r="BC49" i="45"/>
  <c r="BC122" i="45"/>
  <c r="BC118" i="45"/>
  <c r="BC111" i="45"/>
  <c r="BC123" i="45"/>
  <c r="BC112" i="45"/>
  <c r="BC113" i="45"/>
  <c r="M127" i="45"/>
  <c r="M128" i="45"/>
  <c r="M129" i="45"/>
  <c r="M130" i="45"/>
  <c r="M131" i="45"/>
  <c r="M132" i="45"/>
  <c r="M133" i="45"/>
  <c r="M134" i="45"/>
  <c r="M135" i="45"/>
  <c r="M136" i="45"/>
  <c r="M137" i="45"/>
  <c r="M138" i="45"/>
  <c r="M139" i="45"/>
  <c r="M123" i="45"/>
  <c r="M124" i="45"/>
  <c r="M125" i="45"/>
  <c r="M110" i="45"/>
  <c r="M49" i="45"/>
  <c r="M122" i="45"/>
  <c r="M118" i="45"/>
  <c r="M113" i="45"/>
  <c r="M114" i="45"/>
  <c r="M115" i="45"/>
  <c r="M116" i="45"/>
  <c r="M117" i="45"/>
  <c r="M119" i="45"/>
  <c r="M120" i="45"/>
  <c r="M121" i="45"/>
  <c r="M126" i="45"/>
  <c r="M111" i="45"/>
  <c r="M112" i="45"/>
  <c r="I131" i="45"/>
  <c r="I132" i="45"/>
  <c r="I133" i="45"/>
  <c r="I134" i="45"/>
  <c r="I135" i="45"/>
  <c r="I136" i="45"/>
  <c r="I137" i="45"/>
  <c r="I138" i="45"/>
  <c r="I139" i="45"/>
  <c r="I124" i="45"/>
  <c r="I120" i="45"/>
  <c r="I110" i="45"/>
  <c r="I125" i="45"/>
  <c r="I121" i="45"/>
  <c r="I113" i="45"/>
  <c r="I126" i="45"/>
  <c r="I122" i="45"/>
  <c r="I127" i="45"/>
  <c r="I128" i="45"/>
  <c r="I130" i="45"/>
  <c r="I111" i="45"/>
  <c r="I49" i="45"/>
  <c r="I112" i="45"/>
  <c r="I114" i="45"/>
  <c r="I115" i="45"/>
  <c r="I118" i="45"/>
  <c r="I116" i="45"/>
  <c r="I123" i="45"/>
  <c r="I119" i="45"/>
  <c r="I117" i="45"/>
  <c r="I129" i="45"/>
  <c r="AD37" i="45"/>
  <c r="AD44" i="45"/>
  <c r="AD39" i="45"/>
  <c r="AD41" i="45"/>
  <c r="AD42" i="45"/>
  <c r="AD43" i="45"/>
  <c r="AD40" i="45"/>
  <c r="AD38" i="45"/>
  <c r="AQ149" i="45"/>
  <c r="AQ162" i="45"/>
  <c r="AQ166" i="45"/>
  <c r="AQ145" i="45"/>
  <c r="AQ151" i="45"/>
  <c r="AQ157" i="45"/>
  <c r="AQ156" i="45"/>
  <c r="AQ161" i="45"/>
  <c r="AQ165" i="45"/>
  <c r="AQ147" i="45"/>
  <c r="AQ171" i="45"/>
  <c r="AQ159" i="45"/>
  <c r="AQ154" i="45"/>
  <c r="AQ172" i="45"/>
  <c r="AQ164" i="45"/>
  <c r="AQ155" i="45"/>
  <c r="AQ158" i="45"/>
  <c r="AQ153" i="45"/>
  <c r="AQ163" i="45"/>
  <c r="AQ160" i="45"/>
  <c r="AQ173" i="45"/>
  <c r="AQ167" i="45"/>
  <c r="AQ146" i="45"/>
  <c r="AQ150" i="45"/>
  <c r="AQ148" i="45"/>
  <c r="AQ144" i="45"/>
  <c r="AQ170" i="45"/>
  <c r="AQ169" i="45"/>
  <c r="AQ152" i="45"/>
  <c r="AQ168" i="45"/>
  <c r="AK130" i="45"/>
  <c r="AK131" i="45"/>
  <c r="AK132" i="45"/>
  <c r="AK133" i="45"/>
  <c r="AK134" i="45"/>
  <c r="AK135" i="45"/>
  <c r="AK136" i="45"/>
  <c r="AK137" i="45"/>
  <c r="AK138" i="45"/>
  <c r="AK139" i="45"/>
  <c r="AK122" i="45"/>
  <c r="AK113" i="45"/>
  <c r="AK123" i="45"/>
  <c r="AK124" i="45"/>
  <c r="AK116" i="45"/>
  <c r="AK127" i="45"/>
  <c r="AK117" i="45"/>
  <c r="AK128" i="45"/>
  <c r="AK118" i="45"/>
  <c r="AK129" i="45"/>
  <c r="AK119" i="45"/>
  <c r="AK114" i="45"/>
  <c r="AK110" i="45"/>
  <c r="AK112" i="45"/>
  <c r="AK115" i="45"/>
  <c r="AK125" i="45"/>
  <c r="AK120" i="45"/>
  <c r="AK126" i="45"/>
  <c r="AK121" i="45"/>
  <c r="AK111" i="45"/>
  <c r="AK49" i="45"/>
  <c r="BO51" i="45"/>
  <c r="BO60" i="45"/>
  <c r="BO66" i="45"/>
  <c r="BO56" i="45"/>
  <c r="BO57" i="45" s="1"/>
  <c r="AR41" i="45"/>
  <c r="AR44" i="45"/>
  <c r="AR40" i="45"/>
  <c r="AR37" i="45"/>
  <c r="AR39" i="45"/>
  <c r="AR43" i="45"/>
  <c r="AR42" i="45"/>
  <c r="AR38" i="45"/>
  <c r="U172" i="45"/>
  <c r="U169" i="45"/>
  <c r="U144" i="45"/>
  <c r="U164" i="45"/>
  <c r="U157" i="45"/>
  <c r="U149" i="45"/>
  <c r="U167" i="45"/>
  <c r="U150" i="45"/>
  <c r="U147" i="45"/>
  <c r="U159" i="45"/>
  <c r="U155" i="45"/>
  <c r="U151" i="45"/>
  <c r="U168" i="45"/>
  <c r="U170" i="45"/>
  <c r="U152" i="45"/>
  <c r="U156" i="45"/>
  <c r="U160" i="45"/>
  <c r="U148" i="45"/>
  <c r="U154" i="45"/>
  <c r="U145" i="45"/>
  <c r="U158" i="45"/>
  <c r="U162" i="45"/>
  <c r="U166" i="45"/>
  <c r="U171" i="45"/>
  <c r="U163" i="45"/>
  <c r="U173" i="45"/>
  <c r="U153" i="45"/>
  <c r="U146" i="45"/>
  <c r="U165" i="45"/>
  <c r="U161" i="45"/>
  <c r="AL41" i="45"/>
  <c r="AL37" i="45"/>
  <c r="AL42" i="45"/>
  <c r="AL38" i="45"/>
  <c r="AL39" i="45"/>
  <c r="AL43" i="45"/>
  <c r="AL44" i="45"/>
  <c r="AL40" i="45"/>
  <c r="BH37" i="45"/>
  <c r="BH44" i="45"/>
  <c r="BH38" i="45"/>
  <c r="BH43" i="45"/>
  <c r="BH40" i="45"/>
  <c r="BH42" i="45"/>
  <c r="BH39" i="45"/>
  <c r="BH41" i="45"/>
  <c r="BK60" i="45"/>
  <c r="BK56" i="45"/>
  <c r="BK57" i="45" s="1"/>
  <c r="BK66" i="45"/>
  <c r="BK51" i="45"/>
  <c r="E127" i="45"/>
  <c r="E128" i="45"/>
  <c r="E129" i="45"/>
  <c r="E130" i="45"/>
  <c r="E131" i="45"/>
  <c r="E132" i="45"/>
  <c r="E133" i="45"/>
  <c r="E134" i="45"/>
  <c r="E135" i="45"/>
  <c r="E136" i="45"/>
  <c r="E137" i="45"/>
  <c r="E138" i="45"/>
  <c r="E139" i="45"/>
  <c r="E123" i="45"/>
  <c r="E124" i="45"/>
  <c r="E114" i="45"/>
  <c r="E125" i="45"/>
  <c r="E115" i="45"/>
  <c r="E118" i="45"/>
  <c r="E120" i="45"/>
  <c r="E122" i="45"/>
  <c r="E121" i="45"/>
  <c r="E117" i="45"/>
  <c r="E126" i="45"/>
  <c r="E110" i="45"/>
  <c r="E111" i="45"/>
  <c r="E112" i="45"/>
  <c r="E119" i="45"/>
  <c r="E116" i="45"/>
  <c r="E113" i="45"/>
  <c r="BG113" i="45"/>
  <c r="BG118" i="45"/>
  <c r="BG127" i="45"/>
  <c r="BG117" i="45"/>
  <c r="BG136" i="45"/>
  <c r="BG110" i="45"/>
  <c r="BG129" i="45"/>
  <c r="BG125" i="45"/>
  <c r="BG130" i="45"/>
  <c r="BG135" i="45"/>
  <c r="BG111" i="45"/>
  <c r="BG131" i="45"/>
  <c r="BG137" i="45"/>
  <c r="BG115" i="45"/>
  <c r="BG132" i="45"/>
  <c r="BG139" i="45"/>
  <c r="BG119" i="45"/>
  <c r="BG133" i="45"/>
  <c r="BG123" i="45"/>
  <c r="BG134" i="45"/>
  <c r="BG112" i="45"/>
  <c r="BG138" i="45"/>
  <c r="BG120" i="45"/>
  <c r="BG128" i="45"/>
  <c r="BG49" i="45"/>
  <c r="BG116" i="45"/>
  <c r="BG114" i="45"/>
  <c r="BG121" i="45"/>
  <c r="BG124" i="45"/>
  <c r="BG122" i="45"/>
  <c r="BG126" i="45"/>
  <c r="AU148" i="45"/>
  <c r="AU155" i="45"/>
  <c r="AU162" i="45"/>
  <c r="AU153" i="45"/>
  <c r="AU171" i="45"/>
  <c r="AU154" i="45"/>
  <c r="AU161" i="45"/>
  <c r="AU146" i="45"/>
  <c r="AU147" i="45"/>
  <c r="AU172" i="45"/>
  <c r="AU173" i="45"/>
  <c r="AU167" i="45"/>
  <c r="AU166" i="45"/>
  <c r="AU149" i="45"/>
  <c r="AU164" i="45"/>
  <c r="AU150" i="45"/>
  <c r="AU151" i="45"/>
  <c r="AU168" i="45"/>
  <c r="AU152" i="45"/>
  <c r="AU170" i="45"/>
  <c r="AU156" i="45"/>
  <c r="AU157" i="45"/>
  <c r="AU158" i="45"/>
  <c r="AU160" i="45"/>
  <c r="AU144" i="45"/>
  <c r="AU159" i="45"/>
  <c r="AU165" i="45"/>
  <c r="AU145" i="45"/>
  <c r="AU169" i="45"/>
  <c r="AU163" i="45"/>
  <c r="AG66" i="45"/>
  <c r="AG60" i="45"/>
  <c r="AG51" i="45"/>
  <c r="AG56" i="45"/>
  <c r="AG57" i="45" s="1"/>
  <c r="Q51" i="45"/>
  <c r="Q56" i="45"/>
  <c r="Q58" i="45" s="1"/>
  <c r="Q66" i="45"/>
  <c r="Q60" i="45"/>
  <c r="U51" i="45"/>
  <c r="U60" i="45"/>
  <c r="U66" i="45"/>
  <c r="U56" i="45"/>
  <c r="U58" i="45" s="1"/>
  <c r="AY148" i="45"/>
  <c r="AY159" i="45"/>
  <c r="AY163" i="45"/>
  <c r="AY160" i="45"/>
  <c r="AY164" i="45"/>
  <c r="AY152" i="45"/>
  <c r="AY168" i="45"/>
  <c r="AY146" i="45"/>
  <c r="AY157" i="45"/>
  <c r="AY173" i="45"/>
  <c r="AY145" i="45"/>
  <c r="AY170" i="45"/>
  <c r="AY150" i="45"/>
  <c r="AY172" i="45"/>
  <c r="AY154" i="45"/>
  <c r="AY165" i="45"/>
  <c r="AY156" i="45"/>
  <c r="AY171" i="45"/>
  <c r="AY158" i="45"/>
  <c r="AY167" i="45"/>
  <c r="AY149" i="45"/>
  <c r="AY169" i="45"/>
  <c r="AY151" i="45"/>
  <c r="AY153" i="45"/>
  <c r="AY155" i="45"/>
  <c r="AY161" i="45"/>
  <c r="AY147" i="45"/>
  <c r="AY162" i="45"/>
  <c r="AY144" i="45"/>
  <c r="AY166" i="45"/>
  <c r="BP44" i="45"/>
  <c r="BP42" i="45"/>
  <c r="BP40" i="45"/>
  <c r="BP37" i="45"/>
  <c r="BP41" i="45"/>
  <c r="BP38" i="45"/>
  <c r="BP39" i="45"/>
  <c r="BP43" i="45"/>
  <c r="BS51" i="45"/>
  <c r="BS56" i="45"/>
  <c r="BS57" i="45" s="1"/>
  <c r="BS60" i="45"/>
  <c r="BS66" i="45"/>
  <c r="AY110" i="45"/>
  <c r="AY133" i="45"/>
  <c r="AY128" i="45"/>
  <c r="AY117" i="45"/>
  <c r="AY113" i="45"/>
  <c r="AY111" i="45"/>
  <c r="AY49" i="45"/>
  <c r="AY135" i="45"/>
  <c r="AY132" i="45"/>
  <c r="AY121" i="45"/>
  <c r="AY137" i="45"/>
  <c r="AY122" i="45"/>
  <c r="AY139" i="45"/>
  <c r="AY138" i="45"/>
  <c r="AY126" i="45"/>
  <c r="AY116" i="45"/>
  <c r="AY124" i="45"/>
  <c r="AY112" i="45"/>
  <c r="AY114" i="45"/>
  <c r="AY120" i="45"/>
  <c r="AY125" i="45"/>
  <c r="AY115" i="45"/>
  <c r="AY129" i="45"/>
  <c r="AY123" i="45"/>
  <c r="AY131" i="45"/>
  <c r="AY119" i="45"/>
  <c r="AY134" i="45"/>
  <c r="AY127" i="45"/>
  <c r="AY118" i="45"/>
  <c r="AY136" i="45"/>
  <c r="AY130" i="45"/>
  <c r="E152" i="45"/>
  <c r="E147" i="45"/>
  <c r="E162" i="45"/>
  <c r="E171" i="45"/>
  <c r="E168" i="45"/>
  <c r="E144" i="45"/>
  <c r="E169" i="45"/>
  <c r="E166" i="45"/>
  <c r="E163" i="45"/>
  <c r="E160" i="45"/>
  <c r="E145" i="45"/>
  <c r="E164" i="45"/>
  <c r="E146" i="45"/>
  <c r="E151" i="45"/>
  <c r="E154" i="45"/>
  <c r="E158" i="45"/>
  <c r="E149" i="45"/>
  <c r="E172" i="45"/>
  <c r="E170" i="45"/>
  <c r="E167" i="45"/>
  <c r="E155" i="45"/>
  <c r="E165" i="45"/>
  <c r="E156" i="45"/>
  <c r="E161" i="45"/>
  <c r="E159" i="45"/>
  <c r="E173" i="45"/>
  <c r="E148" i="45"/>
  <c r="E150" i="45"/>
  <c r="E157" i="45"/>
  <c r="E153" i="45"/>
  <c r="M169" i="45"/>
  <c r="M148" i="45"/>
  <c r="M162" i="45"/>
  <c r="M161" i="45"/>
  <c r="M155" i="45"/>
  <c r="M144" i="45"/>
  <c r="M147" i="45"/>
  <c r="M154" i="45"/>
  <c r="M145" i="45"/>
  <c r="M158" i="45"/>
  <c r="M167" i="45"/>
  <c r="M149" i="45"/>
  <c r="M157" i="45"/>
  <c r="M165" i="45"/>
  <c r="M172" i="45"/>
  <c r="M173" i="45"/>
  <c r="M163" i="45"/>
  <c r="M171" i="45"/>
  <c r="M168" i="45"/>
  <c r="M164" i="45"/>
  <c r="M170" i="45"/>
  <c r="M156" i="45"/>
  <c r="M159" i="45"/>
  <c r="M152" i="45"/>
  <c r="M160" i="45"/>
  <c r="M151" i="45"/>
  <c r="M153" i="45"/>
  <c r="M166" i="45"/>
  <c r="M146" i="45"/>
  <c r="M150" i="45"/>
  <c r="BW128" i="45"/>
  <c r="BW129" i="45"/>
  <c r="BW130" i="45"/>
  <c r="BW131" i="45"/>
  <c r="BW132" i="45"/>
  <c r="BW133" i="45"/>
  <c r="BW134" i="45"/>
  <c r="BW135" i="45"/>
  <c r="BW136" i="45"/>
  <c r="BW137" i="45"/>
  <c r="BW138" i="45"/>
  <c r="BW139" i="45"/>
  <c r="BW124" i="45"/>
  <c r="BW49" i="45"/>
  <c r="BW125" i="45"/>
  <c r="BW126" i="45"/>
  <c r="BW116" i="45"/>
  <c r="BW112" i="45"/>
  <c r="BW117" i="45"/>
  <c r="BW113" i="45"/>
  <c r="BW123" i="45"/>
  <c r="BW110" i="45"/>
  <c r="BW111" i="45"/>
  <c r="BW114" i="45"/>
  <c r="BW115" i="45"/>
  <c r="BW120" i="45"/>
  <c r="BW118" i="45"/>
  <c r="BW121" i="45"/>
  <c r="BW119" i="45"/>
  <c r="BW122" i="45"/>
  <c r="BW127" i="45"/>
  <c r="AC51" i="45"/>
  <c r="AC60" i="45"/>
  <c r="AC66" i="45"/>
  <c r="AC56" i="45"/>
  <c r="AC57" i="45" s="1"/>
  <c r="BL42" i="45"/>
  <c r="BL39" i="45"/>
  <c r="BL44" i="45"/>
  <c r="BL41" i="45"/>
  <c r="BL38" i="45"/>
  <c r="BL43" i="45"/>
  <c r="BL37" i="45"/>
  <c r="BL40" i="45"/>
  <c r="Q129" i="45"/>
  <c r="Q130" i="45"/>
  <c r="Q131" i="45"/>
  <c r="Q132" i="45"/>
  <c r="Q133" i="45"/>
  <c r="Q134" i="45"/>
  <c r="Q135" i="45"/>
  <c r="Q136" i="45"/>
  <c r="Q137" i="45"/>
  <c r="Q138" i="45"/>
  <c r="Q139" i="45"/>
  <c r="Q119" i="45"/>
  <c r="Q111" i="45"/>
  <c r="Q120" i="45"/>
  <c r="Q122" i="45"/>
  <c r="Q123" i="45"/>
  <c r="Q113" i="45"/>
  <c r="Q124" i="45"/>
  <c r="Q128" i="45"/>
  <c r="Q118" i="45"/>
  <c r="Q125" i="45"/>
  <c r="Q126" i="45"/>
  <c r="Q127" i="45"/>
  <c r="Q110" i="45"/>
  <c r="Q49" i="45"/>
  <c r="Q112" i="45"/>
  <c r="Q116" i="45"/>
  <c r="Q114" i="45"/>
  <c r="Q117" i="45"/>
  <c r="Q115" i="45"/>
  <c r="Q121" i="45"/>
  <c r="V39" i="45"/>
  <c r="V41" i="45"/>
  <c r="V38" i="45"/>
  <c r="V40" i="45"/>
  <c r="V44" i="45"/>
  <c r="V43" i="45"/>
  <c r="V42" i="45"/>
  <c r="V37" i="45"/>
  <c r="AY66" i="45"/>
  <c r="AY56" i="45"/>
  <c r="AY57" i="45" s="1"/>
  <c r="AY60" i="45"/>
  <c r="AY51" i="45"/>
  <c r="F38" i="45"/>
  <c r="F39" i="45"/>
  <c r="F40" i="45"/>
  <c r="F41" i="45"/>
  <c r="F44" i="45"/>
  <c r="F42" i="45"/>
  <c r="F37" i="45"/>
  <c r="F43" i="45"/>
  <c r="AK66" i="45"/>
  <c r="AK60" i="45"/>
  <c r="AK56" i="45"/>
  <c r="AK57" i="45" s="1"/>
  <c r="AK51" i="45"/>
  <c r="BC147" i="45"/>
  <c r="BC159" i="45"/>
  <c r="BC160" i="45"/>
  <c r="BC165" i="45"/>
  <c r="BC169" i="45"/>
  <c r="BC150" i="45"/>
  <c r="BC151" i="45"/>
  <c r="BC173" i="45"/>
  <c r="BC152" i="45"/>
  <c r="BC162" i="45"/>
  <c r="BC154" i="45"/>
  <c r="BC163" i="45"/>
  <c r="BC155" i="45"/>
  <c r="BC167" i="45"/>
  <c r="BC170" i="45"/>
  <c r="BC157" i="45"/>
  <c r="BC144" i="45"/>
  <c r="BC153" i="45"/>
  <c r="BC145" i="45"/>
  <c r="BC161" i="45"/>
  <c r="BC168" i="45"/>
  <c r="BC164" i="45"/>
  <c r="BC156" i="45"/>
  <c r="BC171" i="45"/>
  <c r="BC166" i="45"/>
  <c r="BC146" i="45"/>
  <c r="BC158" i="45"/>
  <c r="BC172" i="45"/>
  <c r="BC148" i="45"/>
  <c r="BC149" i="45"/>
  <c r="N40" i="45"/>
  <c r="N41" i="45"/>
  <c r="N37" i="45"/>
  <c r="N39" i="45"/>
  <c r="N42" i="45"/>
  <c r="N38" i="45"/>
  <c r="N43" i="45"/>
  <c r="N44" i="45"/>
  <c r="BG145" i="45"/>
  <c r="BG171" i="45"/>
  <c r="BG150" i="45"/>
  <c r="BG148" i="45"/>
  <c r="BG173" i="45"/>
  <c r="BG166" i="45"/>
  <c r="BG146" i="45"/>
  <c r="BG152" i="45"/>
  <c r="BG172" i="45"/>
  <c r="BG147" i="45"/>
  <c r="BG154" i="45"/>
  <c r="BG168" i="45"/>
  <c r="BG149" i="45"/>
  <c r="BG156" i="45"/>
  <c r="BG162" i="45"/>
  <c r="BG151" i="45"/>
  <c r="BG158" i="45"/>
  <c r="BG144" i="45"/>
  <c r="BG153" i="45"/>
  <c r="BG160" i="45"/>
  <c r="BG164" i="45"/>
  <c r="BG155" i="45"/>
  <c r="BG163" i="45"/>
  <c r="BG170" i="45"/>
  <c r="BG161" i="45"/>
  <c r="BG165" i="45"/>
  <c r="BG157" i="45"/>
  <c r="BG167" i="45"/>
  <c r="BG159" i="45"/>
  <c r="BG169" i="45"/>
  <c r="AC127" i="45"/>
  <c r="AC128" i="45"/>
  <c r="AC129" i="45"/>
  <c r="AC130" i="45"/>
  <c r="AC131" i="45"/>
  <c r="AC132" i="45"/>
  <c r="AC133" i="45"/>
  <c r="AC134" i="45"/>
  <c r="AC135" i="45"/>
  <c r="AC136" i="45"/>
  <c r="AC137" i="45"/>
  <c r="AC138" i="45"/>
  <c r="AC139" i="45"/>
  <c r="AC119" i="45"/>
  <c r="AC120" i="45"/>
  <c r="AC121" i="45"/>
  <c r="AC114" i="45"/>
  <c r="AC124" i="45"/>
  <c r="AC117" i="45"/>
  <c r="AC110" i="45"/>
  <c r="AC125" i="45"/>
  <c r="AC118" i="45"/>
  <c r="AC49" i="45"/>
  <c r="AC126" i="45"/>
  <c r="AC113" i="45"/>
  <c r="AC116" i="45"/>
  <c r="AC122" i="45"/>
  <c r="AC123" i="45"/>
  <c r="AC111" i="45"/>
  <c r="AC112" i="45"/>
  <c r="AC115" i="45"/>
  <c r="AV37" i="45"/>
  <c r="AV43" i="45"/>
  <c r="AV42" i="45"/>
  <c r="AV44" i="45"/>
  <c r="AV39" i="45"/>
  <c r="AV41" i="45"/>
  <c r="AV40" i="45"/>
  <c r="AV38" i="45"/>
  <c r="I150" i="45"/>
  <c r="I166" i="45"/>
  <c r="I154" i="45"/>
  <c r="I161" i="45"/>
  <c r="I156" i="45"/>
  <c r="I145" i="45"/>
  <c r="I147" i="45"/>
  <c r="I144" i="45"/>
  <c r="I148" i="45"/>
  <c r="I158" i="45"/>
  <c r="I163" i="45"/>
  <c r="I172" i="45"/>
  <c r="I173" i="45"/>
  <c r="I152" i="45"/>
  <c r="I146" i="45"/>
  <c r="I164" i="45"/>
  <c r="I155" i="45"/>
  <c r="I149" i="45"/>
  <c r="I151" i="45"/>
  <c r="I167" i="45"/>
  <c r="I160" i="45"/>
  <c r="I153" i="45"/>
  <c r="I170" i="45"/>
  <c r="I159" i="45"/>
  <c r="I157" i="45"/>
  <c r="I171" i="45"/>
  <c r="I162" i="45"/>
  <c r="I168" i="45"/>
  <c r="I165" i="45"/>
  <c r="I169" i="45"/>
  <c r="BS125" i="45"/>
  <c r="BS131" i="45"/>
  <c r="BS139" i="45"/>
  <c r="BS111" i="45"/>
  <c r="BS120" i="45"/>
  <c r="BS135" i="45"/>
  <c r="BS113" i="45"/>
  <c r="BS136" i="45"/>
  <c r="BS137" i="45"/>
  <c r="BS123" i="45"/>
  <c r="BS130" i="45"/>
  <c r="BS118" i="45"/>
  <c r="BS49" i="45"/>
  <c r="BS129" i="45"/>
  <c r="BS115" i="45"/>
  <c r="BS132" i="45"/>
  <c r="BS117" i="45"/>
  <c r="BS119" i="45"/>
  <c r="BS134" i="45"/>
  <c r="BS121" i="45"/>
  <c r="BS116" i="45"/>
  <c r="BS124" i="45"/>
  <c r="BS122" i="45"/>
  <c r="BS128" i="45"/>
  <c r="BS127" i="45"/>
  <c r="BS112" i="45"/>
  <c r="BS110" i="45"/>
  <c r="BS114" i="45"/>
  <c r="BS126" i="45"/>
  <c r="BS138" i="45"/>
  <c r="BS133" i="45"/>
  <c r="BD40" i="45"/>
  <c r="BD41" i="45"/>
  <c r="BD37" i="45"/>
  <c r="BD39" i="45"/>
  <c r="BD44" i="45"/>
  <c r="BD43" i="45"/>
  <c r="BD42" i="45"/>
  <c r="BD38" i="45"/>
  <c r="BG56" i="45"/>
  <c r="BG58" i="45" s="1"/>
  <c r="BG66" i="45"/>
  <c r="BG60" i="45"/>
  <c r="BG51" i="45"/>
  <c r="J40" i="45"/>
  <c r="J37" i="45"/>
  <c r="J38" i="45"/>
  <c r="J41" i="45"/>
  <c r="J39" i="45"/>
  <c r="J42" i="45"/>
  <c r="J43" i="45"/>
  <c r="J44" i="45"/>
  <c r="BO130" i="45"/>
  <c r="BO131" i="45"/>
  <c r="BO132" i="45"/>
  <c r="BO133" i="45"/>
  <c r="BO134" i="45"/>
  <c r="BO135" i="45"/>
  <c r="BO136" i="45"/>
  <c r="BO137" i="45"/>
  <c r="BO138" i="45"/>
  <c r="BO139" i="45"/>
  <c r="BO113" i="45"/>
  <c r="BO123" i="45"/>
  <c r="BO112" i="45"/>
  <c r="BO124" i="45"/>
  <c r="BO117" i="45"/>
  <c r="BO114" i="45"/>
  <c r="BO125" i="45"/>
  <c r="BO127" i="45"/>
  <c r="BO129" i="45"/>
  <c r="BO111" i="45"/>
  <c r="BO118" i="45"/>
  <c r="BO49" i="45"/>
  <c r="BO122" i="45"/>
  <c r="BO119" i="45"/>
  <c r="BO126" i="45"/>
  <c r="BO120" i="45"/>
  <c r="BO110" i="45"/>
  <c r="BO128" i="45"/>
  <c r="BO121" i="45"/>
  <c r="BO115" i="45"/>
  <c r="BO116" i="45"/>
  <c r="AG128" i="45"/>
  <c r="AG129" i="45"/>
  <c r="AG130" i="45"/>
  <c r="AG131" i="45"/>
  <c r="AG132" i="45"/>
  <c r="AG133" i="45"/>
  <c r="AG134" i="45"/>
  <c r="AG135" i="45"/>
  <c r="AG136" i="45"/>
  <c r="AG137" i="45"/>
  <c r="AG138" i="45"/>
  <c r="AG139" i="45"/>
  <c r="AG115" i="45"/>
  <c r="AG114" i="45"/>
  <c r="AG116" i="45"/>
  <c r="AG117" i="45"/>
  <c r="AG121" i="45"/>
  <c r="AG122" i="45"/>
  <c r="AG49" i="45"/>
  <c r="AG123" i="45"/>
  <c r="AG124" i="45"/>
  <c r="AG125" i="45"/>
  <c r="AG127" i="45"/>
  <c r="AG113" i="45"/>
  <c r="AG120" i="45"/>
  <c r="AG118" i="45"/>
  <c r="AG126" i="45"/>
  <c r="AG119" i="45"/>
  <c r="AG110" i="45"/>
  <c r="AG111" i="45"/>
  <c r="AG112" i="45"/>
  <c r="BK111" i="45"/>
  <c r="BK113" i="45"/>
  <c r="BK114" i="45"/>
  <c r="BK49" i="45"/>
  <c r="BK133" i="45"/>
  <c r="BK116" i="45"/>
  <c r="BK117" i="45"/>
  <c r="BK134" i="45"/>
  <c r="BK126" i="45"/>
  <c r="BK138" i="45"/>
  <c r="BK124" i="45"/>
  <c r="BK132" i="45"/>
  <c r="BK119" i="45"/>
  <c r="BK121" i="45"/>
  <c r="BK128" i="45"/>
  <c r="BK135" i="45"/>
  <c r="BK115" i="45"/>
  <c r="BK137" i="45"/>
  <c r="BK123" i="45"/>
  <c r="BK139" i="45"/>
  <c r="BK127" i="45"/>
  <c r="BK110" i="45"/>
  <c r="BK125" i="45"/>
  <c r="BK112" i="45"/>
  <c r="BK136" i="45"/>
  <c r="BK118" i="45"/>
  <c r="BK129" i="45"/>
  <c r="BK120" i="45"/>
  <c r="BK130" i="45"/>
  <c r="BK122" i="45"/>
  <c r="BK131" i="45"/>
  <c r="AK164" i="45"/>
  <c r="AK153" i="45"/>
  <c r="AK147" i="45"/>
  <c r="AK150" i="45"/>
  <c r="AK162" i="45"/>
  <c r="AK146" i="45"/>
  <c r="AK165" i="45"/>
  <c r="AK149" i="45"/>
  <c r="AK166" i="45"/>
  <c r="AK145" i="45"/>
  <c r="AK155" i="45"/>
  <c r="AK171" i="45"/>
  <c r="AK167" i="45"/>
  <c r="AK158" i="45"/>
  <c r="AK169" i="45"/>
  <c r="AK170" i="45"/>
  <c r="AK156" i="45"/>
  <c r="AK159" i="45"/>
  <c r="AK163" i="45"/>
  <c r="AK157" i="45"/>
  <c r="AK173" i="45"/>
  <c r="AK144" i="45"/>
  <c r="AK148" i="45"/>
  <c r="AK168" i="45"/>
  <c r="AK154" i="45"/>
  <c r="AK151" i="45"/>
  <c r="AK160" i="45"/>
  <c r="AK152" i="45"/>
  <c r="AK161" i="45"/>
  <c r="AK172" i="45"/>
  <c r="M56" i="45"/>
  <c r="M58" i="45" s="1"/>
  <c r="M66" i="45"/>
  <c r="M51" i="45"/>
  <c r="M60" i="45"/>
  <c r="BW60" i="45"/>
  <c r="BW56" i="45"/>
  <c r="BW57" i="45" s="1"/>
  <c r="BW66" i="45"/>
  <c r="BW51" i="45"/>
  <c r="BO169" i="45"/>
  <c r="BO151" i="45"/>
  <c r="BO163" i="45"/>
  <c r="BO162" i="45"/>
  <c r="BO144" i="45"/>
  <c r="BO146" i="45"/>
  <c r="BO153" i="45"/>
  <c r="BO155" i="45"/>
  <c r="BO172" i="45"/>
  <c r="BO168" i="45"/>
  <c r="BO149" i="45"/>
  <c r="BO154" i="45"/>
  <c r="BO170" i="45"/>
  <c r="BO159" i="45"/>
  <c r="BO152" i="45"/>
  <c r="BO166" i="45"/>
  <c r="BO158" i="45"/>
  <c r="BO171" i="45"/>
  <c r="BO148" i="45"/>
  <c r="BO156" i="45"/>
  <c r="BO173" i="45"/>
  <c r="BO165" i="45"/>
  <c r="BO164" i="45"/>
  <c r="BO157" i="45"/>
  <c r="BO145" i="45"/>
  <c r="BO161" i="45"/>
  <c r="BO160" i="45"/>
  <c r="BO167" i="45"/>
  <c r="BO150" i="45"/>
  <c r="BO147" i="45"/>
  <c r="AQ51" i="45"/>
  <c r="AQ66" i="45"/>
  <c r="AQ60" i="45"/>
  <c r="AQ56" i="45"/>
  <c r="AQ58" i="45" s="1"/>
  <c r="BO58" i="45" l="1"/>
  <c r="Q57" i="45"/>
  <c r="BS58" i="45"/>
  <c r="AY58" i="45"/>
  <c r="BK58" i="45"/>
  <c r="AG58" i="45"/>
  <c r="BG57" i="45"/>
  <c r="AG62" i="45"/>
  <c r="AG63" i="45" s="1"/>
  <c r="AG68" i="45"/>
  <c r="AG69" i="45" s="1"/>
  <c r="AG53" i="45"/>
  <c r="AG54" i="45" s="1"/>
  <c r="AG61" i="45"/>
  <c r="AG52" i="45"/>
  <c r="AG67" i="45"/>
  <c r="BW58" i="45"/>
  <c r="I52" i="45"/>
  <c r="I61" i="45"/>
  <c r="I67" i="45"/>
  <c r="I68" i="45"/>
  <c r="I69" i="45" s="1"/>
  <c r="I62" i="45"/>
  <c r="I63" i="45" s="1"/>
  <c r="I53" i="45"/>
  <c r="I54" i="45" s="1"/>
  <c r="AU58" i="45"/>
  <c r="AY52" i="45"/>
  <c r="AY67" i="45"/>
  <c r="AY68" i="45"/>
  <c r="AY69" i="45" s="1"/>
  <c r="AY62" i="45"/>
  <c r="AY63" i="45" s="1"/>
  <c r="AY61" i="45"/>
  <c r="AQ57" i="45"/>
  <c r="E57" i="45"/>
  <c r="I58" i="45"/>
  <c r="M57" i="45"/>
  <c r="BC58" i="45"/>
  <c r="U57" i="45"/>
  <c r="AC58" i="45"/>
  <c r="BG61" i="45"/>
  <c r="BG67" i="45"/>
  <c r="BG62" i="45"/>
  <c r="BG63" i="45" s="1"/>
  <c r="BG68" i="45"/>
  <c r="BG69" i="45" s="1"/>
  <c r="BG52" i="45"/>
  <c r="E68" i="45"/>
  <c r="E69" i="45" s="1"/>
  <c r="E53" i="45"/>
  <c r="E54" i="45" s="1"/>
  <c r="E61" i="45"/>
  <c r="E67" i="45"/>
  <c r="E52" i="45"/>
  <c r="E62" i="45"/>
  <c r="E63" i="45" s="1"/>
  <c r="M52" i="45"/>
  <c r="M61" i="45"/>
  <c r="M67" i="45"/>
  <c r="M62" i="45"/>
  <c r="M63" i="45" s="1"/>
  <c r="M68" i="45"/>
  <c r="M69" i="45" s="1"/>
  <c r="M53" i="45"/>
  <c r="M54" i="45" s="1"/>
  <c r="Q61" i="45"/>
  <c r="Q67" i="45"/>
  <c r="Q52" i="45"/>
  <c r="Q53" i="45"/>
  <c r="Q54" i="45" s="1"/>
  <c r="Q68" i="45"/>
  <c r="Q69" i="45" s="1"/>
  <c r="Q62" i="45"/>
  <c r="Q63" i="45" s="1"/>
  <c r="AK62" i="45"/>
  <c r="AK63" i="45" s="1"/>
  <c r="AK68" i="45"/>
  <c r="AK69" i="45" s="1"/>
  <c r="AK53" i="45"/>
  <c r="AK54" i="45" s="1"/>
  <c r="AK61" i="45"/>
  <c r="AK67" i="45"/>
  <c r="AK52" i="45"/>
  <c r="AK58" i="45"/>
  <c r="BC62" i="45"/>
  <c r="BC63" i="45" s="1"/>
  <c r="BC68" i="45"/>
  <c r="BC69" i="45" s="1"/>
  <c r="BC67" i="45"/>
  <c r="BC61" i="45"/>
  <c r="BC52" i="45"/>
  <c r="AQ53" i="45"/>
  <c r="AQ54" i="45" s="1"/>
  <c r="AQ67" i="45"/>
  <c r="AQ61" i="45"/>
  <c r="AQ68" i="45"/>
  <c r="AQ69" i="45" s="1"/>
  <c r="AQ62" i="45"/>
  <c r="AQ63" i="45" s="1"/>
  <c r="AQ52" i="45"/>
  <c r="BK61" i="45"/>
  <c r="BK67" i="45"/>
  <c r="BK68" i="45"/>
  <c r="BK69" i="45" s="1"/>
  <c r="BK52" i="45"/>
  <c r="BK62" i="45"/>
  <c r="BK63" i="45" s="1"/>
  <c r="BO62" i="45"/>
  <c r="BO63" i="45" s="1"/>
  <c r="BO68" i="45"/>
  <c r="BO69" i="45" s="1"/>
  <c r="BO67" i="45"/>
  <c r="BO52" i="45"/>
  <c r="BO61" i="45"/>
  <c r="BS62" i="45"/>
  <c r="BS63" i="45" s="1"/>
  <c r="BS52" i="45"/>
  <c r="BS61" i="45"/>
  <c r="BS67" i="45"/>
  <c r="BS68" i="45"/>
  <c r="BS69" i="45" s="1"/>
  <c r="BW61" i="45"/>
  <c r="BW67" i="45"/>
  <c r="BW52" i="45"/>
  <c r="BW62" i="45"/>
  <c r="BW63" i="45" s="1"/>
  <c r="BW68" i="45"/>
  <c r="BW69" i="45" s="1"/>
  <c r="AU52" i="45"/>
  <c r="AU62" i="45"/>
  <c r="AU63" i="45" s="1"/>
  <c r="AU68" i="45"/>
  <c r="AU69" i="45" s="1"/>
  <c r="AU67" i="45"/>
  <c r="AU61" i="45"/>
  <c r="AC53" i="45"/>
  <c r="AC54" i="45" s="1"/>
  <c r="AC52" i="45"/>
  <c r="AC68" i="45"/>
  <c r="AC69" i="45" s="1"/>
  <c r="AC61" i="45"/>
  <c r="AC62" i="45"/>
  <c r="AC63" i="45" s="1"/>
  <c r="AC67" i="45"/>
  <c r="U52" i="45"/>
  <c r="U62" i="45"/>
  <c r="U63" i="45" s="1"/>
  <c r="U53" i="45"/>
  <c r="U54" i="45" s="1"/>
  <c r="U61" i="45"/>
  <c r="U67" i="45"/>
  <c r="U68" i="45"/>
  <c r="U69" i="4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visitatoq</author>
  </authors>
  <commentList>
    <comment ref="D3" authorId="0" shapeId="0" xr:uid="{00000000-0006-0000-0200-000001000000}">
      <text>
        <r>
          <rPr>
            <sz val="8"/>
            <color indexed="81"/>
            <rFont val="Tahoma"/>
            <family val="2"/>
          </rPr>
          <t xml:space="preserve">Esta celda debe ser:
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 Para generar reporte de </t>
        </r>
        <r>
          <rPr>
            <b/>
            <sz val="8"/>
            <color indexed="81"/>
            <rFont val="Tahoma"/>
            <family val="2"/>
          </rPr>
          <t>B</t>
        </r>
        <r>
          <rPr>
            <sz val="8"/>
            <color indexed="81"/>
            <rFont val="Tahoma"/>
            <family val="2"/>
          </rPr>
          <t xml:space="preserve">.
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Para generar reporte de </t>
        </r>
        <r>
          <rPr>
            <b/>
            <sz val="8"/>
            <color indexed="81"/>
            <rFont val="Tahoma"/>
            <family val="2"/>
          </rPr>
          <t>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<sst xmlns="http://schemas.openxmlformats.org/spreadsheetml/2006/main" count="1493" uniqueCount="270">
  <si>
    <t>Alimentacion Rougher Promedio</t>
  </si>
  <si>
    <t>%Cu</t>
  </si>
  <si>
    <t>%Mo</t>
  </si>
  <si>
    <t>%Fe</t>
  </si>
  <si>
    <t>Cola Final</t>
  </si>
  <si>
    <t>Concentrado Final</t>
  </si>
  <si>
    <t>AI_4010_16_1_ABB</t>
  </si>
  <si>
    <t>AI_4010_06_2_ABB</t>
  </si>
  <si>
    <t>Courier</t>
  </si>
  <si>
    <t>Alimentación Rougher Promedio</t>
  </si>
  <si>
    <t>Turno A</t>
  </si>
  <si>
    <t>Turno B</t>
  </si>
  <si>
    <t>Lab</t>
  </si>
  <si>
    <t>Fecha:</t>
  </si>
  <si>
    <t>Fecha</t>
  </si>
  <si>
    <t>Cola  Final</t>
  </si>
  <si>
    <t>GUARDIA "A"</t>
  </si>
  <si>
    <t>GUARDIA "B"</t>
  </si>
  <si>
    <t xml:space="preserve"> </t>
  </si>
  <si>
    <t>AI_4020_04_2_ABB</t>
  </si>
  <si>
    <t>AI_4020_05_2_ABB</t>
  </si>
  <si>
    <t>AI_4020_08_2_ABB</t>
  </si>
  <si>
    <t>AI_4020_09_2_ABB</t>
  </si>
  <si>
    <t>AI_4020_10_2_ABB</t>
  </si>
  <si>
    <t>AI_4020_11_2_ABB</t>
  </si>
  <si>
    <t>AI_4020_12_2_ABB</t>
  </si>
  <si>
    <t>CONCENTRADO CLEANER RECLEANER</t>
  </si>
  <si>
    <t>ALIMENTACION COLUMNAS</t>
  </si>
  <si>
    <t>COLA COLUMNAS</t>
  </si>
  <si>
    <t>Horas</t>
  </si>
  <si>
    <t>ALIMENTACION ROUGHER - PTA. COBRE</t>
  </si>
  <si>
    <t>COLA FINAL - PTA. COBRE</t>
  </si>
  <si>
    <t>CONCENTRADO FINAL - PTA. COBRE</t>
  </si>
  <si>
    <t>DIA-GUARDIA</t>
  </si>
  <si>
    <t>H COUR</t>
  </si>
  <si>
    <t>H LABO</t>
  </si>
  <si>
    <t>T COUR</t>
  </si>
  <si>
    <t>T LABO</t>
  </si>
  <si>
    <t>C COUR</t>
  </si>
  <si>
    <t>C LABO</t>
  </si>
  <si>
    <t>CONTROL DE PROCESOS</t>
  </si>
  <si>
    <t>H</t>
  </si>
  <si>
    <t>T</t>
  </si>
  <si>
    <t>C</t>
  </si>
  <si>
    <t>%Zn</t>
  </si>
  <si>
    <t>%Ox</t>
  </si>
  <si>
    <t>Intervalos turnos A y B</t>
  </si>
  <si>
    <t>%Ox (CuSAC)</t>
  </si>
  <si>
    <t>Avg</t>
  </si>
  <si>
    <t>Ensayo</t>
  </si>
  <si>
    <t>%Oper</t>
  </si>
  <si>
    <t>Cola Rougher Promedio</t>
  </si>
  <si>
    <t>Alimentacion Rougher (S11)</t>
  </si>
  <si>
    <t>Concentrado última limpieza (S06)</t>
  </si>
  <si>
    <t>Mín</t>
  </si>
  <si>
    <t>Máx</t>
  </si>
  <si>
    <t>A</t>
  </si>
  <si>
    <t>DIF.</t>
  </si>
  <si>
    <t>Recuperación Cu</t>
  </si>
  <si>
    <t>Recuperación Mo</t>
  </si>
  <si>
    <t>Desv. Stand.</t>
  </si>
  <si>
    <t>%ERROR</t>
  </si>
  <si>
    <t>DIFERENCIA LABORATORIO vs COURIER - DESVIACION ESTANDAR (%)</t>
  </si>
  <si>
    <t>ALIM. Cu</t>
  </si>
  <si>
    <t>ALIM. Mo</t>
  </si>
  <si>
    <t>COLA Cu</t>
  </si>
  <si>
    <t>COLA Mo</t>
  </si>
  <si>
    <t>CONC. Cu</t>
  </si>
  <si>
    <t>CONC. Mo</t>
  </si>
  <si>
    <t>ALIMENTACION ROUGHER - PTA. MOLY</t>
  </si>
  <si>
    <t>COLA ROUGHER PROMEDIO - PTA. MOLY</t>
  </si>
  <si>
    <t>CONCENTRADO ULTIMA LIMP. - PTA. MOLY</t>
  </si>
  <si>
    <t>Inicio</t>
  </si>
  <si>
    <t>Dias de Operación</t>
  </si>
  <si>
    <t>TAG'S</t>
  </si>
  <si>
    <t>Días</t>
  </si>
  <si>
    <t>% Tiempo de Operación</t>
  </si>
  <si>
    <t xml:space="preserve"> 'AI_4010_06_2_ABB'&gt;0</t>
  </si>
  <si>
    <t xml:space="preserve"> 'AI_4010_16_1_ABB'&gt;0</t>
  </si>
  <si>
    <t>AI_4010_17_5_ABB</t>
  </si>
  <si>
    <t xml:space="preserve"> 'AI_4010_17_5_ABB'&gt;0</t>
  </si>
  <si>
    <t>AI_4010_18_3_ABB</t>
  </si>
  <si>
    <t xml:space="preserve"> 'AI_4010_18_3_ABB'&gt;0</t>
  </si>
  <si>
    <t>COURIER 30 XP - NORTE</t>
  </si>
  <si>
    <t xml:space="preserve"> 'AI_4020_04_2_ABB'&gt;0</t>
  </si>
  <si>
    <t xml:space="preserve"> 'AI_4020_05_2_ABB'&gt;0</t>
  </si>
  <si>
    <t xml:space="preserve"> 'AI_4020_08_2_ABB'&gt;0</t>
  </si>
  <si>
    <t xml:space="preserve"> 'AI_4020_11_2_ABB'&gt;0</t>
  </si>
  <si>
    <t>COLA SCAVENGER (COLA OK-50)</t>
  </si>
  <si>
    <t xml:space="preserve"> 'AI_4020_10_2_ABB'&gt;0</t>
  </si>
  <si>
    <t>ALIMENTACION ROUGHER 3</t>
  </si>
  <si>
    <t xml:space="preserve"> 'AI_4020_09_2_ABB'&gt;0</t>
  </si>
  <si>
    <t>ALIMENTACION ROUGHER 4</t>
  </si>
  <si>
    <t xml:space="preserve"> 'AI_4020_12_2_ABB'&gt;0</t>
  </si>
  <si>
    <t>ALIMENTACION ROUGHER 5</t>
  </si>
  <si>
    <t>ULTIMOS 31 DIAS</t>
  </si>
  <si>
    <t>AI_4020_01_2_ABB</t>
  </si>
  <si>
    <t xml:space="preserve"> 'AI_4020_01_2_ABB'&gt;0</t>
  </si>
  <si>
    <t>ALIMENTACION SCAVENGER (OK-50)</t>
  </si>
  <si>
    <t>Diferencia-%Dif.</t>
  </si>
  <si>
    <t>'AIQ_4000_CONC_MO_CAL'&gt;0</t>
  </si>
  <si>
    <t>'AIQ_4000_ACOL_CU_CAL'&gt;0</t>
  </si>
  <si>
    <t>'AIQ_4000_ACOL_MO_CAL'&gt;0</t>
  </si>
  <si>
    <t>'AIQ_4000_CCOL_CU_CAL'&gt;0</t>
  </si>
  <si>
    <t>'AIQ_4000_CCOL_MO_CAL'&gt;0</t>
  </si>
  <si>
    <t>'AIQ_4000_ROT_CU_CAL'&gt;0</t>
  </si>
  <si>
    <t>'AIQ_4000_ROT_MO_CAL'&gt;0</t>
  </si>
  <si>
    <t>'AIQ_4000_CONC_CU_CAL'&gt;0</t>
  </si>
  <si>
    <t>ALIM. Fe</t>
  </si>
  <si>
    <t>COLA Fe</t>
  </si>
  <si>
    <t>CONC. Fe</t>
  </si>
  <si>
    <t>7100AIP012MAN</t>
  </si>
  <si>
    <t>7100AIP014MAN</t>
  </si>
  <si>
    <t>7100AIP011MAN</t>
  </si>
  <si>
    <t>7100AIP013MAN</t>
  </si>
  <si>
    <t>7100AIP032MAN</t>
  </si>
  <si>
    <t>7100AIP034MAN</t>
  </si>
  <si>
    <t>7100AIP031MAN</t>
  </si>
  <si>
    <t>7100AIP102MAN</t>
  </si>
  <si>
    <t>7100AIP104MAN</t>
  </si>
  <si>
    <t>7100AIP101MAN</t>
  </si>
  <si>
    <t>_7100_AIP_HPRO_CU_CAL</t>
  </si>
  <si>
    <t>_7100_AIP_HPRO_MO_CAL</t>
  </si>
  <si>
    <t>AIP_7100_HPRO_FE_CAL</t>
  </si>
  <si>
    <t>AIP_7100_HPRO_ZN_CAL</t>
  </si>
  <si>
    <t>_7100_AIP_ROT_CU_CAL</t>
  </si>
  <si>
    <t>_7100_AIP_ROT_MO_CAL</t>
  </si>
  <si>
    <t>_7100_AIP_ROT_FE_CAL</t>
  </si>
  <si>
    <t>_7100_AIP_CONC_CU_CAL</t>
  </si>
  <si>
    <t>_7100_AIP_CONC_MO_CAL</t>
  </si>
  <si>
    <t>_7100_AIP_CONC_FE_CAL</t>
  </si>
  <si>
    <t>REBOSE HIDROCICLONES L1</t>
  </si>
  <si>
    <t>REBOSE HIDROCICLONES L2</t>
  </si>
  <si>
    <t>RELAVE FINAL</t>
  </si>
  <si>
    <t>RELAVE AGOTATIVO L1</t>
  </si>
  <si>
    <t>RELAVE AGOTATIVO L2</t>
  </si>
  <si>
    <t>CONCENTRADO 2DA LIMPIEZA L1</t>
  </si>
  <si>
    <t>CONCENTRADO 2DA LIMPIEZA L2</t>
  </si>
  <si>
    <t>CONCENTRADO COLECTIVO</t>
  </si>
  <si>
    <t>_7100_ai_01_2_CAL</t>
  </si>
  <si>
    <t>'_7100_ai_01_2_CAL'&gt;0</t>
  </si>
  <si>
    <t>_7100_ai_01_4_CAL</t>
  </si>
  <si>
    <t>'_7100_ai_01_4_CAL'&gt;0</t>
  </si>
  <si>
    <t>_7100_ai_02_2_CAL</t>
  </si>
  <si>
    <t>'_7100_ai_02_2_CAL'&gt;0</t>
  </si>
  <si>
    <t>_7100_ai_02_4_CAL</t>
  </si>
  <si>
    <t>'_7100_ai_02_4_CAL'&gt;0</t>
  </si>
  <si>
    <t>_7100_AIQ_ROT_CU_CAL</t>
  </si>
  <si>
    <t>'_7100_AIQ_ROT_CU_CAL'&gt;0</t>
  </si>
  <si>
    <t>_7100_AIQ_ROT_MO_CAL</t>
  </si>
  <si>
    <t>'_7100_AIQ_ROT_MO_CAL'&gt;0</t>
  </si>
  <si>
    <t>_7100_AIQ_RAG1_CU_CAL</t>
  </si>
  <si>
    <t>'AI_4020_10_2_CAL'&gt;0</t>
  </si>
  <si>
    <t>_7100_AIQ_RAG1_MO_CAL</t>
  </si>
  <si>
    <t>'AI_4020_10_4_CAL'&gt;0</t>
  </si>
  <si>
    <t>_7100_AIQ_RAG2_CU_CAL</t>
  </si>
  <si>
    <t>'AI_4020_07_2_CAL'&gt;0</t>
  </si>
  <si>
    <t>_7100_AIQ_RAG2_MO_CAL</t>
  </si>
  <si>
    <t>'AI_4020_07_4_CAL'&gt;0</t>
  </si>
  <si>
    <t>_7100_AIQ_CLIM1_CU_CAL</t>
  </si>
  <si>
    <t>_7100_AIQ_CLIM1_MO_CAL</t>
  </si>
  <si>
    <t>_7100_AIQ_CLIM2_CU_CAL</t>
  </si>
  <si>
    <t>_7100_AIQ_CLIM2_MO_CAL</t>
  </si>
  <si>
    <t>_7100_AIQ_CONC_CU_CAL</t>
  </si>
  <si>
    <t>'_7100_AIQ_CONC_CU_CAL'&gt;0</t>
  </si>
  <si>
    <t>_7100_AIQ_CONC_MO_CAL</t>
  </si>
  <si>
    <t>'_7100_AIQ_CONC_MO_CAL'&gt;0</t>
  </si>
  <si>
    <t>_7100_AIQ_CPRIM1_CU_CAL</t>
  </si>
  <si>
    <t>_7100_AIQ_CPRIM1_MO_CAL</t>
  </si>
  <si>
    <t>_7100_AIQ_CPRIM2_CU_CAL</t>
  </si>
  <si>
    <t>_7100_AIQ_CPRIM2_MO_CAL</t>
  </si>
  <si>
    <t>CONCENTRADO PRIMARIO L1</t>
  </si>
  <si>
    <t>CONCENTRADO PRIMARIO L2</t>
  </si>
  <si>
    <t>Comparación Courier Planta de Cobre C2 - Laboratorio</t>
  </si>
  <si>
    <t>Aceptable</t>
  </si>
  <si>
    <t>Fuera de rango</t>
  </si>
  <si>
    <t>Total</t>
  </si>
  <si>
    <t>Cu</t>
  </si>
  <si>
    <t>Mo</t>
  </si>
  <si>
    <t>error</t>
  </si>
  <si>
    <t>Alimentacion Rougher</t>
  </si>
  <si>
    <t>PERFECTO</t>
  </si>
  <si>
    <t>INFERIOR</t>
  </si>
  <si>
    <t>SUPERIOR</t>
  </si>
  <si>
    <t>H Courier</t>
  </si>
  <si>
    <t>Teórico</t>
  </si>
  <si>
    <t>H Lab</t>
  </si>
  <si>
    <t>ERROR ACEP</t>
  </si>
  <si>
    <t>ERROR REG</t>
  </si>
  <si>
    <t>ERROR</t>
  </si>
  <si>
    <t>CABEZA</t>
  </si>
  <si>
    <t>CU</t>
  </si>
  <si>
    <t>MO</t>
  </si>
  <si>
    <t>COLA</t>
  </si>
  <si>
    <t>CONCE</t>
  </si>
  <si>
    <t>CONCENTRADO</t>
  </si>
  <si>
    <t>Valor minimo</t>
  </si>
  <si>
    <t>Valor minimo Molibdeno</t>
  </si>
  <si>
    <t>Valor minimo Cobre</t>
  </si>
  <si>
    <t>Lim Inf</t>
  </si>
  <si>
    <t>Lim Sup</t>
  </si>
  <si>
    <t>ABS</t>
  </si>
  <si>
    <t>Alimentación Rougher</t>
  </si>
  <si>
    <t>Concentrado Ultima limpieza</t>
  </si>
  <si>
    <t>ALIM. R. Cu</t>
  </si>
  <si>
    <t>ALIM. R. Mo</t>
  </si>
  <si>
    <t>COLA R. Cu</t>
  </si>
  <si>
    <t>COLA R. Mo</t>
  </si>
  <si>
    <t>ALIM. ROUGHER</t>
  </si>
  <si>
    <t>AIP_6290_CONC_CU_CAL</t>
  </si>
  <si>
    <t>AIP_6290_CONC_MO_CAL</t>
  </si>
  <si>
    <t>AIP_6290_CONC_FE_CAL</t>
  </si>
  <si>
    <t>CONC. 8VA LIMPIEZA</t>
  </si>
  <si>
    <t>6290AIP1DMAN</t>
  </si>
  <si>
    <t>6290AIP1AMAN</t>
  </si>
  <si>
    <t>6290AIP1FMAN</t>
  </si>
  <si>
    <t>6290AIP2DMAN</t>
  </si>
  <si>
    <t>6290AIP2AMAN</t>
  </si>
  <si>
    <t>6290AIP2FMAN</t>
  </si>
  <si>
    <t>6290AIP3DMAN</t>
  </si>
  <si>
    <t>6290AIP3AMAN</t>
  </si>
  <si>
    <t>6290AIP3FMAN</t>
  </si>
  <si>
    <t>AIQ_6290_CONC_CU_CAL</t>
  </si>
  <si>
    <t>AIQ_6290_CONC_MO_CAL</t>
  </si>
  <si>
    <t>'AIQ_6290_CONC_CU_CAL'&gt;0</t>
  </si>
  <si>
    <t>'AIQ_6290_CONC_MO_CAL'&gt;0</t>
  </si>
  <si>
    <t>Comparación Courier Planta de Moly C2 - Laboratorio</t>
  </si>
  <si>
    <t>Cola Rougher</t>
  </si>
  <si>
    <t>Concentrado Ultima Limpieza</t>
  </si>
  <si>
    <t>abs</t>
  </si>
  <si>
    <t>AIP_6290_RELA_CU_CAL</t>
  </si>
  <si>
    <t>AIP_6290_RELA_MO_CAL</t>
  </si>
  <si>
    <t>AIP_6290_RELA_FE_CAL</t>
  </si>
  <si>
    <t>AIP_6290_ALIM_CU_CAL</t>
  </si>
  <si>
    <t>AIP_6290_ALIM_MO_CAL</t>
  </si>
  <si>
    <t>AIP_6290_ALIM_FE_CAL</t>
  </si>
  <si>
    <t>%Ins</t>
  </si>
  <si>
    <t>_7100_ai_10_7_abb</t>
  </si>
  <si>
    <t>7100AIP103MAN</t>
  </si>
  <si>
    <t>Sin dato</t>
  </si>
  <si>
    <t>6290AIP3EMAN</t>
  </si>
  <si>
    <t>6290AIP2EMAN</t>
  </si>
  <si>
    <t>AI_6290_8_ins_ABB</t>
  </si>
  <si>
    <t>_296290_COLA_RO_PROM_INS_ABB</t>
  </si>
  <si>
    <t>H0: ?lab = ?cour</t>
  </si>
  <si>
    <t>H0: Ẋlab = Ẋcour</t>
  </si>
  <si>
    <t>p-valor</t>
  </si>
  <si>
    <t>t critico 90%</t>
  </si>
  <si>
    <t>t critico 99%</t>
  </si>
  <si>
    <t>x+IC</t>
  </si>
  <si>
    <t>x-IC</t>
  </si>
  <si>
    <t>IC 95%</t>
  </si>
  <si>
    <t>H0: Xlab = Xcour</t>
  </si>
  <si>
    <t>t valor crítico 95%</t>
  </si>
  <si>
    <t>Est.Prueba t</t>
  </si>
  <si>
    <t>Est. Prueba t</t>
  </si>
  <si>
    <t>ALFA</t>
  </si>
  <si>
    <t>Desv. Estándar</t>
  </si>
  <si>
    <t>Varianza</t>
  </si>
  <si>
    <t>Curtosis</t>
  </si>
  <si>
    <t>Asiemetría</t>
  </si>
  <si>
    <t>Media muestral</t>
  </si>
  <si>
    <t>N</t>
  </si>
  <si>
    <t>%Error</t>
  </si>
  <si>
    <t>Dif</t>
  </si>
  <si>
    <t>t crítico 99%</t>
  </si>
  <si>
    <t>Desv. Estandar</t>
  </si>
  <si>
    <t>Asimetría</t>
  </si>
  <si>
    <t>Min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</si>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</sst>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h:mm:ss"/>
    <numFmt numFmtId="165" formatCode="dd\-mmm\-yy\ hh:mm:ss"/>
    <numFmt numFmtId="166" formatCode="0.000"/>
    <numFmt numFmtId="167" formatCode="0.0"/>
    <numFmt numFmtId="168" formatCode="d\-mmm\-yyyy"/>
    <numFmt numFmtId="169" formatCode="dd\-mmm\-yyyy"/>
    <numFmt numFmtId="170" formatCode="0.0%"/>
    <numFmt numFmtId="171" formatCode="dd\-mmm\-yyyy\ hh:mm"/>
    <numFmt numFmtId="172" formatCode="[$-409]d\-mmm\-yy;@"/>
    <numFmt numFmtId="173" formatCode="dd\-mmm\ &quot;$&quot;&quot;$&quot;"/>
    <numFmt numFmtId="174" formatCode="0.0000"/>
    <numFmt numFmtId="175" formatCode="0.0000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4"/>
      <name val="Century"/>
      <family val="1"/>
    </font>
    <font>
      <b/>
      <sz val="9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indexed="12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sz val="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color indexed="12"/>
      <name val="Arial"/>
      <family val="2"/>
    </font>
    <font>
      <sz val="10"/>
      <color indexed="10"/>
      <name val="Arial"/>
      <family val="2"/>
    </font>
    <font>
      <sz val="16"/>
      <name val="Arial"/>
      <family val="2"/>
    </font>
    <font>
      <sz val="10"/>
      <color indexed="9"/>
      <name val="Arial"/>
      <family val="2"/>
    </font>
    <font>
      <b/>
      <i/>
      <sz val="12"/>
      <color indexed="18"/>
      <name val="Arial"/>
      <family val="2"/>
    </font>
    <font>
      <i/>
      <sz val="11"/>
      <name val="Arial"/>
      <family val="2"/>
    </font>
    <font>
      <b/>
      <sz val="12"/>
      <color indexed="1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sz val="10"/>
      <color indexed="18"/>
      <name val="Arial"/>
      <family val="2"/>
    </font>
    <font>
      <sz val="9.5"/>
      <color indexed="8"/>
      <name val="Arial"/>
      <family val="2"/>
    </font>
    <font>
      <sz val="9.5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9"/>
      <color theme="3" tint="0.39997558519241921"/>
      <name val="Rockwell Extra Bold"/>
      <family val="1"/>
    </font>
    <font>
      <sz val="7"/>
      <color theme="1"/>
      <name val="Calibri"/>
      <family val="2"/>
      <scheme val="minor"/>
    </font>
    <font>
      <u/>
      <sz val="10"/>
      <color theme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0" fontId="2" fillId="0" borderId="0"/>
    <xf numFmtId="0" fontId="1" fillId="0" borderId="0"/>
    <xf numFmtId="0" fontId="46" fillId="0" borderId="0" applyNumberFormat="0" applyFill="0" applyBorder="0" applyAlignment="0" applyProtection="0"/>
  </cellStyleXfs>
  <cellXfs count="425">
    <xf numFmtId="0" fontId="0" fillId="0" borderId="0" xfId="0"/>
    <xf numFmtId="164" fontId="0" fillId="0" borderId="0" xfId="0" applyNumberFormat="1"/>
    <xf numFmtId="166" fontId="0" fillId="2" borderId="1" xfId="0" applyNumberFormat="1" applyFill="1" applyBorder="1" applyAlignment="1">
      <alignment horizontal="center"/>
    </xf>
    <xf numFmtId="0" fontId="8" fillId="2" borderId="2" xfId="0" quotePrefix="1" applyFont="1" applyFill="1" applyBorder="1"/>
    <xf numFmtId="0" fontId="0" fillId="2" borderId="1" xfId="0" applyFill="1" applyBorder="1" applyAlignment="1">
      <alignment horizontal="center"/>
    </xf>
    <xf numFmtId="0" fontId="9" fillId="0" borderId="0" xfId="0" applyFont="1"/>
    <xf numFmtId="0" fontId="7" fillId="0" borderId="0" xfId="0" applyFont="1"/>
    <xf numFmtId="168" fontId="0" fillId="0" borderId="0" xfId="0" applyNumberFormat="1"/>
    <xf numFmtId="0" fontId="14" fillId="0" borderId="0" xfId="0" applyFont="1" applyAlignment="1">
      <alignment horizontal="centerContinuous" vertical="center"/>
    </xf>
    <xf numFmtId="166" fontId="16" fillId="0" borderId="3" xfId="0" applyNumberFormat="1" applyFont="1" applyBorder="1" applyAlignment="1">
      <alignment horizontal="center"/>
    </xf>
    <xf numFmtId="168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right"/>
    </xf>
    <xf numFmtId="49" fontId="21" fillId="0" borderId="3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vertical="center"/>
    </xf>
    <xf numFmtId="49" fontId="21" fillId="0" borderId="0" xfId="0" applyNumberFormat="1" applyFont="1" applyAlignment="1">
      <alignment vertical="center"/>
    </xf>
    <xf numFmtId="49" fontId="21" fillId="0" borderId="0" xfId="0" quotePrefix="1" applyNumberFormat="1" applyFont="1" applyAlignment="1">
      <alignment vertical="center"/>
    </xf>
    <xf numFmtId="0" fontId="7" fillId="3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7" fillId="5" borderId="5" xfId="0" applyNumberFormat="1" applyFont="1" applyFill="1" applyBorder="1" applyAlignment="1">
      <alignment horizontal="centerContinuous"/>
    </xf>
    <xf numFmtId="2" fontId="7" fillId="5" borderId="4" xfId="0" applyNumberFormat="1" applyFont="1" applyFill="1" applyBorder="1" applyAlignment="1">
      <alignment horizontal="centerContinuous"/>
    </xf>
    <xf numFmtId="0" fontId="7" fillId="0" borderId="6" xfId="0" applyFont="1" applyBorder="1" applyAlignment="1">
      <alignment horizontal="centerContinuous"/>
    </xf>
    <xf numFmtId="0" fontId="7" fillId="0" borderId="7" xfId="0" applyFont="1" applyBorder="1" applyAlignment="1">
      <alignment horizontal="centerContinuous"/>
    </xf>
    <xf numFmtId="0" fontId="7" fillId="6" borderId="5" xfId="0" applyFont="1" applyFill="1" applyBorder="1" applyAlignment="1">
      <alignment horizontal="centerContinuous"/>
    </xf>
    <xf numFmtId="0" fontId="7" fillId="6" borderId="4" xfId="0" applyFont="1" applyFill="1" applyBorder="1" applyAlignment="1">
      <alignment horizontal="centerContinuous"/>
    </xf>
    <xf numFmtId="0" fontId="7" fillId="7" borderId="5" xfId="0" applyFont="1" applyFill="1" applyBorder="1" applyAlignment="1">
      <alignment horizontal="centerContinuous"/>
    </xf>
    <xf numFmtId="0" fontId="7" fillId="7" borderId="4" xfId="0" applyFont="1" applyFill="1" applyBorder="1" applyAlignment="1">
      <alignment horizontal="centerContinuous"/>
    </xf>
    <xf numFmtId="0" fontId="22" fillId="0" borderId="0" xfId="0" applyFont="1"/>
    <xf numFmtId="168" fontId="0" fillId="0" borderId="5" xfId="0" applyNumberFormat="1" applyBorder="1"/>
    <xf numFmtId="166" fontId="16" fillId="0" borderId="8" xfId="0" applyNumberFormat="1" applyFont="1" applyBorder="1" applyAlignment="1">
      <alignment horizontal="center"/>
    </xf>
    <xf numFmtId="171" fontId="0" fillId="0" borderId="3" xfId="0" applyNumberFormat="1" applyBorder="1"/>
    <xf numFmtId="0" fontId="24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166" fontId="25" fillId="0" borderId="13" xfId="0" applyNumberFormat="1" applyFont="1" applyBorder="1"/>
    <xf numFmtId="166" fontId="9" fillId="0" borderId="13" xfId="0" applyNumberFormat="1" applyFont="1" applyBorder="1"/>
    <xf numFmtId="0" fontId="26" fillId="0" borderId="0" xfId="0" applyFont="1"/>
    <xf numFmtId="173" fontId="0" fillId="0" borderId="0" xfId="0" applyNumberFormat="1"/>
    <xf numFmtId="0" fontId="13" fillId="0" borderId="0" xfId="0" applyFont="1" applyAlignment="1">
      <alignment horizontal="left"/>
    </xf>
    <xf numFmtId="164" fontId="7" fillId="0" borderId="0" xfId="0" applyNumberFormat="1" applyFont="1" applyAlignment="1">
      <alignment horizontal="right"/>
    </xf>
    <xf numFmtId="0" fontId="7" fillId="0" borderId="9" xfId="0" applyFont="1" applyBorder="1" applyAlignment="1">
      <alignment horizontal="center"/>
    </xf>
    <xf numFmtId="0" fontId="7" fillId="4" borderId="9" xfId="0" applyFont="1" applyFill="1" applyBorder="1" applyAlignment="1">
      <alignment horizontal="centerContinuous"/>
    </xf>
    <xf numFmtId="0" fontId="7" fillId="3" borderId="9" xfId="0" applyFont="1" applyFill="1" applyBorder="1" applyAlignment="1">
      <alignment horizontal="centerContinuous"/>
    </xf>
    <xf numFmtId="168" fontId="7" fillId="0" borderId="9" xfId="0" applyNumberFormat="1" applyFont="1" applyBorder="1" applyAlignment="1">
      <alignment horizontal="center"/>
    </xf>
    <xf numFmtId="171" fontId="7" fillId="0" borderId="9" xfId="0" applyNumberFormat="1" applyFont="1" applyBorder="1"/>
    <xf numFmtId="168" fontId="0" fillId="8" borderId="5" xfId="0" applyNumberFormat="1" applyFill="1" applyBorder="1"/>
    <xf numFmtId="166" fontId="18" fillId="0" borderId="9" xfId="0" quotePrefix="1" applyNumberFormat="1" applyFont="1" applyBorder="1" applyAlignment="1">
      <alignment horizontal="center"/>
    </xf>
    <xf numFmtId="0" fontId="18" fillId="5" borderId="6" xfId="0" applyFont="1" applyFill="1" applyBorder="1" applyAlignment="1">
      <alignment horizontal="centerContinuous"/>
    </xf>
    <xf numFmtId="0" fontId="18" fillId="5" borderId="7" xfId="0" applyFont="1" applyFill="1" applyBorder="1" applyAlignment="1">
      <alignment horizontal="centerContinuous"/>
    </xf>
    <xf numFmtId="0" fontId="18" fillId="9" borderId="2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Continuous"/>
    </xf>
    <xf numFmtId="0" fontId="18" fillId="2" borderId="14" xfId="0" applyFont="1" applyFill="1" applyBorder="1" applyAlignment="1">
      <alignment horizontal="centerContinuous"/>
    </xf>
    <xf numFmtId="0" fontId="0" fillId="2" borderId="15" xfId="0" applyFill="1" applyBorder="1" applyAlignment="1">
      <alignment horizontal="center"/>
    </xf>
    <xf numFmtId="0" fontId="8" fillId="2" borderId="16" xfId="0" quotePrefix="1" applyFont="1" applyFill="1" applyBorder="1"/>
    <xf numFmtId="0" fontId="8" fillId="2" borderId="12" xfId="0" quotePrefix="1" applyFont="1" applyFill="1" applyBorder="1"/>
    <xf numFmtId="0" fontId="27" fillId="0" borderId="0" xfId="0" applyFont="1"/>
    <xf numFmtId="20" fontId="0" fillId="0" borderId="0" xfId="0" applyNumberFormat="1"/>
    <xf numFmtId="0" fontId="18" fillId="4" borderId="6" xfId="0" applyFont="1" applyFill="1" applyBorder="1" applyAlignment="1">
      <alignment horizontal="centerContinuous"/>
    </xf>
    <xf numFmtId="0" fontId="18" fillId="4" borderId="7" xfId="0" applyFont="1" applyFill="1" applyBorder="1" applyAlignment="1">
      <alignment horizontal="centerContinuous"/>
    </xf>
    <xf numFmtId="0" fontId="18" fillId="2" borderId="7" xfId="0" applyFont="1" applyFill="1" applyBorder="1" applyAlignment="1">
      <alignment horizontal="centerContinuous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49" fontId="21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center" vertical="center"/>
    </xf>
    <xf numFmtId="0" fontId="7" fillId="5" borderId="5" xfId="0" applyFont="1" applyFill="1" applyBorder="1" applyAlignment="1">
      <alignment horizontal="centerContinuous"/>
    </xf>
    <xf numFmtId="0" fontId="7" fillId="5" borderId="4" xfId="0" applyFont="1" applyFill="1" applyBorder="1" applyAlignment="1">
      <alignment horizontal="centerContinuous"/>
    </xf>
    <xf numFmtId="166" fontId="7" fillId="2" borderId="5" xfId="0" applyNumberFormat="1" applyFont="1" applyFill="1" applyBorder="1" applyAlignment="1">
      <alignment horizontal="centerContinuous"/>
    </xf>
    <xf numFmtId="166" fontId="7" fillId="2" borderId="4" xfId="0" applyNumberFormat="1" applyFont="1" applyFill="1" applyBorder="1" applyAlignment="1">
      <alignment horizontal="centerContinuous"/>
    </xf>
    <xf numFmtId="166" fontId="7" fillId="2" borderId="17" xfId="0" applyNumberFormat="1" applyFont="1" applyFill="1" applyBorder="1" applyAlignment="1">
      <alignment horizontal="centerContinuous"/>
    </xf>
    <xf numFmtId="166" fontId="7" fillId="10" borderId="5" xfId="0" applyNumberFormat="1" applyFont="1" applyFill="1" applyBorder="1" applyAlignment="1">
      <alignment horizontal="centerContinuous"/>
    </xf>
    <xf numFmtId="166" fontId="7" fillId="10" borderId="4" xfId="0" applyNumberFormat="1" applyFont="1" applyFill="1" applyBorder="1" applyAlignment="1">
      <alignment horizontal="centerContinuous"/>
    </xf>
    <xf numFmtId="0" fontId="0" fillId="5" borderId="15" xfId="0" applyFill="1" applyBorder="1" applyAlignment="1">
      <alignment horizontal="center"/>
    </xf>
    <xf numFmtId="0" fontId="28" fillId="0" borderId="0" xfId="0" applyFont="1"/>
    <xf numFmtId="0" fontId="8" fillId="5" borderId="16" xfId="0" quotePrefix="1" applyFont="1" applyFill="1" applyBorder="1"/>
    <xf numFmtId="0" fontId="8" fillId="5" borderId="2" xfId="0" quotePrefix="1" applyFont="1" applyFill="1" applyBorder="1"/>
    <xf numFmtId="0" fontId="8" fillId="5" borderId="12" xfId="0" quotePrefix="1" applyFont="1" applyFill="1" applyBorder="1"/>
    <xf numFmtId="0" fontId="8" fillId="10" borderId="2" xfId="0" quotePrefix="1" applyFont="1" applyFill="1" applyBorder="1"/>
    <xf numFmtId="165" fontId="0" fillId="0" borderId="0" xfId="0" applyNumberFormat="1"/>
    <xf numFmtId="166" fontId="0" fillId="0" borderId="0" xfId="0" applyNumberFormat="1"/>
    <xf numFmtId="0" fontId="7" fillId="5" borderId="3" xfId="0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Continuous" vertic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11" borderId="18" xfId="0" applyFont="1" applyFill="1" applyBorder="1" applyAlignment="1">
      <alignment horizontal="centerContinuous" vertical="center"/>
    </xf>
    <xf numFmtId="0" fontId="10" fillId="11" borderId="8" xfId="0" applyFont="1" applyFill="1" applyBorder="1" applyAlignment="1">
      <alignment horizontal="centerContinuous" vertical="center"/>
    </xf>
    <xf numFmtId="0" fontId="10" fillId="6" borderId="19" xfId="0" applyFont="1" applyFill="1" applyBorder="1" applyAlignment="1">
      <alignment horizontal="centerContinuous" vertical="center"/>
    </xf>
    <xf numFmtId="0" fontId="10" fillId="6" borderId="18" xfId="0" applyFont="1" applyFill="1" applyBorder="1" applyAlignment="1">
      <alignment horizontal="centerContinuous" vertical="center"/>
    </xf>
    <xf numFmtId="0" fontId="10" fillId="6" borderId="8" xfId="0" applyFont="1" applyFill="1" applyBorder="1" applyAlignment="1">
      <alignment horizontal="centerContinuous" vertical="center"/>
    </xf>
    <xf numFmtId="0" fontId="10" fillId="3" borderId="19" xfId="0" applyFont="1" applyFill="1" applyBorder="1" applyAlignment="1">
      <alignment horizontal="centerContinuous" vertical="center"/>
    </xf>
    <xf numFmtId="0" fontId="10" fillId="3" borderId="18" xfId="0" applyFont="1" applyFill="1" applyBorder="1" applyAlignment="1">
      <alignment horizontal="centerContinuous" vertical="center"/>
    </xf>
    <xf numFmtId="0" fontId="10" fillId="3" borderId="8" xfId="0" applyFont="1" applyFill="1" applyBorder="1" applyAlignment="1">
      <alignment horizontal="centerContinuous" vertical="center"/>
    </xf>
    <xf numFmtId="0" fontId="7" fillId="0" borderId="18" xfId="0" applyFont="1" applyBorder="1" applyAlignment="1">
      <alignment horizontal="centerContinuous" vertical="center"/>
    </xf>
    <xf numFmtId="0" fontId="7" fillId="0" borderId="8" xfId="0" applyFont="1" applyBorder="1" applyAlignment="1">
      <alignment horizontal="centerContinuous" vertical="center"/>
    </xf>
    <xf numFmtId="0" fontId="7" fillId="0" borderId="19" xfId="0" applyFont="1" applyBorder="1" applyAlignment="1">
      <alignment horizontal="centerContinuous" vertical="center"/>
    </xf>
    <xf numFmtId="0" fontId="14" fillId="0" borderId="8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66" fontId="18" fillId="0" borderId="20" xfId="0" applyNumberFormat="1" applyFont="1" applyBorder="1" applyAlignment="1">
      <alignment horizontal="center" vertical="center"/>
    </xf>
    <xf numFmtId="166" fontId="31" fillId="0" borderId="21" xfId="0" applyNumberFormat="1" applyFont="1" applyBorder="1" applyAlignment="1">
      <alignment horizontal="center" vertical="center"/>
    </xf>
    <xf numFmtId="166" fontId="18" fillId="0" borderId="21" xfId="0" applyNumberFormat="1" applyFont="1" applyBorder="1" applyAlignment="1">
      <alignment horizontal="center" vertical="center"/>
    </xf>
    <xf numFmtId="15" fontId="0" fillId="0" borderId="0" xfId="0" applyNumberFormat="1" applyAlignment="1">
      <alignment vertical="center"/>
    </xf>
    <xf numFmtId="0" fontId="10" fillId="12" borderId="18" xfId="0" applyFont="1" applyFill="1" applyBorder="1" applyAlignment="1">
      <alignment horizontal="centerContinuous" vertical="center"/>
    </xf>
    <xf numFmtId="0" fontId="10" fillId="12" borderId="8" xfId="0" applyFont="1" applyFill="1" applyBorder="1" applyAlignment="1">
      <alignment horizontal="centerContinuous" vertical="center"/>
    </xf>
    <xf numFmtId="0" fontId="10" fillId="9" borderId="19" xfId="0" applyFont="1" applyFill="1" applyBorder="1" applyAlignment="1">
      <alignment horizontal="centerContinuous" vertical="center"/>
    </xf>
    <xf numFmtId="0" fontId="10" fillId="9" borderId="18" xfId="0" applyFont="1" applyFill="1" applyBorder="1" applyAlignment="1">
      <alignment horizontal="centerContinuous" vertical="center"/>
    </xf>
    <xf numFmtId="0" fontId="10" fillId="9" borderId="8" xfId="0" applyFont="1" applyFill="1" applyBorder="1" applyAlignment="1">
      <alignment horizontal="centerContinuous" vertical="center"/>
    </xf>
    <xf numFmtId="167" fontId="7" fillId="0" borderId="22" xfId="0" applyNumberFormat="1" applyFont="1" applyBorder="1" applyAlignment="1">
      <alignment horizontal="centerContinuous" vertical="center"/>
    </xf>
    <xf numFmtId="166" fontId="7" fillId="0" borderId="23" xfId="0" applyNumberFormat="1" applyFont="1" applyBorder="1" applyAlignment="1">
      <alignment horizontal="center" vertical="center"/>
    </xf>
    <xf numFmtId="14" fontId="32" fillId="13" borderId="0" xfId="0" applyNumberFormat="1" applyFont="1" applyFill="1" applyAlignment="1">
      <alignment vertical="center"/>
    </xf>
    <xf numFmtId="172" fontId="7" fillId="0" borderId="9" xfId="0" applyNumberFormat="1" applyFont="1" applyBorder="1" applyAlignment="1">
      <alignment horizontal="center"/>
    </xf>
    <xf numFmtId="172" fontId="7" fillId="0" borderId="0" xfId="0" applyNumberFormat="1" applyFont="1" applyAlignment="1">
      <alignment horizontal="center"/>
    </xf>
    <xf numFmtId="172" fontId="18" fillId="0" borderId="0" xfId="0" applyNumberFormat="1" applyFont="1" applyAlignment="1">
      <alignment horizontal="center"/>
    </xf>
    <xf numFmtId="171" fontId="18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0" fontId="0" fillId="14" borderId="0" xfId="0" applyFill="1"/>
    <xf numFmtId="0" fontId="7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13" fillId="0" borderId="0" xfId="0" applyFont="1" applyAlignment="1">
      <alignment horizontal="right" vertical="center"/>
    </xf>
    <xf numFmtId="0" fontId="0" fillId="0" borderId="5" xfId="0" applyBorder="1"/>
    <xf numFmtId="0" fontId="26" fillId="0" borderId="4" xfId="0" applyFont="1" applyBorder="1"/>
    <xf numFmtId="166" fontId="9" fillId="0" borderId="4" xfId="0" applyNumberFormat="1" applyFont="1" applyBorder="1" applyAlignment="1">
      <alignment horizontal="right"/>
    </xf>
    <xf numFmtId="0" fontId="0" fillId="0" borderId="4" xfId="0" applyBorder="1"/>
    <xf numFmtId="0" fontId="0" fillId="0" borderId="17" xfId="0" applyBorder="1"/>
    <xf numFmtId="2" fontId="33" fillId="0" borderId="3" xfId="0" applyNumberFormat="1" applyFont="1" applyBorder="1" applyAlignment="1">
      <alignment horizontal="center"/>
    </xf>
    <xf numFmtId="0" fontId="14" fillId="0" borderId="0" xfId="0" applyFont="1"/>
    <xf numFmtId="169" fontId="30" fillId="0" borderId="0" xfId="0" applyNumberFormat="1" applyFont="1" applyProtection="1">
      <protection locked="0"/>
    </xf>
    <xf numFmtId="0" fontId="7" fillId="9" borderId="26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 wrapText="1"/>
    </xf>
    <xf numFmtId="49" fontId="21" fillId="0" borderId="26" xfId="0" applyNumberFormat="1" applyFont="1" applyBorder="1" applyAlignment="1">
      <alignment vertical="center"/>
    </xf>
    <xf numFmtId="2" fontId="0" fillId="0" borderId="0" xfId="0" applyNumberFormat="1" applyAlignment="1">
      <alignment horizontal="center"/>
    </xf>
    <xf numFmtId="10" fontId="6" fillId="0" borderId="1" xfId="1" applyNumberFormat="1" applyBorder="1" applyAlignment="1">
      <alignment horizontal="center"/>
    </xf>
    <xf numFmtId="49" fontId="21" fillId="0" borderId="1" xfId="0" applyNumberFormat="1" applyFont="1" applyBorder="1" applyAlignment="1">
      <alignment vertical="center"/>
    </xf>
    <xf numFmtId="49" fontId="21" fillId="0" borderId="2" xfId="0" applyNumberFormat="1" applyFont="1" applyBorder="1" applyAlignment="1">
      <alignment vertical="center"/>
    </xf>
    <xf numFmtId="49" fontId="34" fillId="0" borderId="0" xfId="0" applyNumberFormat="1" applyFont="1" applyAlignment="1">
      <alignment vertical="center"/>
    </xf>
    <xf numFmtId="49" fontId="34" fillId="9" borderId="1" xfId="0" applyNumberFormat="1" applyFon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10" fontId="6" fillId="0" borderId="26" xfId="1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0" fontId="6" fillId="0" borderId="2" xfId="1" applyNumberFormat="1" applyBorder="1" applyAlignment="1">
      <alignment horizontal="center"/>
    </xf>
    <xf numFmtId="10" fontId="6" fillId="0" borderId="0" xfId="1" applyNumberFormat="1"/>
    <xf numFmtId="0" fontId="17" fillId="7" borderId="18" xfId="0" applyFont="1" applyFill="1" applyBorder="1" applyAlignment="1">
      <alignment horizontal="centerContinuous" vertical="center"/>
    </xf>
    <xf numFmtId="0" fontId="11" fillId="7" borderId="18" xfId="0" applyFont="1" applyFill="1" applyBorder="1" applyAlignment="1">
      <alignment horizontal="centerContinuous" vertical="center"/>
    </xf>
    <xf numFmtId="0" fontId="11" fillId="7" borderId="8" xfId="0" applyFont="1" applyFill="1" applyBorder="1" applyAlignment="1">
      <alignment horizontal="centerContinuous" vertical="center"/>
    </xf>
    <xf numFmtId="166" fontId="7" fillId="0" borderId="25" xfId="0" applyNumberFormat="1" applyFont="1" applyBorder="1" applyAlignment="1">
      <alignment horizontal="center" vertical="center"/>
    </xf>
    <xf numFmtId="167" fontId="7" fillId="0" borderId="25" xfId="0" applyNumberFormat="1" applyFont="1" applyBorder="1" applyAlignment="1">
      <alignment horizontal="centerContinuous" vertical="center"/>
    </xf>
    <xf numFmtId="0" fontId="13" fillId="5" borderId="0" xfId="0" applyFont="1" applyFill="1" applyAlignment="1">
      <alignment horizontal="left" vertical="center"/>
    </xf>
    <xf numFmtId="171" fontId="19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71" fontId="7" fillId="0" borderId="5" xfId="0" applyNumberFormat="1" applyFont="1" applyBorder="1"/>
    <xf numFmtId="0" fontId="18" fillId="9" borderId="9" xfId="0" applyFont="1" applyFill="1" applyBorder="1" applyAlignment="1">
      <alignment horizontal="center"/>
    </xf>
    <xf numFmtId="166" fontId="7" fillId="0" borderId="9" xfId="0" applyNumberFormat="1" applyFont="1" applyBorder="1" applyAlignment="1">
      <alignment horizontal="center"/>
    </xf>
    <xf numFmtId="166" fontId="9" fillId="0" borderId="1" xfId="0" applyNumberFormat="1" applyFont="1" applyBorder="1"/>
    <xf numFmtId="0" fontId="7" fillId="11" borderId="27" xfId="0" applyFont="1" applyFill="1" applyBorder="1" applyAlignment="1">
      <alignment horizontal="center"/>
    </xf>
    <xf numFmtId="49" fontId="0" fillId="0" borderId="0" xfId="0" applyNumberFormat="1" applyAlignment="1">
      <alignment vertical="center"/>
    </xf>
    <xf numFmtId="0" fontId="37" fillId="0" borderId="0" xfId="0" applyFont="1" applyAlignment="1">
      <alignment vertical="center"/>
    </xf>
    <xf numFmtId="22" fontId="37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2" fontId="0" fillId="0" borderId="29" xfId="0" applyNumberFormat="1" applyBorder="1"/>
    <xf numFmtId="2" fontId="0" fillId="0" borderId="30" xfId="0" applyNumberFormat="1" applyBorder="1"/>
    <xf numFmtId="2" fontId="0" fillId="0" borderId="31" xfId="0" applyNumberFormat="1" applyBorder="1"/>
    <xf numFmtId="0" fontId="0" fillId="0" borderId="32" xfId="0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35" xfId="0" applyNumberFormat="1" applyBorder="1"/>
    <xf numFmtId="0" fontId="0" fillId="0" borderId="36" xfId="0" applyBorder="1"/>
    <xf numFmtId="0" fontId="7" fillId="15" borderId="37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0" fontId="7" fillId="15" borderId="38" xfId="0" applyFont="1" applyFill="1" applyBorder="1" applyAlignment="1">
      <alignment horizontal="center" vertic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0" xfId="0" applyBorder="1"/>
    <xf numFmtId="0" fontId="0" fillId="0" borderId="3" xfId="0" applyBorder="1"/>
    <xf numFmtId="0" fontId="0" fillId="0" borderId="41" xfId="0" applyBorder="1"/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15" borderId="42" xfId="0" applyFont="1" applyFill="1" applyBorder="1" applyAlignment="1">
      <alignment horizontal="center" vertical="center"/>
    </xf>
    <xf numFmtId="0" fontId="7" fillId="15" borderId="43" xfId="0" applyFont="1" applyFill="1" applyBorder="1" applyAlignment="1">
      <alignment horizontal="center" vertical="center"/>
    </xf>
    <xf numFmtId="0" fontId="7" fillId="15" borderId="44" xfId="0" applyFont="1" applyFill="1" applyBorder="1" applyAlignment="1">
      <alignment horizontal="center" vertical="center"/>
    </xf>
    <xf numFmtId="166" fontId="6" fillId="0" borderId="2" xfId="0" quotePrefix="1" applyNumberFormat="1" applyFont="1" applyBorder="1"/>
    <xf numFmtId="166" fontId="0" fillId="0" borderId="2" xfId="0" applyNumberFormat="1" applyBorder="1"/>
    <xf numFmtId="0" fontId="6" fillId="0" borderId="45" xfId="0" applyFont="1" applyBorder="1"/>
    <xf numFmtId="0" fontId="38" fillId="0" borderId="29" xfId="0" applyFont="1" applyBorder="1"/>
    <xf numFmtId="0" fontId="6" fillId="0" borderId="30" xfId="0" applyFont="1" applyBorder="1"/>
    <xf numFmtId="166" fontId="6" fillId="0" borderId="1" xfId="0" quotePrefix="1" applyNumberFormat="1" applyFont="1" applyBorder="1"/>
    <xf numFmtId="166" fontId="0" fillId="0" borderId="1" xfId="0" applyNumberFormat="1" applyBorder="1"/>
    <xf numFmtId="0" fontId="0" fillId="0" borderId="46" xfId="0" applyBorder="1"/>
    <xf numFmtId="0" fontId="38" fillId="0" borderId="47" xfId="0" applyFont="1" applyBorder="1"/>
    <xf numFmtId="0" fontId="0" fillId="0" borderId="27" xfId="0" applyBorder="1"/>
    <xf numFmtId="0" fontId="38" fillId="0" borderId="33" xfId="0" applyFont="1" applyBorder="1"/>
    <xf numFmtId="0" fontId="0" fillId="0" borderId="34" xfId="0" applyBorder="1"/>
    <xf numFmtId="0" fontId="0" fillId="0" borderId="9" xfId="0" applyBorder="1"/>
    <xf numFmtId="0" fontId="6" fillId="0" borderId="9" xfId="0" applyFont="1" applyBorder="1"/>
    <xf numFmtId="166" fontId="0" fillId="0" borderId="29" xfId="0" applyNumberFormat="1" applyBorder="1"/>
    <xf numFmtId="166" fontId="0" fillId="0" borderId="30" xfId="0" applyNumberFormat="1" applyBorder="1"/>
    <xf numFmtId="166" fontId="0" fillId="0" borderId="48" xfId="0" applyNumberFormat="1" applyBorder="1"/>
    <xf numFmtId="166" fontId="0" fillId="0" borderId="31" xfId="0" applyNumberFormat="1" applyBorder="1"/>
    <xf numFmtId="166" fontId="0" fillId="0" borderId="24" xfId="0" applyNumberFormat="1" applyBorder="1"/>
    <xf numFmtId="166" fontId="0" fillId="0" borderId="12" xfId="0" applyNumberFormat="1" applyBorder="1"/>
    <xf numFmtId="166" fontId="0" fillId="0" borderId="16" xfId="0" applyNumberFormat="1" applyBorder="1"/>
    <xf numFmtId="166" fontId="0" fillId="0" borderId="40" xfId="0" applyNumberFormat="1" applyBorder="1"/>
    <xf numFmtId="166" fontId="0" fillId="0" borderId="3" xfId="0" applyNumberFormat="1" applyBorder="1"/>
    <xf numFmtId="166" fontId="0" fillId="0" borderId="8" xfId="0" applyNumberFormat="1" applyBorder="1"/>
    <xf numFmtId="166" fontId="0" fillId="0" borderId="41" xfId="0" applyNumberFormat="1" applyBorder="1"/>
    <xf numFmtId="166" fontId="0" fillId="0" borderId="28" xfId="0" applyNumberFormat="1" applyBorder="1"/>
    <xf numFmtId="166" fontId="0" fillId="0" borderId="15" xfId="0" applyNumberFormat="1" applyBorder="1"/>
    <xf numFmtId="166" fontId="0" fillId="0" borderId="33" xfId="0" applyNumberFormat="1" applyBorder="1"/>
    <xf numFmtId="166" fontId="0" fillId="0" borderId="34" xfId="0" applyNumberFormat="1" applyBorder="1"/>
    <xf numFmtId="166" fontId="0" fillId="0" borderId="49" xfId="0" applyNumberFormat="1" applyBorder="1"/>
    <xf numFmtId="166" fontId="0" fillId="0" borderId="35" xfId="0" applyNumberFormat="1" applyBorder="1"/>
    <xf numFmtId="166" fontId="0" fillId="0" borderId="7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38" fillId="0" borderId="0" xfId="0" applyFont="1"/>
    <xf numFmtId="0" fontId="6" fillId="17" borderId="9" xfId="0" applyFont="1" applyFill="1" applyBorder="1"/>
    <xf numFmtId="0" fontId="0" fillId="0" borderId="55" xfId="0" applyBorder="1"/>
    <xf numFmtId="0" fontId="6" fillId="17" borderId="56" xfId="0" applyFont="1" applyFill="1" applyBorder="1"/>
    <xf numFmtId="0" fontId="6" fillId="0" borderId="0" xfId="0" applyFont="1"/>
    <xf numFmtId="174" fontId="9" fillId="0" borderId="4" xfId="0" applyNumberFormat="1" applyFont="1" applyBorder="1" applyAlignment="1">
      <alignment horizontal="right"/>
    </xf>
    <xf numFmtId="2" fontId="9" fillId="0" borderId="13" xfId="0" applyNumberFormat="1" applyFont="1" applyBorder="1"/>
    <xf numFmtId="0" fontId="7" fillId="0" borderId="2" xfId="0" applyFont="1" applyBorder="1" applyAlignment="1">
      <alignment horizontal="center"/>
    </xf>
    <xf numFmtId="0" fontId="7" fillId="0" borderId="57" xfId="0" applyFont="1" applyBorder="1" applyAlignment="1">
      <alignment horizontal="center"/>
    </xf>
    <xf numFmtId="14" fontId="0" fillId="14" borderId="0" xfId="0" applyNumberFormat="1" applyFill="1"/>
    <xf numFmtId="175" fontId="7" fillId="0" borderId="9" xfId="0" applyNumberFormat="1" applyFont="1" applyBorder="1" applyAlignment="1">
      <alignment horizontal="center"/>
    </xf>
    <xf numFmtId="49" fontId="21" fillId="0" borderId="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0" fontId="14" fillId="0" borderId="0" xfId="0" applyFont="1" applyAlignment="1">
      <alignment vertical="center"/>
    </xf>
    <xf numFmtId="169" fontId="15" fillId="0" borderId="0" xfId="0" applyNumberFormat="1" applyFont="1" applyAlignment="1" applyProtection="1">
      <alignment vertical="center"/>
      <protection locked="0"/>
    </xf>
    <xf numFmtId="0" fontId="17" fillId="7" borderId="19" xfId="0" applyFont="1" applyFill="1" applyBorder="1" applyAlignment="1">
      <alignment horizontal="centerContinuous" vertical="center"/>
    </xf>
    <xf numFmtId="0" fontId="10" fillId="11" borderId="19" xfId="0" applyFont="1" applyFill="1" applyBorder="1" applyAlignment="1">
      <alignment horizontal="centerContinuous" vertical="center"/>
    </xf>
    <xf numFmtId="166" fontId="18" fillId="0" borderId="3" xfId="0" applyNumberFormat="1" applyFont="1" applyBorder="1" applyAlignment="1">
      <alignment horizontal="center" vertical="center"/>
    </xf>
    <xf numFmtId="166" fontId="31" fillId="0" borderId="3" xfId="0" applyNumberFormat="1" applyFont="1" applyBorder="1" applyAlignment="1">
      <alignment horizontal="center" vertical="center"/>
    </xf>
    <xf numFmtId="166" fontId="31" fillId="0" borderId="58" xfId="0" applyNumberFormat="1" applyFont="1" applyBorder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centerContinuous" vertical="center"/>
    </xf>
    <xf numFmtId="49" fontId="21" fillId="0" borderId="19" xfId="0" applyNumberFormat="1" applyFont="1" applyBorder="1" applyAlignment="1">
      <alignment vertical="center"/>
    </xf>
    <xf numFmtId="49" fontId="21" fillId="0" borderId="8" xfId="0" applyNumberFormat="1" applyFont="1" applyBorder="1" applyAlignment="1">
      <alignment vertical="center"/>
    </xf>
    <xf numFmtId="0" fontId="7" fillId="11" borderId="3" xfId="0" applyFont="1" applyFill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166" fontId="7" fillId="0" borderId="3" xfId="0" applyNumberFormat="1" applyFont="1" applyBorder="1" applyAlignment="1">
      <alignment horizontal="center" vertical="center"/>
    </xf>
    <xf numFmtId="167" fontId="7" fillId="0" borderId="3" xfId="0" applyNumberFormat="1" applyFont="1" applyBorder="1" applyAlignment="1">
      <alignment horizontal="centerContinuous" vertical="center"/>
    </xf>
    <xf numFmtId="167" fontId="7" fillId="0" borderId="0" xfId="0" applyNumberFormat="1" applyFont="1" applyAlignment="1">
      <alignment horizontal="centerContinuous" vertical="center"/>
    </xf>
    <xf numFmtId="166" fontId="7" fillId="0" borderId="57" xfId="0" applyNumberFormat="1" applyFont="1" applyBorder="1" applyAlignment="1">
      <alignment horizontal="center" vertical="center"/>
    </xf>
    <xf numFmtId="167" fontId="7" fillId="0" borderId="57" xfId="0" applyNumberFormat="1" applyFont="1" applyBorder="1" applyAlignment="1">
      <alignment horizontal="centerContinuous" vertical="center"/>
    </xf>
    <xf numFmtId="49" fontId="21" fillId="0" borderId="3" xfId="0" quotePrefix="1" applyNumberFormat="1" applyFont="1" applyBorder="1" applyAlignment="1">
      <alignment horizontal="center" vertical="center"/>
    </xf>
    <xf numFmtId="0" fontId="5" fillId="0" borderId="0" xfId="2"/>
    <xf numFmtId="0" fontId="4" fillId="0" borderId="0" xfId="2" applyFont="1"/>
    <xf numFmtId="0" fontId="7" fillId="0" borderId="4" xfId="0" applyFont="1" applyBorder="1" applyAlignment="1">
      <alignment horizontal="center"/>
    </xf>
    <xf numFmtId="166" fontId="9" fillId="0" borderId="15" xfId="0" applyNumberFormat="1" applyFont="1" applyBorder="1"/>
    <xf numFmtId="0" fontId="0" fillId="0" borderId="6" xfId="0" applyBorder="1"/>
    <xf numFmtId="0" fontId="26" fillId="0" borderId="7" xfId="0" applyFont="1" applyBorder="1"/>
    <xf numFmtId="166" fontId="9" fillId="0" borderId="7" xfId="0" applyNumberFormat="1" applyFont="1" applyBorder="1" applyAlignment="1">
      <alignment horizontal="right"/>
    </xf>
    <xf numFmtId="166" fontId="9" fillId="0" borderId="14" xfId="0" applyNumberFormat="1" applyFont="1" applyBorder="1" applyAlignment="1">
      <alignment horizontal="right"/>
    </xf>
    <xf numFmtId="0" fontId="26" fillId="0" borderId="6" xfId="0" applyFont="1" applyBorder="1"/>
    <xf numFmtId="0" fontId="0" fillId="0" borderId="41" xfId="0" applyBorder="1" applyAlignment="1">
      <alignment horizontal="right"/>
    </xf>
    <xf numFmtId="0" fontId="7" fillId="0" borderId="34" xfId="0" applyFont="1" applyBorder="1" applyAlignment="1">
      <alignment horizontal="right" vertical="center"/>
    </xf>
    <xf numFmtId="0" fontId="7" fillId="0" borderId="33" xfId="0" applyFont="1" applyBorder="1" applyAlignment="1">
      <alignment horizontal="right" vertical="center"/>
    </xf>
    <xf numFmtId="0" fontId="6" fillId="2" borderId="1" xfId="0" applyFont="1" applyFill="1" applyBorder="1" applyAlignment="1">
      <alignment horizontal="center"/>
    </xf>
    <xf numFmtId="167" fontId="7" fillId="0" borderId="60" xfId="0" applyNumberFormat="1" applyFont="1" applyBorder="1" applyAlignment="1">
      <alignment horizontal="centerContinuous" vertical="center"/>
    </xf>
    <xf numFmtId="166" fontId="7" fillId="0" borderId="61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5" borderId="0" xfId="0" applyFont="1" applyFill="1" applyAlignment="1">
      <alignment horizontal="left" vertical="center"/>
    </xf>
    <xf numFmtId="166" fontId="39" fillId="0" borderId="3" xfId="0" applyNumberFormat="1" applyFont="1" applyBorder="1" applyAlignment="1">
      <alignment horizontal="center" vertical="center"/>
    </xf>
    <xf numFmtId="0" fontId="10" fillId="19" borderId="18" xfId="0" applyFont="1" applyFill="1" applyBorder="1" applyAlignment="1">
      <alignment horizontal="centerContinuous" vertical="center"/>
    </xf>
    <xf numFmtId="0" fontId="10" fillId="19" borderId="8" xfId="0" applyFont="1" applyFill="1" applyBorder="1" applyAlignment="1">
      <alignment horizontal="centerContinuous" vertical="center"/>
    </xf>
    <xf numFmtId="0" fontId="3" fillId="0" borderId="0" xfId="2" applyFont="1"/>
    <xf numFmtId="0" fontId="2" fillId="0" borderId="0" xfId="2" applyFont="1"/>
    <xf numFmtId="167" fontId="7" fillId="0" borderId="25" xfId="0" applyNumberFormat="1" applyFont="1" applyBorder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49" fontId="40" fillId="0" borderId="3" xfId="0" applyNumberFormat="1" applyFont="1" applyBorder="1" applyAlignment="1">
      <alignment horizontal="center" vertical="center"/>
    </xf>
    <xf numFmtId="166" fontId="41" fillId="0" borderId="3" xfId="0" applyNumberFormat="1" applyFont="1" applyBorder="1" applyAlignment="1">
      <alignment horizontal="center" vertical="center"/>
    </xf>
    <xf numFmtId="14" fontId="37" fillId="0" borderId="0" xfId="0" applyNumberFormat="1" applyFont="1" applyAlignment="1">
      <alignment vertical="center"/>
    </xf>
    <xf numFmtId="166" fontId="42" fillId="0" borderId="22" xfId="0" applyNumberFormat="1" applyFont="1" applyBorder="1" applyAlignment="1">
      <alignment horizontal="center" vertical="center"/>
    </xf>
    <xf numFmtId="166" fontId="42" fillId="0" borderId="23" xfId="0" applyNumberFormat="1" applyFont="1" applyBorder="1" applyAlignment="1">
      <alignment horizontal="center" vertical="center"/>
    </xf>
    <xf numFmtId="166" fontId="43" fillId="0" borderId="21" xfId="0" applyNumberFormat="1" applyFont="1" applyBorder="1" applyAlignment="1">
      <alignment horizontal="center" vertical="center"/>
    </xf>
    <xf numFmtId="166" fontId="42" fillId="0" borderId="59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" fillId="0" borderId="0" xfId="5"/>
    <xf numFmtId="166" fontId="6" fillId="2" borderId="1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166" fontId="7" fillId="10" borderId="17" xfId="0" applyNumberFormat="1" applyFont="1" applyFill="1" applyBorder="1" applyAlignment="1">
      <alignment horizontal="centerContinuous"/>
    </xf>
    <xf numFmtId="0" fontId="45" fillId="0" borderId="0" xfId="5" applyFont="1"/>
    <xf numFmtId="49" fontId="22" fillId="0" borderId="0" xfId="0" applyNumberFormat="1" applyFont="1" applyAlignment="1">
      <alignment vertical="center"/>
    </xf>
    <xf numFmtId="0" fontId="46" fillId="0" borderId="0" xfId="6" applyAlignment="1">
      <alignment horizontal="left" vertical="center" wrapText="1"/>
    </xf>
    <xf numFmtId="0" fontId="6" fillId="20" borderId="0" xfId="0" applyFont="1" applyFill="1"/>
    <xf numFmtId="166" fontId="6" fillId="20" borderId="0" xfId="0" applyNumberFormat="1" applyFont="1" applyFill="1"/>
    <xf numFmtId="166" fontId="6" fillId="0" borderId="0" xfId="0" applyNumberFormat="1" applyFont="1"/>
    <xf numFmtId="1" fontId="0" fillId="0" borderId="0" xfId="0" applyNumberFormat="1" applyAlignment="1">
      <alignment horizontal="center"/>
    </xf>
    <xf numFmtId="0" fontId="0" fillId="0" borderId="60" xfId="0" applyBorder="1"/>
    <xf numFmtId="0" fontId="0" fillId="0" borderId="57" xfId="0" applyBorder="1"/>
    <xf numFmtId="0" fontId="0" fillId="0" borderId="61" xfId="0" applyBorder="1"/>
    <xf numFmtId="166" fontId="0" fillId="0" borderId="60" xfId="0" applyNumberFormat="1" applyBorder="1"/>
    <xf numFmtId="166" fontId="0" fillId="0" borderId="57" xfId="0" applyNumberFormat="1" applyBorder="1"/>
    <xf numFmtId="166" fontId="0" fillId="0" borderId="57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60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62" xfId="0" applyBorder="1"/>
    <xf numFmtId="0" fontId="0" fillId="0" borderId="63" xfId="0" applyBorder="1"/>
    <xf numFmtId="166" fontId="0" fillId="0" borderId="62" xfId="0" applyNumberFormat="1" applyBorder="1"/>
    <xf numFmtId="166" fontId="0" fillId="0" borderId="63" xfId="0" applyNumberFormat="1" applyBorder="1" applyAlignment="1">
      <alignment horizontal="center"/>
    </xf>
    <xf numFmtId="166" fontId="0" fillId="0" borderId="62" xfId="0" applyNumberFormat="1" applyBorder="1" applyAlignment="1">
      <alignment horizontal="center"/>
    </xf>
    <xf numFmtId="0" fontId="0" fillId="0" borderId="20" xfId="0" applyBorder="1"/>
    <xf numFmtId="166" fontId="0" fillId="0" borderId="20" xfId="0" applyNumberFormat="1" applyBorder="1"/>
    <xf numFmtId="166" fontId="0" fillId="0" borderId="25" xfId="0" applyNumberFormat="1" applyBorder="1"/>
    <xf numFmtId="166" fontId="0" fillId="0" borderId="25" xfId="0" applyNumberFormat="1" applyBorder="1" applyAlignment="1">
      <alignment horizontal="center"/>
    </xf>
    <xf numFmtId="166" fontId="0" fillId="0" borderId="50" xfId="0" applyNumberForma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1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62" xfId="0" applyBorder="1" applyAlignment="1">
      <alignment horizontal="center"/>
    </xf>
    <xf numFmtId="166" fontId="6" fillId="0" borderId="57" xfId="0" applyNumberFormat="1" applyFont="1" applyBorder="1" applyAlignment="1">
      <alignment horizontal="center"/>
    </xf>
    <xf numFmtId="166" fontId="0" fillId="0" borderId="64" xfId="0" applyNumberFormat="1" applyBorder="1" applyAlignment="1">
      <alignment horizontal="center"/>
    </xf>
    <xf numFmtId="11" fontId="0" fillId="0" borderId="0" xfId="0" applyNumberFormat="1"/>
    <xf numFmtId="11" fontId="0" fillId="0" borderId="50" xfId="0" applyNumberFormat="1" applyBorder="1"/>
    <xf numFmtId="11" fontId="0" fillId="0" borderId="20" xfId="0" applyNumberFormat="1" applyBorder="1"/>
    <xf numFmtId="11" fontId="6" fillId="0" borderId="0" xfId="0" applyNumberFormat="1" applyFont="1"/>
    <xf numFmtId="11" fontId="0" fillId="0" borderId="63" xfId="0" applyNumberFormat="1" applyBorder="1"/>
    <xf numFmtId="11" fontId="0" fillId="0" borderId="62" xfId="0" applyNumberFormat="1" applyBorder="1"/>
    <xf numFmtId="11" fontId="0" fillId="0" borderId="61" xfId="0" applyNumberFormat="1" applyBorder="1"/>
    <xf numFmtId="11" fontId="0" fillId="0" borderId="57" xfId="0" applyNumberFormat="1" applyBorder="1"/>
    <xf numFmtId="11" fontId="0" fillId="0" borderId="60" xfId="0" applyNumberFormat="1" applyBorder="1"/>
    <xf numFmtId="11" fontId="6" fillId="0" borderId="57" xfId="0" applyNumberFormat="1" applyFont="1" applyBorder="1"/>
    <xf numFmtId="166" fontId="0" fillId="0" borderId="65" xfId="0" applyNumberFormat="1" applyBorder="1"/>
    <xf numFmtId="0" fontId="6" fillId="0" borderId="41" xfId="0" applyFont="1" applyBorder="1"/>
    <xf numFmtId="49" fontId="40" fillId="0" borderId="3" xfId="0" applyNumberFormat="1" applyFont="1" applyBorder="1" applyAlignment="1">
      <alignment horizontal="left" vertical="center"/>
    </xf>
    <xf numFmtId="167" fontId="41" fillId="0" borderId="3" xfId="0" applyNumberFormat="1" applyFont="1" applyBorder="1" applyAlignment="1">
      <alignment horizontal="center" vertical="center"/>
    </xf>
    <xf numFmtId="170" fontId="41" fillId="0" borderId="3" xfId="0" applyNumberFormat="1" applyFont="1" applyBorder="1" applyAlignment="1">
      <alignment horizontal="center" vertical="center"/>
    </xf>
    <xf numFmtId="0" fontId="10" fillId="5" borderId="19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49" fontId="34" fillId="0" borderId="19" xfId="0" applyNumberFormat="1" applyFont="1" applyBorder="1" applyAlignment="1">
      <alignment horizontal="center" vertical="center"/>
    </xf>
    <xf numFmtId="49" fontId="34" fillId="0" borderId="8" xfId="0" applyNumberFormat="1" applyFont="1" applyBorder="1" applyAlignment="1">
      <alignment horizontal="center" vertical="center"/>
    </xf>
    <xf numFmtId="0" fontId="10" fillId="5" borderId="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49" fontId="34" fillId="0" borderId="3" xfId="0" applyNumberFormat="1" applyFont="1" applyBorder="1" applyAlignment="1">
      <alignment horizontal="center" vertical="center"/>
    </xf>
    <xf numFmtId="170" fontId="41" fillId="0" borderId="21" xfId="0" applyNumberFormat="1" applyFont="1" applyBorder="1" applyAlignment="1">
      <alignment horizontal="center" vertical="center"/>
    </xf>
    <xf numFmtId="170" fontId="41" fillId="0" borderId="27" xfId="0" applyNumberFormat="1" applyFont="1" applyBorder="1" applyAlignment="1">
      <alignment horizontal="center" vertical="center"/>
    </xf>
    <xf numFmtId="167" fontId="41" fillId="0" borderId="21" xfId="0" applyNumberFormat="1" applyFont="1" applyBorder="1" applyAlignment="1">
      <alignment horizontal="center" vertical="center"/>
    </xf>
    <xf numFmtId="167" fontId="41" fillId="0" borderId="27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40" fillId="0" borderId="50" xfId="0" applyNumberFormat="1" applyFont="1" applyBorder="1" applyAlignment="1">
      <alignment horizontal="left" vertical="center"/>
    </xf>
    <xf numFmtId="49" fontId="40" fillId="0" borderId="20" xfId="0" applyNumberFormat="1" applyFont="1" applyBorder="1" applyAlignment="1">
      <alignment horizontal="left" vertical="center"/>
    </xf>
    <xf numFmtId="49" fontId="40" fillId="0" borderId="61" xfId="0" applyNumberFormat="1" applyFont="1" applyBorder="1" applyAlignment="1">
      <alignment horizontal="left" vertical="center"/>
    </xf>
    <xf numFmtId="49" fontId="40" fillId="0" borderId="60" xfId="0" applyNumberFormat="1" applyFont="1" applyBorder="1" applyAlignment="1">
      <alignment horizontal="left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6" borderId="35" xfId="0" applyFont="1" applyFill="1" applyBorder="1" applyAlignment="1">
      <alignment horizontal="center" vertical="center"/>
    </xf>
    <xf numFmtId="0" fontId="7" fillId="16" borderId="33" xfId="0" applyFont="1" applyFill="1" applyBorder="1" applyAlignment="1">
      <alignment horizontal="center" vertical="center"/>
    </xf>
    <xf numFmtId="0" fontId="7" fillId="15" borderId="35" xfId="0" applyFont="1" applyFill="1" applyBorder="1" applyAlignment="1">
      <alignment horizontal="center" vertical="center"/>
    </xf>
    <xf numFmtId="0" fontId="7" fillId="15" borderId="34" xfId="0" applyFont="1" applyFill="1" applyBorder="1" applyAlignment="1">
      <alignment horizontal="center" vertical="center"/>
    </xf>
    <xf numFmtId="0" fontId="7" fillId="15" borderId="33" xfId="0" applyFont="1" applyFill="1" applyBorder="1" applyAlignment="1">
      <alignment horizontal="center" vertical="center"/>
    </xf>
    <xf numFmtId="0" fontId="7" fillId="15" borderId="44" xfId="0" applyFont="1" applyFill="1" applyBorder="1" applyAlignment="1">
      <alignment horizontal="center" vertical="center"/>
    </xf>
    <xf numFmtId="0" fontId="7" fillId="15" borderId="10" xfId="0" applyFont="1" applyFill="1" applyBorder="1" applyAlignment="1">
      <alignment horizontal="center" vertical="center"/>
    </xf>
    <xf numFmtId="0" fontId="7" fillId="15" borderId="43" xfId="0" applyFont="1" applyFill="1" applyBorder="1" applyAlignment="1">
      <alignment horizontal="center" vertical="center"/>
    </xf>
    <xf numFmtId="0" fontId="7" fillId="15" borderId="42" xfId="0" applyFont="1" applyFill="1" applyBorder="1" applyAlignment="1">
      <alignment horizontal="center" vertical="center"/>
    </xf>
    <xf numFmtId="0" fontId="7" fillId="17" borderId="35" xfId="0" applyFont="1" applyFill="1" applyBorder="1" applyAlignment="1">
      <alignment horizontal="center" vertical="center"/>
    </xf>
    <xf numFmtId="0" fontId="7" fillId="17" borderId="33" xfId="0" applyFont="1" applyFill="1" applyBorder="1" applyAlignment="1">
      <alignment horizontal="center" vertical="center"/>
    </xf>
    <xf numFmtId="0" fontId="7" fillId="17" borderId="46" xfId="0" applyFont="1" applyFill="1" applyBorder="1" applyAlignment="1">
      <alignment horizontal="center" vertical="center"/>
    </xf>
    <xf numFmtId="0" fontId="7" fillId="16" borderId="46" xfId="0" applyFont="1" applyFill="1" applyBorder="1" applyAlignment="1">
      <alignment horizontal="center" vertical="center"/>
    </xf>
    <xf numFmtId="0" fontId="7" fillId="18" borderId="36" xfId="0" applyFont="1" applyFill="1" applyBorder="1" applyAlignment="1">
      <alignment horizontal="center" vertical="center"/>
    </xf>
    <xf numFmtId="0" fontId="7" fillId="18" borderId="53" xfId="0" applyFont="1" applyFill="1" applyBorder="1" applyAlignment="1">
      <alignment horizontal="center" vertical="center"/>
    </xf>
    <xf numFmtId="0" fontId="7" fillId="17" borderId="49" xfId="0" applyFont="1" applyFill="1" applyBorder="1" applyAlignment="1">
      <alignment horizontal="center" vertical="center"/>
    </xf>
    <xf numFmtId="0" fontId="7" fillId="18" borderId="54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14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/>
    </xf>
    <xf numFmtId="0" fontId="7" fillId="17" borderId="14" xfId="0" applyFont="1" applyFill="1" applyBorder="1" applyAlignment="1">
      <alignment horizontal="center" vertical="center"/>
    </xf>
    <xf numFmtId="0" fontId="7" fillId="16" borderId="5" xfId="0" applyFont="1" applyFill="1" applyBorder="1" applyAlignment="1">
      <alignment horizontal="center" vertical="center"/>
    </xf>
    <xf numFmtId="0" fontId="7" fillId="16" borderId="4" xfId="0" applyFont="1" applyFill="1" applyBorder="1" applyAlignment="1">
      <alignment horizontal="center" vertical="center"/>
    </xf>
    <xf numFmtId="0" fontId="7" fillId="16" borderId="17" xfId="0" applyFont="1" applyFill="1" applyBorder="1" applyAlignment="1">
      <alignment horizontal="center" vertical="center"/>
    </xf>
    <xf numFmtId="0" fontId="7" fillId="17" borderId="25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0" fontId="7" fillId="16" borderId="7" xfId="0" applyFont="1" applyFill="1" applyBorder="1" applyAlignment="1">
      <alignment horizontal="center" vertical="center"/>
    </xf>
    <xf numFmtId="0" fontId="7" fillId="16" borderId="14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14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00000000-0005-0000-0000-000001000000}"/>
    <cellStyle name="Normal 2 2" xfId="5" xr:uid="{49004FE3-7B7F-41C6-870F-AC709C16FA18}"/>
    <cellStyle name="Normal 3" xfId="3" xr:uid="{00000000-0005-0000-0000-000002000000}"/>
    <cellStyle name="Normal 4" xfId="4" xr:uid="{9CEF29B9-53DC-4E82-B8EB-19DEBF43BCE2}"/>
    <cellStyle name="Percent" xfId="1" builtinId="5"/>
  </cellStyles>
  <dxfs count="73"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b/>
        <i val="0"/>
        <color rgb="FF009900"/>
      </font>
    </dxf>
    <dxf>
      <font>
        <b/>
        <i val="0"/>
        <strike val="0"/>
        <color theme="1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color rgb="FFFF0000"/>
      </font>
    </dxf>
    <dxf>
      <font>
        <color rgb="FFFF0000"/>
      </font>
    </dxf>
    <dxf>
      <font>
        <color rgb="FF009900"/>
      </font>
      <fill>
        <patternFill>
          <bgColor theme="0"/>
        </patternFill>
      </fill>
    </dxf>
    <dxf>
      <font>
        <b/>
        <i val="0"/>
        <color rgb="FF0099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009900"/>
      </font>
      <fill>
        <patternFill>
          <bgColor theme="0"/>
        </patternFill>
      </fill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color rgb="FF009900"/>
      </font>
    </dxf>
    <dxf>
      <font>
        <b/>
        <i val="0"/>
        <u val="none"/>
        <color rgb="FF009900"/>
      </font>
      <fill>
        <patternFill patternType="none">
          <bgColor auto="1"/>
        </patternFill>
      </fill>
    </dxf>
    <dxf>
      <font>
        <b/>
        <i val="0"/>
        <color rgb="FF0099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B4B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9FFE9"/>
      <rgbColor rgb="00FFFFE9"/>
      <rgbColor rgb="00C9E4FF"/>
      <rgbColor rgb="00FF99CC"/>
      <rgbColor rgb="00CC99FF"/>
      <rgbColor rgb="00FFEAD5"/>
      <rgbColor rgb="003366FF"/>
      <rgbColor rgb="0033CCCC"/>
      <rgbColor rgb="00DBFF75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900"/>
      <color rgb="FF00FF00"/>
      <color rgb="FF021F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microsoft.com/office/2006/relationships/vbaProject" Target="vbaProject.bin"/><Relationship Id="rId3" Type="http://schemas.openxmlformats.org/officeDocument/2006/relationships/worksheet" Target="worksheets/sheet1.xml"/><Relationship Id="rId21" Type="http://schemas.openxmlformats.org/officeDocument/2006/relationships/worksheet" Target="worksheets/sheet19.xml"/><Relationship Id="rId34" Type="http://schemas.openxmlformats.org/officeDocument/2006/relationships/theme" Target="theme/theme1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externalLink" Target="externalLinks/externalLink3.xml"/><Relationship Id="rId38" Type="http://schemas.openxmlformats.org/officeDocument/2006/relationships/calcChain" Target="calcChain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externalLink" Target="externalLinks/externalLink2.xml"/><Relationship Id="rId37" Type="http://schemas.openxmlformats.org/officeDocument/2006/relationships/sheetMetadata" Target="metadata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Ex2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2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25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Ex26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Ex27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28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Ex29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Ex30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31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Ex32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Ex33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34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Ex35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Ex36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3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Ex3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Ex3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Ex4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Ex4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Ex4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Ex4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Ex4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Ex4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Ex4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Ex4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Ex4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Ex4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Ex5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Ex5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Ex5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Ex5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Ex5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Ex5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Ex5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Ex5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Ex5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Ex5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Ex6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Ex6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Ex6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Ex6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Ex6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Ex6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Ex6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Ex6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Ex6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Ex6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Ex7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Ex7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Ex7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Portada!$D$1:$E$1</c:f>
              <c:strCache>
                <c:ptCount val="2"/>
                <c:pt idx="0">
                  <c:v> 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val>
            <c:numRef>
              <c:f>Portada!$F$1:$P$1</c:f>
              <c:numCache>
                <c:formatCode>General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9E-4C52-8F2A-4DA9C6501F6C}"/>
            </c:ext>
          </c:extLst>
        </c:ser>
        <c:ser>
          <c:idx val="1"/>
          <c:order val="1"/>
          <c:tx>
            <c:strRef>
              <c:f>Portada!$D$2:$E$2</c:f>
              <c:strCache>
                <c:ptCount val="2"/>
                <c:pt idx="0">
                  <c:v> 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val>
            <c:numRef>
              <c:f>Portada!$F$2:$P$2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5B9E-4C52-8F2A-4DA9C6501F6C}"/>
            </c:ext>
          </c:extLst>
        </c:ser>
        <c:ser>
          <c:idx val="2"/>
          <c:order val="2"/>
          <c:tx>
            <c:strRef>
              <c:f>Portada!$D$3:$E$3</c:f>
              <c:strCache>
                <c:ptCount val="2"/>
                <c:pt idx="0">
                  <c:v>2</c:v>
                </c:pt>
                <c:pt idx="1">
                  <c:v>Comparación Courier Planta de Cobre C2 - Laboratorio</c:v>
                </c:pt>
              </c:strCache>
            </c:strRef>
          </c:tx>
          <c:spPr>
            <a:solidFill>
              <a:srgbClr val="A5A5A5"/>
            </a:solidFill>
            <a:ln w="25400">
              <a:noFill/>
            </a:ln>
          </c:spPr>
          <c:invertIfNegative val="0"/>
          <c:val>
            <c:numRef>
              <c:f>Portada!$F$3:$P$3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5B9E-4C52-8F2A-4DA9C6501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293816"/>
        <c:axId val="434290680"/>
      </c:barChart>
      <c:catAx>
        <c:axId val="434293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4290680"/>
        <c:crosses val="autoZero"/>
        <c:auto val="1"/>
        <c:lblAlgn val="ctr"/>
        <c:lblOffset val="100"/>
        <c:noMultiLvlLbl val="0"/>
      </c:catAx>
      <c:valAx>
        <c:axId val="4342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42938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Portada!$D$12</c:f>
              <c:strCache>
                <c:ptCount val="1"/>
                <c:pt idx="0">
                  <c:v>Diferencia-%Dif.</c:v>
                </c:pt>
              </c:strCache>
            </c:strRef>
          </c:tx>
          <c:cat>
            <c:multiLvlStrRef>
              <c:f>Portada!$E$7:$P$11</c:f>
              <c:multiLvlStrCache>
                <c:ptCount val="12"/>
                <c:lvl>
                  <c:pt idx="0">
                    <c:v>0.476</c:v>
                  </c:pt>
                  <c:pt idx="1">
                    <c:v>0.470</c:v>
                  </c:pt>
                  <c:pt idx="2">
                    <c:v>Sin dato</c:v>
                  </c:pt>
                  <c:pt idx="3">
                    <c:v>Sin dato</c:v>
                  </c:pt>
                  <c:pt idx="4">
                    <c:v>0.028</c:v>
                  </c:pt>
                  <c:pt idx="5">
                    <c:v>0.034</c:v>
                  </c:pt>
                  <c:pt idx="6">
                    <c:v>Sin dato</c:v>
                  </c:pt>
                  <c:pt idx="7">
                    <c:v>Sin dato</c:v>
                  </c:pt>
                  <c:pt idx="8">
                    <c:v>1.896</c:v>
                  </c:pt>
                  <c:pt idx="9">
                    <c:v>1.862</c:v>
                  </c:pt>
                  <c:pt idx="10">
                    <c:v>Sin dato</c:v>
                  </c:pt>
                  <c:pt idx="11">
                    <c:v>Sin dato</c:v>
                  </c:pt>
                </c:lvl>
                <c:lvl>
                  <c:pt idx="0">
                    <c:v>Courier</c:v>
                  </c:pt>
                  <c:pt idx="1">
                    <c:v>Lab</c:v>
                  </c:pt>
                  <c:pt idx="2">
                    <c:v>Courier</c:v>
                  </c:pt>
                  <c:pt idx="3">
                    <c:v>Lab</c:v>
                  </c:pt>
                  <c:pt idx="4">
                    <c:v>Courier</c:v>
                  </c:pt>
                  <c:pt idx="5">
                    <c:v>Lab</c:v>
                  </c:pt>
                  <c:pt idx="6">
                    <c:v>Courier</c:v>
                  </c:pt>
                  <c:pt idx="7">
                    <c:v>Lab</c:v>
                  </c:pt>
                  <c:pt idx="8">
                    <c:v>Courier</c:v>
                  </c:pt>
                  <c:pt idx="9">
                    <c:v>Lab</c:v>
                  </c:pt>
                  <c:pt idx="10">
                    <c:v>Courier</c:v>
                  </c:pt>
                  <c:pt idx="11">
                    <c:v>Lab</c:v>
                  </c:pt>
                </c:lvl>
                <c:lvl>
                  <c:pt idx="0">
                    <c:v>Turno A</c:v>
                  </c:pt>
                  <c:pt idx="2">
                    <c:v>Turno B</c:v>
                  </c:pt>
                  <c:pt idx="4">
                    <c:v>Turno A</c:v>
                  </c:pt>
                  <c:pt idx="6">
                    <c:v>Turno B</c:v>
                  </c:pt>
                  <c:pt idx="8">
                    <c:v>Turno A</c:v>
                  </c:pt>
                  <c:pt idx="10">
                    <c:v>Turno B</c:v>
                  </c:pt>
                </c:lvl>
                <c:lvl>
                  <c:pt idx="0">
                    <c:v>%Cu</c:v>
                  </c:pt>
                  <c:pt idx="4">
                    <c:v>%Mo</c:v>
                  </c:pt>
                  <c:pt idx="8">
                    <c:v>%Fe</c:v>
                  </c:pt>
                </c:lvl>
                <c:lvl>
                  <c:pt idx="0">
                    <c:v>Alimentación Rougher Promedio</c:v>
                  </c:pt>
                </c:lvl>
              </c:multiLvlStrCache>
            </c:multiLvlStrRef>
          </c:cat>
          <c:val>
            <c:numRef>
              <c:f>Portada!$E$12:$P$12</c:f>
              <c:numCache>
                <c:formatCode>0.0</c:formatCode>
                <c:ptCount val="12"/>
                <c:pt idx="0" formatCode="0.000">
                  <c:v>-5.7004976272583274E-3</c:v>
                </c:pt>
                <c:pt idx="1">
                  <c:v>1.2128718355868782</c:v>
                </c:pt>
                <c:pt idx="2" formatCode="0.000">
                  <c:v>0</c:v>
                </c:pt>
                <c:pt idx="3">
                  <c:v>0</c:v>
                </c:pt>
                <c:pt idx="4" formatCode="0.000">
                  <c:v>6.385104745626452E-3</c:v>
                </c:pt>
                <c:pt idx="5">
                  <c:v>18.779719840077799</c:v>
                </c:pt>
                <c:pt idx="6" formatCode="0.000">
                  <c:v>0</c:v>
                </c:pt>
                <c:pt idx="7">
                  <c:v>0</c:v>
                </c:pt>
                <c:pt idx="8" formatCode="0.000">
                  <c:v>-3.3918965339660545E-2</c:v>
                </c:pt>
                <c:pt idx="9">
                  <c:v>1.8216415327422419</c:v>
                </c:pt>
                <c:pt idx="10" formatCode="0.00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D-42BF-AE27-845ECB739084}"/>
            </c:ext>
          </c:extLst>
        </c:ser>
        <c:ser>
          <c:idx val="1"/>
          <c:order val="1"/>
          <c:tx>
            <c:strRef>
              <c:f>Portada!$D$14</c:f>
              <c:strCache>
                <c:ptCount val="1"/>
              </c:strCache>
            </c:strRef>
          </c:tx>
          <c:cat>
            <c:multiLvlStrRef>
              <c:f>Portada!$E$7:$P$11</c:f>
              <c:multiLvlStrCache>
                <c:ptCount val="12"/>
                <c:lvl>
                  <c:pt idx="0">
                    <c:v>0.476</c:v>
                  </c:pt>
                  <c:pt idx="1">
                    <c:v>0.470</c:v>
                  </c:pt>
                  <c:pt idx="2">
                    <c:v>Sin dato</c:v>
                  </c:pt>
                  <c:pt idx="3">
                    <c:v>Sin dato</c:v>
                  </c:pt>
                  <c:pt idx="4">
                    <c:v>0.028</c:v>
                  </c:pt>
                  <c:pt idx="5">
                    <c:v>0.034</c:v>
                  </c:pt>
                  <c:pt idx="6">
                    <c:v>Sin dato</c:v>
                  </c:pt>
                  <c:pt idx="7">
                    <c:v>Sin dato</c:v>
                  </c:pt>
                  <c:pt idx="8">
                    <c:v>1.896</c:v>
                  </c:pt>
                  <c:pt idx="9">
                    <c:v>1.862</c:v>
                  </c:pt>
                  <c:pt idx="10">
                    <c:v>Sin dato</c:v>
                  </c:pt>
                  <c:pt idx="11">
                    <c:v>Sin dato</c:v>
                  </c:pt>
                </c:lvl>
                <c:lvl>
                  <c:pt idx="0">
                    <c:v>Courier</c:v>
                  </c:pt>
                  <c:pt idx="1">
                    <c:v>Lab</c:v>
                  </c:pt>
                  <c:pt idx="2">
                    <c:v>Courier</c:v>
                  </c:pt>
                  <c:pt idx="3">
                    <c:v>Lab</c:v>
                  </c:pt>
                  <c:pt idx="4">
                    <c:v>Courier</c:v>
                  </c:pt>
                  <c:pt idx="5">
                    <c:v>Lab</c:v>
                  </c:pt>
                  <c:pt idx="6">
                    <c:v>Courier</c:v>
                  </c:pt>
                  <c:pt idx="7">
                    <c:v>Lab</c:v>
                  </c:pt>
                  <c:pt idx="8">
                    <c:v>Courier</c:v>
                  </c:pt>
                  <c:pt idx="9">
                    <c:v>Lab</c:v>
                  </c:pt>
                  <c:pt idx="10">
                    <c:v>Courier</c:v>
                  </c:pt>
                  <c:pt idx="11">
                    <c:v>Lab</c:v>
                  </c:pt>
                </c:lvl>
                <c:lvl>
                  <c:pt idx="0">
                    <c:v>Turno A</c:v>
                  </c:pt>
                  <c:pt idx="2">
                    <c:v>Turno B</c:v>
                  </c:pt>
                  <c:pt idx="4">
                    <c:v>Turno A</c:v>
                  </c:pt>
                  <c:pt idx="6">
                    <c:v>Turno B</c:v>
                  </c:pt>
                  <c:pt idx="8">
                    <c:v>Turno A</c:v>
                  </c:pt>
                  <c:pt idx="10">
                    <c:v>Turno B</c:v>
                  </c:pt>
                </c:lvl>
                <c:lvl>
                  <c:pt idx="0">
                    <c:v>%Cu</c:v>
                  </c:pt>
                  <c:pt idx="4">
                    <c:v>%Mo</c:v>
                  </c:pt>
                  <c:pt idx="8">
                    <c:v>%Fe</c:v>
                  </c:pt>
                </c:lvl>
                <c:lvl>
                  <c:pt idx="0">
                    <c:v>Alimentación Rougher Promedio</c:v>
                  </c:pt>
                </c:lvl>
              </c:multiLvlStrCache>
            </c:multiLvlStrRef>
          </c:cat>
          <c:val>
            <c:numRef>
              <c:f>Portada!$E$14:$P$14</c:f>
              <c:numCache>
                <c:formatCode>General</c:formatCode>
                <c:ptCount val="12"/>
                <c:pt idx="0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9D-42BF-AE27-845ECB739084}"/>
            </c:ext>
          </c:extLst>
        </c:ser>
        <c:ser>
          <c:idx val="2"/>
          <c:order val="2"/>
          <c:tx>
            <c:strRef>
              <c:f>Portada!$D$15</c:f>
              <c:strCache>
                <c:ptCount val="1"/>
              </c:strCache>
            </c:strRef>
          </c:tx>
          <c:cat>
            <c:multiLvlStrRef>
              <c:f>Portada!$E$7:$P$11</c:f>
              <c:multiLvlStrCache>
                <c:ptCount val="12"/>
                <c:lvl>
                  <c:pt idx="0">
                    <c:v>0.476</c:v>
                  </c:pt>
                  <c:pt idx="1">
                    <c:v>0.470</c:v>
                  </c:pt>
                  <c:pt idx="2">
                    <c:v>Sin dato</c:v>
                  </c:pt>
                  <c:pt idx="3">
                    <c:v>Sin dato</c:v>
                  </c:pt>
                  <c:pt idx="4">
                    <c:v>0.028</c:v>
                  </c:pt>
                  <c:pt idx="5">
                    <c:v>0.034</c:v>
                  </c:pt>
                  <c:pt idx="6">
                    <c:v>Sin dato</c:v>
                  </c:pt>
                  <c:pt idx="7">
                    <c:v>Sin dato</c:v>
                  </c:pt>
                  <c:pt idx="8">
                    <c:v>1.896</c:v>
                  </c:pt>
                  <c:pt idx="9">
                    <c:v>1.862</c:v>
                  </c:pt>
                  <c:pt idx="10">
                    <c:v>Sin dato</c:v>
                  </c:pt>
                  <c:pt idx="11">
                    <c:v>Sin dato</c:v>
                  </c:pt>
                </c:lvl>
                <c:lvl>
                  <c:pt idx="0">
                    <c:v>Courier</c:v>
                  </c:pt>
                  <c:pt idx="1">
                    <c:v>Lab</c:v>
                  </c:pt>
                  <c:pt idx="2">
                    <c:v>Courier</c:v>
                  </c:pt>
                  <c:pt idx="3">
                    <c:v>Lab</c:v>
                  </c:pt>
                  <c:pt idx="4">
                    <c:v>Courier</c:v>
                  </c:pt>
                  <c:pt idx="5">
                    <c:v>Lab</c:v>
                  </c:pt>
                  <c:pt idx="6">
                    <c:v>Courier</c:v>
                  </c:pt>
                  <c:pt idx="7">
                    <c:v>Lab</c:v>
                  </c:pt>
                  <c:pt idx="8">
                    <c:v>Courier</c:v>
                  </c:pt>
                  <c:pt idx="9">
                    <c:v>Lab</c:v>
                  </c:pt>
                  <c:pt idx="10">
                    <c:v>Courier</c:v>
                  </c:pt>
                  <c:pt idx="11">
                    <c:v>Lab</c:v>
                  </c:pt>
                </c:lvl>
                <c:lvl>
                  <c:pt idx="0">
                    <c:v>Turno A</c:v>
                  </c:pt>
                  <c:pt idx="2">
                    <c:v>Turno B</c:v>
                  </c:pt>
                  <c:pt idx="4">
                    <c:v>Turno A</c:v>
                  </c:pt>
                  <c:pt idx="6">
                    <c:v>Turno B</c:v>
                  </c:pt>
                  <c:pt idx="8">
                    <c:v>Turno A</c:v>
                  </c:pt>
                  <c:pt idx="10">
                    <c:v>Turno B</c:v>
                  </c:pt>
                </c:lvl>
                <c:lvl>
                  <c:pt idx="0">
                    <c:v>%Cu</c:v>
                  </c:pt>
                  <c:pt idx="4">
                    <c:v>%Mo</c:v>
                  </c:pt>
                  <c:pt idx="8">
                    <c:v>%Fe</c:v>
                  </c:pt>
                </c:lvl>
                <c:lvl>
                  <c:pt idx="0">
                    <c:v>Alimentación Rougher Promedio</c:v>
                  </c:pt>
                </c:lvl>
              </c:multiLvlStrCache>
            </c:multiLvlStrRef>
          </c:cat>
          <c:val>
            <c:numRef>
              <c:f>Portada!$E$15:$P$15</c:f>
              <c:numCache>
                <c:formatCode>General</c:formatCode>
                <c:ptCount val="12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9D-42BF-AE27-845ECB739084}"/>
            </c:ext>
          </c:extLst>
        </c:ser>
        <c:ser>
          <c:idx val="3"/>
          <c:order val="3"/>
          <c:tx>
            <c:strRef>
              <c:f>Portada!$D$16</c:f>
              <c:strCache>
                <c:ptCount val="1"/>
              </c:strCache>
            </c:strRef>
          </c:tx>
          <c:cat>
            <c:multiLvlStrRef>
              <c:f>Portada!$E$7:$P$11</c:f>
              <c:multiLvlStrCache>
                <c:ptCount val="12"/>
                <c:lvl>
                  <c:pt idx="0">
                    <c:v>0.476</c:v>
                  </c:pt>
                  <c:pt idx="1">
                    <c:v>0.470</c:v>
                  </c:pt>
                  <c:pt idx="2">
                    <c:v>Sin dato</c:v>
                  </c:pt>
                  <c:pt idx="3">
                    <c:v>Sin dato</c:v>
                  </c:pt>
                  <c:pt idx="4">
                    <c:v>0.028</c:v>
                  </c:pt>
                  <c:pt idx="5">
                    <c:v>0.034</c:v>
                  </c:pt>
                  <c:pt idx="6">
                    <c:v>Sin dato</c:v>
                  </c:pt>
                  <c:pt idx="7">
                    <c:v>Sin dato</c:v>
                  </c:pt>
                  <c:pt idx="8">
                    <c:v>1.896</c:v>
                  </c:pt>
                  <c:pt idx="9">
                    <c:v>1.862</c:v>
                  </c:pt>
                  <c:pt idx="10">
                    <c:v>Sin dato</c:v>
                  </c:pt>
                  <c:pt idx="11">
                    <c:v>Sin dato</c:v>
                  </c:pt>
                </c:lvl>
                <c:lvl>
                  <c:pt idx="0">
                    <c:v>Courier</c:v>
                  </c:pt>
                  <c:pt idx="1">
                    <c:v>Lab</c:v>
                  </c:pt>
                  <c:pt idx="2">
                    <c:v>Courier</c:v>
                  </c:pt>
                  <c:pt idx="3">
                    <c:v>Lab</c:v>
                  </c:pt>
                  <c:pt idx="4">
                    <c:v>Courier</c:v>
                  </c:pt>
                  <c:pt idx="5">
                    <c:v>Lab</c:v>
                  </c:pt>
                  <c:pt idx="6">
                    <c:v>Courier</c:v>
                  </c:pt>
                  <c:pt idx="7">
                    <c:v>Lab</c:v>
                  </c:pt>
                  <c:pt idx="8">
                    <c:v>Courier</c:v>
                  </c:pt>
                  <c:pt idx="9">
                    <c:v>Lab</c:v>
                  </c:pt>
                  <c:pt idx="10">
                    <c:v>Courier</c:v>
                  </c:pt>
                  <c:pt idx="11">
                    <c:v>Lab</c:v>
                  </c:pt>
                </c:lvl>
                <c:lvl>
                  <c:pt idx="0">
                    <c:v>Turno A</c:v>
                  </c:pt>
                  <c:pt idx="2">
                    <c:v>Turno B</c:v>
                  </c:pt>
                  <c:pt idx="4">
                    <c:v>Turno A</c:v>
                  </c:pt>
                  <c:pt idx="6">
                    <c:v>Turno B</c:v>
                  </c:pt>
                  <c:pt idx="8">
                    <c:v>Turno A</c:v>
                  </c:pt>
                  <c:pt idx="10">
                    <c:v>Turno B</c:v>
                  </c:pt>
                </c:lvl>
                <c:lvl>
                  <c:pt idx="0">
                    <c:v>%Cu</c:v>
                  </c:pt>
                  <c:pt idx="4">
                    <c:v>%Mo</c:v>
                  </c:pt>
                  <c:pt idx="8">
                    <c:v>%Fe</c:v>
                  </c:pt>
                </c:lvl>
                <c:lvl>
                  <c:pt idx="0">
                    <c:v>Alimentación Rougher Promedio</c:v>
                  </c:pt>
                </c:lvl>
              </c:multiLvlStrCache>
            </c:multiLvlStrRef>
          </c:cat>
          <c:val>
            <c:numRef>
              <c:f>Portada!$E$16:$P$16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9D-42BF-AE27-845ECB739084}"/>
            </c:ext>
          </c:extLst>
        </c:ser>
        <c:ser>
          <c:idx val="4"/>
          <c:order val="4"/>
          <c:tx>
            <c:strRef>
              <c:f>Portada!$D$17</c:f>
              <c:strCache>
                <c:ptCount val="1"/>
              </c:strCache>
            </c:strRef>
          </c:tx>
          <c:cat>
            <c:multiLvlStrRef>
              <c:f>Portada!$E$7:$P$11</c:f>
              <c:multiLvlStrCache>
                <c:ptCount val="12"/>
                <c:lvl>
                  <c:pt idx="0">
                    <c:v>0.476</c:v>
                  </c:pt>
                  <c:pt idx="1">
                    <c:v>0.470</c:v>
                  </c:pt>
                  <c:pt idx="2">
                    <c:v>Sin dato</c:v>
                  </c:pt>
                  <c:pt idx="3">
                    <c:v>Sin dato</c:v>
                  </c:pt>
                  <c:pt idx="4">
                    <c:v>0.028</c:v>
                  </c:pt>
                  <c:pt idx="5">
                    <c:v>0.034</c:v>
                  </c:pt>
                  <c:pt idx="6">
                    <c:v>Sin dato</c:v>
                  </c:pt>
                  <c:pt idx="7">
                    <c:v>Sin dato</c:v>
                  </c:pt>
                  <c:pt idx="8">
                    <c:v>1.896</c:v>
                  </c:pt>
                  <c:pt idx="9">
                    <c:v>1.862</c:v>
                  </c:pt>
                  <c:pt idx="10">
                    <c:v>Sin dato</c:v>
                  </c:pt>
                  <c:pt idx="11">
                    <c:v>Sin dato</c:v>
                  </c:pt>
                </c:lvl>
                <c:lvl>
                  <c:pt idx="0">
                    <c:v>Courier</c:v>
                  </c:pt>
                  <c:pt idx="1">
                    <c:v>Lab</c:v>
                  </c:pt>
                  <c:pt idx="2">
                    <c:v>Courier</c:v>
                  </c:pt>
                  <c:pt idx="3">
                    <c:v>Lab</c:v>
                  </c:pt>
                  <c:pt idx="4">
                    <c:v>Courier</c:v>
                  </c:pt>
                  <c:pt idx="5">
                    <c:v>Lab</c:v>
                  </c:pt>
                  <c:pt idx="6">
                    <c:v>Courier</c:v>
                  </c:pt>
                  <c:pt idx="7">
                    <c:v>Lab</c:v>
                  </c:pt>
                  <c:pt idx="8">
                    <c:v>Courier</c:v>
                  </c:pt>
                  <c:pt idx="9">
                    <c:v>Lab</c:v>
                  </c:pt>
                  <c:pt idx="10">
                    <c:v>Courier</c:v>
                  </c:pt>
                  <c:pt idx="11">
                    <c:v>Lab</c:v>
                  </c:pt>
                </c:lvl>
                <c:lvl>
                  <c:pt idx="0">
                    <c:v>Turno A</c:v>
                  </c:pt>
                  <c:pt idx="2">
                    <c:v>Turno B</c:v>
                  </c:pt>
                  <c:pt idx="4">
                    <c:v>Turno A</c:v>
                  </c:pt>
                  <c:pt idx="6">
                    <c:v>Turno B</c:v>
                  </c:pt>
                  <c:pt idx="8">
                    <c:v>Turno A</c:v>
                  </c:pt>
                  <c:pt idx="10">
                    <c:v>Turno B</c:v>
                  </c:pt>
                </c:lvl>
                <c:lvl>
                  <c:pt idx="0">
                    <c:v>%Cu</c:v>
                  </c:pt>
                  <c:pt idx="4">
                    <c:v>%Mo</c:v>
                  </c:pt>
                  <c:pt idx="8">
                    <c:v>%Fe</c:v>
                  </c:pt>
                </c:lvl>
                <c:lvl>
                  <c:pt idx="0">
                    <c:v>Alimentación Rougher Promedio</c:v>
                  </c:pt>
                </c:lvl>
              </c:multiLvlStrCache>
            </c:multiLvlStrRef>
          </c:cat>
          <c:val>
            <c:numRef>
              <c:f>Portada!$E$17:$P$17</c:f>
              <c:numCache>
                <c:formatCode>0.000</c:formatCode>
                <c:ptCount val="12"/>
                <c:pt idx="0">
                  <c:v>7.9368008300662041E-3</c:v>
                </c:pt>
                <c:pt idx="1">
                  <c:v>7.0000000000000001E-3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9D-42BF-AE27-845ECB739084}"/>
            </c:ext>
          </c:extLst>
        </c:ser>
        <c:ser>
          <c:idx val="5"/>
          <c:order val="5"/>
          <c:tx>
            <c:strRef>
              <c:f>Portada!$D$18</c:f>
              <c:strCache>
                <c:ptCount val="1"/>
                <c:pt idx="0">
                  <c:v>Diferencia-%Dif.</c:v>
                </c:pt>
              </c:strCache>
            </c:strRef>
          </c:tx>
          <c:cat>
            <c:multiLvlStrRef>
              <c:f>Portada!$E$7:$P$11</c:f>
              <c:multiLvlStrCache>
                <c:ptCount val="12"/>
                <c:lvl>
                  <c:pt idx="0">
                    <c:v>0.476</c:v>
                  </c:pt>
                  <c:pt idx="1">
                    <c:v>0.470</c:v>
                  </c:pt>
                  <c:pt idx="2">
                    <c:v>Sin dato</c:v>
                  </c:pt>
                  <c:pt idx="3">
                    <c:v>Sin dato</c:v>
                  </c:pt>
                  <c:pt idx="4">
                    <c:v>0.028</c:v>
                  </c:pt>
                  <c:pt idx="5">
                    <c:v>0.034</c:v>
                  </c:pt>
                  <c:pt idx="6">
                    <c:v>Sin dato</c:v>
                  </c:pt>
                  <c:pt idx="7">
                    <c:v>Sin dato</c:v>
                  </c:pt>
                  <c:pt idx="8">
                    <c:v>1.896</c:v>
                  </c:pt>
                  <c:pt idx="9">
                    <c:v>1.862</c:v>
                  </c:pt>
                  <c:pt idx="10">
                    <c:v>Sin dato</c:v>
                  </c:pt>
                  <c:pt idx="11">
                    <c:v>Sin dato</c:v>
                  </c:pt>
                </c:lvl>
                <c:lvl>
                  <c:pt idx="0">
                    <c:v>Courier</c:v>
                  </c:pt>
                  <c:pt idx="1">
                    <c:v>Lab</c:v>
                  </c:pt>
                  <c:pt idx="2">
                    <c:v>Courier</c:v>
                  </c:pt>
                  <c:pt idx="3">
                    <c:v>Lab</c:v>
                  </c:pt>
                  <c:pt idx="4">
                    <c:v>Courier</c:v>
                  </c:pt>
                  <c:pt idx="5">
                    <c:v>Lab</c:v>
                  </c:pt>
                  <c:pt idx="6">
                    <c:v>Courier</c:v>
                  </c:pt>
                  <c:pt idx="7">
                    <c:v>Lab</c:v>
                  </c:pt>
                  <c:pt idx="8">
                    <c:v>Courier</c:v>
                  </c:pt>
                  <c:pt idx="9">
                    <c:v>Lab</c:v>
                  </c:pt>
                  <c:pt idx="10">
                    <c:v>Courier</c:v>
                  </c:pt>
                  <c:pt idx="11">
                    <c:v>Lab</c:v>
                  </c:pt>
                </c:lvl>
                <c:lvl>
                  <c:pt idx="0">
                    <c:v>Turno A</c:v>
                  </c:pt>
                  <c:pt idx="2">
                    <c:v>Turno B</c:v>
                  </c:pt>
                  <c:pt idx="4">
                    <c:v>Turno A</c:v>
                  </c:pt>
                  <c:pt idx="6">
                    <c:v>Turno B</c:v>
                  </c:pt>
                  <c:pt idx="8">
                    <c:v>Turno A</c:v>
                  </c:pt>
                  <c:pt idx="10">
                    <c:v>Turno B</c:v>
                  </c:pt>
                </c:lvl>
                <c:lvl>
                  <c:pt idx="0">
                    <c:v>%Cu</c:v>
                  </c:pt>
                  <c:pt idx="4">
                    <c:v>%Mo</c:v>
                  </c:pt>
                  <c:pt idx="8">
                    <c:v>%Fe</c:v>
                  </c:pt>
                </c:lvl>
                <c:lvl>
                  <c:pt idx="0">
                    <c:v>Alimentación Rougher Promedio</c:v>
                  </c:pt>
                </c:lvl>
              </c:multiLvlStrCache>
            </c:multiLvlStrRef>
          </c:cat>
          <c:val>
            <c:numRef>
              <c:f>Portada!$E$18:$P$18</c:f>
              <c:numCache>
                <c:formatCode>0.0</c:formatCode>
                <c:ptCount val="12"/>
                <c:pt idx="0" formatCode="0.000">
                  <c:v>-9.3680083006620393E-4</c:v>
                </c:pt>
                <c:pt idx="1">
                  <c:v>13.382869000945771</c:v>
                </c:pt>
                <c:pt idx="2" formatCode="0.000">
                  <c:v>0</c:v>
                </c:pt>
                <c:pt idx="3">
                  <c:v>0</c:v>
                </c:pt>
                <c:pt idx="4" formatCode="0.000">
                  <c:v>0</c:v>
                </c:pt>
                <c:pt idx="5">
                  <c:v>0</c:v>
                </c:pt>
                <c:pt idx="6" formatCode="0.000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9D-42BF-AE27-845ECB739084}"/>
            </c:ext>
          </c:extLst>
        </c:ser>
        <c:bandFmts/>
        <c:axId val="434284016"/>
        <c:axId val="434292248"/>
        <c:axId val="430452528"/>
      </c:surface3DChart>
      <c:catAx>
        <c:axId val="434284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34292248"/>
        <c:crosses val="autoZero"/>
        <c:auto val="1"/>
        <c:lblAlgn val="ctr"/>
        <c:lblOffset val="100"/>
        <c:noMultiLvlLbl val="0"/>
      </c:catAx>
      <c:valAx>
        <c:axId val="4342922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34284016"/>
        <c:crosses val="autoZero"/>
        <c:crossBetween val="midCat"/>
      </c:valAx>
      <c:serAx>
        <c:axId val="43045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434292248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ALIMENTACION ROUGHER - PLANTA DE COBRE (%Fe)</a:t>
            </a:r>
          </a:p>
        </c:rich>
      </c:tx>
      <c:layout>
        <c:manualLayout>
          <c:xMode val="edge"/>
          <c:yMode val="edge"/>
          <c:x val="0.30537365596924404"/>
          <c:y val="3.17461536820092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5776038110286E-2"/>
          <c:y val="0.11375690764743419"/>
          <c:w val="0.90432561148786372"/>
          <c:h val="0.69841450276564243"/>
        </c:manualLayout>
      </c:layout>
      <c:lineChart>
        <c:grouping val="standard"/>
        <c:varyColors val="0"/>
        <c:ser>
          <c:idx val="0"/>
          <c:order val="0"/>
          <c:tx>
            <c:strRef>
              <c:f>TABLA!$D$3</c:f>
              <c:strCache>
                <c:ptCount val="1"/>
                <c:pt idx="0">
                  <c:v>H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TABLA!$R$4:$R$65</c:f>
              <c:numCache>
                <c:formatCode>0.000</c:formatCode>
                <c:ptCount val="62"/>
                <c:pt idx="0">
                  <c:v>1.5964376926422119</c:v>
                </c:pt>
                <c:pt idx="1">
                  <c:v>1.5964376926422119</c:v>
                </c:pt>
                <c:pt idx="2">
                  <c:v>1.9872089624404907</c:v>
                </c:pt>
                <c:pt idx="3">
                  <c:v>1.9872089624404907</c:v>
                </c:pt>
                <c:pt idx="4">
                  <c:v>2.1675477027893066</c:v>
                </c:pt>
                <c:pt idx="5">
                  <c:v>1.7473745346069336</c:v>
                </c:pt>
                <c:pt idx="6">
                  <c:v>2.2131941318511963</c:v>
                </c:pt>
                <c:pt idx="7">
                  <c:v>2.1373381614685059</c:v>
                </c:pt>
                <c:pt idx="8">
                  <c:v>2.2564880847930908</c:v>
                </c:pt>
                <c:pt idx="9">
                  <c:v>2.91060471534729</c:v>
                </c:pt>
                <c:pt idx="10">
                  <c:v>3.5943660736083984</c:v>
                </c:pt>
                <c:pt idx="11">
                  <c:v>3.5040261745452881</c:v>
                </c:pt>
                <c:pt idx="12">
                  <c:v>3.6080083847045898</c:v>
                </c:pt>
                <c:pt idx="13">
                  <c:v>3.2283015251159668</c:v>
                </c:pt>
                <c:pt idx="14">
                  <c:v>3.4119632244110107</c:v>
                </c:pt>
                <c:pt idx="15">
                  <c:v>2.9544482231140137</c:v>
                </c:pt>
                <c:pt idx="16">
                  <c:v>2.6430220603942871</c:v>
                </c:pt>
                <c:pt idx="17">
                  <c:v>2.6430220603942871</c:v>
                </c:pt>
                <c:pt idx="18">
                  <c:v>2.3879258632659912</c:v>
                </c:pt>
                <c:pt idx="19">
                  <c:v>2.330700159072876</c:v>
                </c:pt>
                <c:pt idx="20">
                  <c:v>2.0357098579406738</c:v>
                </c:pt>
                <c:pt idx="21">
                  <c:v>2.1933765411376953</c:v>
                </c:pt>
                <c:pt idx="22">
                  <c:v>2.2739195823669434</c:v>
                </c:pt>
                <c:pt idx="23">
                  <c:v>2.3236763477325439</c:v>
                </c:pt>
                <c:pt idx="24">
                  <c:v>1.9739096164703369</c:v>
                </c:pt>
                <c:pt idx="25">
                  <c:v>1.7383064031600952</c:v>
                </c:pt>
                <c:pt idx="26">
                  <c:v>1.7383064031600952</c:v>
                </c:pt>
                <c:pt idx="27">
                  <c:v>1.5686616897583008</c:v>
                </c:pt>
                <c:pt idx="28">
                  <c:v>2.0942068099975586</c:v>
                </c:pt>
                <c:pt idx="29">
                  <c:v>1.8899176120758057</c:v>
                </c:pt>
                <c:pt idx="30">
                  <c:v>2.6859238147735596</c:v>
                </c:pt>
                <c:pt idx="31">
                  <c:v>2.4497549533843994</c:v>
                </c:pt>
                <c:pt idx="32">
                  <c:v>2.0410492420196533</c:v>
                </c:pt>
                <c:pt idx="33">
                  <c:v>1.8280590772628784</c:v>
                </c:pt>
                <c:pt idx="34">
                  <c:v>1.9858081340789795</c:v>
                </c:pt>
                <c:pt idx="35">
                  <c:v>2.5345699787139893</c:v>
                </c:pt>
                <c:pt idx="36">
                  <c:v>2.6145422458648682</c:v>
                </c:pt>
                <c:pt idx="37">
                  <c:v>2.7508416175842285</c:v>
                </c:pt>
                <c:pt idx="38">
                  <c:v>2.567657470703125</c:v>
                </c:pt>
                <c:pt idx="39">
                  <c:v>2.6255476474761963</c:v>
                </c:pt>
                <c:pt idx="40">
                  <c:v>2.2746589183807373</c:v>
                </c:pt>
                <c:pt idx="41">
                  <c:v>2.8858299255371094</c:v>
                </c:pt>
                <c:pt idx="42">
                  <c:v>3.2246012687683105</c:v>
                </c:pt>
                <c:pt idx="43">
                  <c:v>3.2246012687683105</c:v>
                </c:pt>
                <c:pt idx="44">
                  <c:v>2.9478087425231934</c:v>
                </c:pt>
                <c:pt idx="45">
                  <c:v>3.1660964488983154</c:v>
                </c:pt>
                <c:pt idx="46">
                  <c:v>2.6882262229919434</c:v>
                </c:pt>
                <c:pt idx="47">
                  <c:v>2.5827183723449707</c:v>
                </c:pt>
                <c:pt idx="48">
                  <c:v>2.1223628520965576</c:v>
                </c:pt>
                <c:pt idx="49">
                  <c:v>2.074695348739624</c:v>
                </c:pt>
                <c:pt idx="50">
                  <c:v>2.061875581741333</c:v>
                </c:pt>
                <c:pt idx="51">
                  <c:v>1.8942028284072876</c:v>
                </c:pt>
                <c:pt idx="52">
                  <c:v>1.671797513961792</c:v>
                </c:pt>
                <c:pt idx="53">
                  <c:v>1.6115454435348511</c:v>
                </c:pt>
                <c:pt idx="54">
                  <c:v>2.0212831497192383</c:v>
                </c:pt>
                <c:pt idx="55">
                  <c:v>3.2616772651672363</c:v>
                </c:pt>
                <c:pt idx="56">
                  <c:v>1.668205738067627</c:v>
                </c:pt>
                <c:pt idx="57">
                  <c:v>1.7673033475875854</c:v>
                </c:pt>
                <c:pt idx="58">
                  <c:v>1.668297290802002</c:v>
                </c:pt>
                <c:pt idx="59">
                  <c:v>2.0039591789245605</c:v>
                </c:pt>
                <c:pt idx="60">
                  <c:v>1.8959189653396606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8FA-459C-80E6-22B6AE53207A}"/>
            </c:ext>
          </c:extLst>
        </c:ser>
        <c:ser>
          <c:idx val="1"/>
          <c:order val="1"/>
          <c:tx>
            <c:strRef>
              <c:f>TABLA!$E$3</c:f>
              <c:strCache>
                <c:ptCount val="1"/>
                <c:pt idx="0">
                  <c:v>H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TABLA!$S$4:$S$65</c:f>
              <c:numCache>
                <c:formatCode>0.000</c:formatCode>
                <c:ptCount val="62"/>
                <c:pt idx="0">
                  <c:v>1.9990000000000001</c:v>
                </c:pt>
                <c:pt idx="1">
                  <c:v>2.149</c:v>
                </c:pt>
                <c:pt idx="2">
                  <c:v>2.1850000000000001</c:v>
                </c:pt>
                <c:pt idx="3">
                  <c:v>2.4500000000000002</c:v>
                </c:pt>
                <c:pt idx="4">
                  <c:v>2.6240000000000001</c:v>
                </c:pt>
                <c:pt idx="5">
                  <c:v>2.044</c:v>
                </c:pt>
                <c:pt idx="6">
                  <c:v>2.15</c:v>
                </c:pt>
                <c:pt idx="7">
                  <c:v>2.5590000000000002</c:v>
                </c:pt>
                <c:pt idx="8">
                  <c:v>2.1469999999999998</c:v>
                </c:pt>
                <c:pt idx="9">
                  <c:v>3.4009999999999998</c:v>
                </c:pt>
                <c:pt idx="10">
                  <c:v>3.9220000000000002</c:v>
                </c:pt>
                <c:pt idx="11">
                  <c:v>4.3159999999999998</c:v>
                </c:pt>
                <c:pt idx="12">
                  <c:v>3.8439999999999999</c:v>
                </c:pt>
                <c:pt idx="13">
                  <c:v>3.7050000000000001</c:v>
                </c:pt>
                <c:pt idx="14">
                  <c:v>3.7719999999999998</c:v>
                </c:pt>
                <c:pt idx="15">
                  <c:v>3.3290000000000002</c:v>
                </c:pt>
                <c:pt idx="16">
                  <c:v>2.7160000000000002</c:v>
                </c:pt>
                <c:pt idx="17">
                  <c:v>2.1549999999999998</c:v>
                </c:pt>
                <c:pt idx="18">
                  <c:v>2.4169999999999998</c:v>
                </c:pt>
                <c:pt idx="19">
                  <c:v>2.3109999999999999</c:v>
                </c:pt>
                <c:pt idx="20">
                  <c:v>2.177</c:v>
                </c:pt>
                <c:pt idx="21">
                  <c:v>2.2090000000000001</c:v>
                </c:pt>
                <c:pt idx="22">
                  <c:v>2.5049999999999999</c:v>
                </c:pt>
                <c:pt idx="23">
                  <c:v>2.2799999999999998</c:v>
                </c:pt>
                <c:pt idx="24">
                  <c:v>2.12</c:v>
                </c:pt>
                <c:pt idx="25">
                  <c:v>2.0259999999999998</c:v>
                </c:pt>
                <c:pt idx="26">
                  <c:v>1.6930000000000001</c:v>
                </c:pt>
                <c:pt idx="27">
                  <c:v>1.802</c:v>
                </c:pt>
                <c:pt idx="28">
                  <c:v>2.0049999999999999</c:v>
                </c:pt>
                <c:pt idx="29">
                  <c:v>2.266</c:v>
                </c:pt>
                <c:pt idx="30">
                  <c:v>2.5649999999999999</c:v>
                </c:pt>
                <c:pt idx="31">
                  <c:v>2.3540000000000001</c:v>
                </c:pt>
                <c:pt idx="32">
                  <c:v>2.2050000000000001</c:v>
                </c:pt>
                <c:pt idx="33">
                  <c:v>1.863</c:v>
                </c:pt>
                <c:pt idx="34">
                  <c:v>2.4929999999999999</c:v>
                </c:pt>
                <c:pt idx="35">
                  <c:v>0</c:v>
                </c:pt>
                <c:pt idx="36">
                  <c:v>2.6320000000000001</c:v>
                </c:pt>
                <c:pt idx="37">
                  <c:v>3.0009999999999999</c:v>
                </c:pt>
                <c:pt idx="38">
                  <c:v>2.4169999999999998</c:v>
                </c:pt>
                <c:pt idx="39">
                  <c:v>3.1869999999999998</c:v>
                </c:pt>
                <c:pt idx="40">
                  <c:v>2.9660000000000002</c:v>
                </c:pt>
                <c:pt idx="41">
                  <c:v>3.2549999999999999</c:v>
                </c:pt>
                <c:pt idx="42">
                  <c:v>3.7250000000000001</c:v>
                </c:pt>
                <c:pt idx="43">
                  <c:v>3.2170000000000001</c:v>
                </c:pt>
                <c:pt idx="44">
                  <c:v>3.31</c:v>
                </c:pt>
                <c:pt idx="45">
                  <c:v>2.99</c:v>
                </c:pt>
                <c:pt idx="46">
                  <c:v>2.8050000000000002</c:v>
                </c:pt>
                <c:pt idx="47">
                  <c:v>2.214</c:v>
                </c:pt>
                <c:pt idx="48">
                  <c:v>2.3239999999999998</c:v>
                </c:pt>
                <c:pt idx="49">
                  <c:v>1.982</c:v>
                </c:pt>
                <c:pt idx="50">
                  <c:v>2.2010000000000001</c:v>
                </c:pt>
                <c:pt idx="51">
                  <c:v>2.093</c:v>
                </c:pt>
                <c:pt idx="52">
                  <c:v>2.1339999999999999</c:v>
                </c:pt>
                <c:pt idx="53">
                  <c:v>1.869</c:v>
                </c:pt>
                <c:pt idx="54">
                  <c:v>1.966</c:v>
                </c:pt>
                <c:pt idx="55">
                  <c:v>1.8859999999999999</c:v>
                </c:pt>
                <c:pt idx="56">
                  <c:v>1.944</c:v>
                </c:pt>
                <c:pt idx="57">
                  <c:v>1.909</c:v>
                </c:pt>
                <c:pt idx="58">
                  <c:v>1.875</c:v>
                </c:pt>
                <c:pt idx="59">
                  <c:v>2.2229999999999999</c:v>
                </c:pt>
                <c:pt idx="60">
                  <c:v>1.8620000000000001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8FA-459C-80E6-22B6AE53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0232"/>
        <c:axId val="348739840"/>
      </c:lineChart>
      <c:catAx>
        <c:axId val="348740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0982984176586288"/>
              <c:y val="0.9338648116139952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398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8739840"/>
        <c:scaling>
          <c:orientation val="minMax"/>
          <c:max val="7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
</a:t>
                </a:r>
              </a:p>
            </c:rich>
          </c:tx>
          <c:layout>
            <c:manualLayout>
              <c:xMode val="edge"/>
              <c:yMode val="edge"/>
              <c:x val="6.5530450991276223E-3"/>
              <c:y val="0.457673075418418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0232"/>
        <c:crosses val="autoZero"/>
        <c:crossBetween val="between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7064273623760482"/>
          <c:y val="2.9100427487214503E-2"/>
          <c:w val="0.20052438614885937"/>
          <c:h val="5.82014240089907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useFirstPageNumber="1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ALIMENTACION ROUGHER - PLANTA DE COBRE (%Zn)</a:t>
            </a:r>
          </a:p>
        </c:rich>
      </c:tx>
      <c:layout>
        <c:manualLayout>
          <c:xMode val="edge"/>
          <c:yMode val="edge"/>
          <c:x val="0.26988267375668951"/>
          <c:y val="2.90237639214017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707953063885263E-2"/>
          <c:y val="0.11081808472399191"/>
          <c:w val="0.90743155149934807"/>
          <c:h val="0.70184786991861536"/>
        </c:manualLayout>
      </c:layout>
      <c:lineChart>
        <c:grouping val="standard"/>
        <c:varyColors val="0"/>
        <c:ser>
          <c:idx val="0"/>
          <c:order val="0"/>
          <c:tx>
            <c:strRef>
              <c:f>TABLA!$K$3</c:f>
              <c:strCache>
                <c:ptCount val="1"/>
                <c:pt idx="0">
                  <c:v>H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TABLA!$V$4:$V$65</c:f>
              <c:numCache>
                <c:formatCode>0.000</c:formatCode>
                <c:ptCount val="62"/>
                <c:pt idx="0">
                  <c:v>4.7147199511528015E-3</c:v>
                </c:pt>
                <c:pt idx="1">
                  <c:v>4.7147199511528015E-3</c:v>
                </c:pt>
                <c:pt idx="2">
                  <c:v>6.1931628733873367E-3</c:v>
                </c:pt>
                <c:pt idx="3">
                  <c:v>6.1931628733873367E-3</c:v>
                </c:pt>
                <c:pt idx="4">
                  <c:v>6.5892492420971394E-3</c:v>
                </c:pt>
                <c:pt idx="5">
                  <c:v>6.1063943430781364E-3</c:v>
                </c:pt>
                <c:pt idx="6">
                  <c:v>5.5366773158311844E-3</c:v>
                </c:pt>
                <c:pt idx="7">
                  <c:v>5.7715675793588161E-3</c:v>
                </c:pt>
                <c:pt idx="8">
                  <c:v>6.773815955966711E-3</c:v>
                </c:pt>
                <c:pt idx="9">
                  <c:v>8.6742974817752838E-3</c:v>
                </c:pt>
                <c:pt idx="10">
                  <c:v>1.1003839783370495E-2</c:v>
                </c:pt>
                <c:pt idx="11">
                  <c:v>1.0052197612822056E-2</c:v>
                </c:pt>
                <c:pt idx="12">
                  <c:v>9.3735344707965851E-3</c:v>
                </c:pt>
                <c:pt idx="13">
                  <c:v>8.1755714491009712E-3</c:v>
                </c:pt>
                <c:pt idx="14">
                  <c:v>8.2578184083104134E-3</c:v>
                </c:pt>
                <c:pt idx="15">
                  <c:v>7.9696653410792351E-3</c:v>
                </c:pt>
                <c:pt idx="16">
                  <c:v>7.6600434258580208E-3</c:v>
                </c:pt>
                <c:pt idx="17">
                  <c:v>7.6600434258580208E-3</c:v>
                </c:pt>
                <c:pt idx="18">
                  <c:v>6.2200790271162987E-3</c:v>
                </c:pt>
                <c:pt idx="19">
                  <c:v>6.4344317652285099E-3</c:v>
                </c:pt>
                <c:pt idx="20">
                  <c:v>6.1346180737018585E-3</c:v>
                </c:pt>
                <c:pt idx="21">
                  <c:v>8.0054206773638725E-3</c:v>
                </c:pt>
                <c:pt idx="22">
                  <c:v>7.3039238341152668E-3</c:v>
                </c:pt>
                <c:pt idx="23">
                  <c:v>6.8369507789611816E-3</c:v>
                </c:pt>
                <c:pt idx="24">
                  <c:v>1.0536938905715942E-2</c:v>
                </c:pt>
                <c:pt idx="25">
                  <c:v>7.5447349809110165E-3</c:v>
                </c:pt>
                <c:pt idx="26">
                  <c:v>7.5447349809110165E-3</c:v>
                </c:pt>
                <c:pt idx="27">
                  <c:v>6.1332276090979576E-3</c:v>
                </c:pt>
                <c:pt idx="28">
                  <c:v>7.9010417684912682E-3</c:v>
                </c:pt>
                <c:pt idx="29">
                  <c:v>7.138469722121954E-3</c:v>
                </c:pt>
                <c:pt idx="30">
                  <c:v>9.220530278980732E-3</c:v>
                </c:pt>
                <c:pt idx="31">
                  <c:v>8.9092524722218513E-3</c:v>
                </c:pt>
                <c:pt idx="32">
                  <c:v>7.3290285654366016E-3</c:v>
                </c:pt>
                <c:pt idx="33">
                  <c:v>7.2602988220751286E-3</c:v>
                </c:pt>
                <c:pt idx="34">
                  <c:v>9.1845616698265076E-3</c:v>
                </c:pt>
                <c:pt idx="35">
                  <c:v>8.9148255065083504E-3</c:v>
                </c:pt>
                <c:pt idx="36">
                  <c:v>7.4626179412007332E-3</c:v>
                </c:pt>
                <c:pt idx="37">
                  <c:v>7.635544054210186E-3</c:v>
                </c:pt>
                <c:pt idx="38">
                  <c:v>7.0276269689202309E-3</c:v>
                </c:pt>
                <c:pt idx="39">
                  <c:v>7.2544845752418041E-3</c:v>
                </c:pt>
                <c:pt idx="40">
                  <c:v>5.736964289098978E-3</c:v>
                </c:pt>
                <c:pt idx="41">
                  <c:v>8.6402837187051773E-3</c:v>
                </c:pt>
                <c:pt idx="42">
                  <c:v>8.5093574598431587E-3</c:v>
                </c:pt>
                <c:pt idx="43">
                  <c:v>8.5093574598431587E-3</c:v>
                </c:pt>
                <c:pt idx="44">
                  <c:v>8.7617700919508934E-3</c:v>
                </c:pt>
                <c:pt idx="45">
                  <c:v>9.3513708561658859E-3</c:v>
                </c:pt>
                <c:pt idx="46">
                  <c:v>9.615710936486721E-3</c:v>
                </c:pt>
                <c:pt idx="47">
                  <c:v>8.6873816326260567E-3</c:v>
                </c:pt>
                <c:pt idx="48">
                  <c:v>6.7641460336744785E-3</c:v>
                </c:pt>
                <c:pt idx="49">
                  <c:v>7.3444037698209286E-3</c:v>
                </c:pt>
                <c:pt idx="50">
                  <c:v>7.315794937312603E-3</c:v>
                </c:pt>
                <c:pt idx="51">
                  <c:v>6.9347294047474861E-3</c:v>
                </c:pt>
                <c:pt idx="52">
                  <c:v>6.834651343524456E-3</c:v>
                </c:pt>
                <c:pt idx="53">
                  <c:v>6.7706587724387646E-3</c:v>
                </c:pt>
                <c:pt idx="54">
                  <c:v>7.3374165222048759E-3</c:v>
                </c:pt>
                <c:pt idx="55">
                  <c:v>4.1019417345523834E-2</c:v>
                </c:pt>
                <c:pt idx="56">
                  <c:v>6.2469076365232468E-3</c:v>
                </c:pt>
                <c:pt idx="57">
                  <c:v>6.7604230716824532E-3</c:v>
                </c:pt>
                <c:pt idx="58">
                  <c:v>6.9596525281667709E-3</c:v>
                </c:pt>
                <c:pt idx="59">
                  <c:v>7.498864084482193E-3</c:v>
                </c:pt>
                <c:pt idx="60">
                  <c:v>7.9368008300662041E-3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5-4A3C-B496-11B65DEB25E6}"/>
            </c:ext>
          </c:extLst>
        </c:ser>
        <c:ser>
          <c:idx val="1"/>
          <c:order val="1"/>
          <c:tx>
            <c:strRef>
              <c:f>TABLA!$L$3</c:f>
              <c:strCache>
                <c:ptCount val="1"/>
                <c:pt idx="0">
                  <c:v>H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TABLA!$W$4:$W$65</c:f>
              <c:numCache>
                <c:formatCode>0.000</c:formatCode>
                <c:ptCount val="62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6.0000000000000001E-3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4.0000000000000001E-3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0.01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8.0000000000000002E-3</c:v>
                </c:pt>
                <c:pt idx="13">
                  <c:v>7.0000000000000001E-3</c:v>
                </c:pt>
                <c:pt idx="14">
                  <c:v>6.0000000000000001E-3</c:v>
                </c:pt>
                <c:pt idx="15">
                  <c:v>0.01</c:v>
                </c:pt>
                <c:pt idx="16">
                  <c:v>6.0000000000000001E-3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8.0000000000000002E-3</c:v>
                </c:pt>
                <c:pt idx="22">
                  <c:v>7.0000000000000001E-3</c:v>
                </c:pt>
                <c:pt idx="23">
                  <c:v>6.0000000000000001E-3</c:v>
                </c:pt>
                <c:pt idx="24">
                  <c:v>1.2E-2</c:v>
                </c:pt>
                <c:pt idx="25">
                  <c:v>0.01</c:v>
                </c:pt>
                <c:pt idx="26">
                  <c:v>8.9999999999999993E-3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8.9999999999999993E-3</c:v>
                </c:pt>
                <c:pt idx="30">
                  <c:v>0.01</c:v>
                </c:pt>
                <c:pt idx="31">
                  <c:v>0.01</c:v>
                </c:pt>
                <c:pt idx="32">
                  <c:v>1.0999999999999999E-2</c:v>
                </c:pt>
                <c:pt idx="33">
                  <c:v>8.0000000000000002E-3</c:v>
                </c:pt>
                <c:pt idx="34">
                  <c:v>1.0999999999999999E-2</c:v>
                </c:pt>
                <c:pt idx="35">
                  <c:v>0</c:v>
                </c:pt>
                <c:pt idx="36">
                  <c:v>5.0000000000000001E-3</c:v>
                </c:pt>
                <c:pt idx="37">
                  <c:v>6.0000000000000001E-3</c:v>
                </c:pt>
                <c:pt idx="38">
                  <c:v>5.0000000000000001E-3</c:v>
                </c:pt>
                <c:pt idx="39">
                  <c:v>7.0000000000000001E-3</c:v>
                </c:pt>
                <c:pt idx="40">
                  <c:v>7.0000000000000001E-3</c:v>
                </c:pt>
                <c:pt idx="41">
                  <c:v>8.0000000000000002E-3</c:v>
                </c:pt>
                <c:pt idx="42">
                  <c:v>7.0000000000000001E-3</c:v>
                </c:pt>
                <c:pt idx="43">
                  <c:v>8.0000000000000002E-3</c:v>
                </c:pt>
                <c:pt idx="44">
                  <c:v>8.9999999999999993E-3</c:v>
                </c:pt>
                <c:pt idx="45">
                  <c:v>8.9999999999999993E-3</c:v>
                </c:pt>
                <c:pt idx="46">
                  <c:v>1.0999999999999999E-2</c:v>
                </c:pt>
                <c:pt idx="47">
                  <c:v>7.0000000000000001E-3</c:v>
                </c:pt>
                <c:pt idx="48">
                  <c:v>5.0000000000000001E-3</c:v>
                </c:pt>
                <c:pt idx="49">
                  <c:v>4.0000000000000001E-3</c:v>
                </c:pt>
                <c:pt idx="50">
                  <c:v>5.0000000000000001E-3</c:v>
                </c:pt>
                <c:pt idx="51">
                  <c:v>5.0000000000000001E-3</c:v>
                </c:pt>
                <c:pt idx="52">
                  <c:v>5.0000000000000001E-3</c:v>
                </c:pt>
                <c:pt idx="53">
                  <c:v>5.0000000000000001E-3</c:v>
                </c:pt>
                <c:pt idx="54">
                  <c:v>4.0000000000000001E-3</c:v>
                </c:pt>
                <c:pt idx="55">
                  <c:v>5.0000000000000001E-3</c:v>
                </c:pt>
                <c:pt idx="56">
                  <c:v>5.0000000000000001E-3</c:v>
                </c:pt>
                <c:pt idx="57">
                  <c:v>5.0000000000000001E-3</c:v>
                </c:pt>
                <c:pt idx="58">
                  <c:v>6.0000000000000001E-3</c:v>
                </c:pt>
                <c:pt idx="59">
                  <c:v>6.0000000000000001E-3</c:v>
                </c:pt>
                <c:pt idx="60">
                  <c:v>7.0000000000000001E-3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65-4A3C-B496-11B65DEB2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36312"/>
        <c:axId val="348742192"/>
      </c:lineChart>
      <c:catAx>
        <c:axId val="348736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0717074002113371"/>
              <c:y val="0.93403816414840035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21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8742192"/>
        <c:scaling>
          <c:orientation val="minMax"/>
          <c:max val="3.0000000000000006E-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%Zn</a:t>
                </a:r>
              </a:p>
            </c:rich>
          </c:tx>
          <c:layout>
            <c:manualLayout>
              <c:xMode val="edge"/>
              <c:yMode val="edge"/>
              <c:x val="6.5188669598118419E-3"/>
              <c:y val="0.430079591402426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36312"/>
        <c:crosses val="autoZero"/>
        <c:crossBetween val="between"/>
        <c:majorUnit val="5.0000000000000001E-3"/>
        <c:minorUnit val="5.0000000000000001E-3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2881358012066677"/>
          <c:y val="1.8469745335887067E-2"/>
          <c:w val="0.23989569485632478"/>
          <c:h val="5.5408952259345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1200" vertic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COLA FINAL - PLANTA DE COBRE (%Fe)</a:t>
            </a:r>
          </a:p>
        </c:rich>
      </c:tx>
      <c:layout>
        <c:manualLayout>
          <c:xMode val="edge"/>
          <c:yMode val="edge"/>
          <c:x val="0.35602090155940413"/>
          <c:y val="3.14960629921259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460732984293197E-2"/>
          <c:y val="0.10498714573887011"/>
          <c:w val="0.89528795811518325"/>
          <c:h val="0.71128791238084499"/>
        </c:manualLayout>
      </c:layout>
      <c:lineChart>
        <c:grouping val="standard"/>
        <c:varyColors val="0"/>
        <c:ser>
          <c:idx val="0"/>
          <c:order val="0"/>
          <c:tx>
            <c:strRef>
              <c:f>TABLA!$AD$3</c:f>
              <c:strCache>
                <c:ptCount val="1"/>
                <c:pt idx="0">
                  <c:v>T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TABLA!$AR$4:$AR$65</c:f>
              <c:numCache>
                <c:formatCode>0.000</c:formatCode>
                <c:ptCount val="62"/>
                <c:pt idx="0">
                  <c:v>1.1579176187515259</c:v>
                </c:pt>
                <c:pt idx="1">
                  <c:v>1.4105159044265747</c:v>
                </c:pt>
                <c:pt idx="2">
                  <c:v>2.0302956104278564</c:v>
                </c:pt>
                <c:pt idx="3">
                  <c:v>2.0302956104278564</c:v>
                </c:pt>
                <c:pt idx="4">
                  <c:v>1.8688817024230957</c:v>
                </c:pt>
                <c:pt idx="5">
                  <c:v>2.0460820198059082</c:v>
                </c:pt>
                <c:pt idx="6">
                  <c:v>1.9263710975646973</c:v>
                </c:pt>
                <c:pt idx="7">
                  <c:v>1.6159392595291138</c:v>
                </c:pt>
                <c:pt idx="8">
                  <c:v>1.4575302600860596</c:v>
                </c:pt>
                <c:pt idx="9">
                  <c:v>2.1850786209106445</c:v>
                </c:pt>
                <c:pt idx="10">
                  <c:v>3.0885875225067139</c:v>
                </c:pt>
                <c:pt idx="11">
                  <c:v>3.2177166938781738</c:v>
                </c:pt>
                <c:pt idx="12">
                  <c:v>3.2077841758728027</c:v>
                </c:pt>
                <c:pt idx="13">
                  <c:v>3.0345401763916016</c:v>
                </c:pt>
                <c:pt idx="14">
                  <c:v>2.8765525817871094</c:v>
                </c:pt>
                <c:pt idx="15">
                  <c:v>2.5311262607574463</c:v>
                </c:pt>
                <c:pt idx="16">
                  <c:v>2.0745596885681152</c:v>
                </c:pt>
                <c:pt idx="17">
                  <c:v>2.0745596885681152</c:v>
                </c:pt>
                <c:pt idx="18">
                  <c:v>1.5710897445678711</c:v>
                </c:pt>
                <c:pt idx="19">
                  <c:v>1.5980982780456543</c:v>
                </c:pt>
                <c:pt idx="20">
                  <c:v>1.5301421880722046</c:v>
                </c:pt>
                <c:pt idx="21">
                  <c:v>1.4573581218719482</c:v>
                </c:pt>
                <c:pt idx="22">
                  <c:v>1.5452429056167603</c:v>
                </c:pt>
                <c:pt idx="23">
                  <c:v>1.6426550149917603</c:v>
                </c:pt>
                <c:pt idx="24">
                  <c:v>1.8665000200271606</c:v>
                </c:pt>
                <c:pt idx="25">
                  <c:v>1.6725833415985107</c:v>
                </c:pt>
                <c:pt idx="26">
                  <c:v>1.6725833415985107</c:v>
                </c:pt>
                <c:pt idx="27">
                  <c:v>1.3824989795684814</c:v>
                </c:pt>
                <c:pt idx="28">
                  <c:v>1.4072225093841553</c:v>
                </c:pt>
                <c:pt idx="29">
                  <c:v>1.7435058355331421</c:v>
                </c:pt>
                <c:pt idx="30">
                  <c:v>2.2167539596557617</c:v>
                </c:pt>
                <c:pt idx="31">
                  <c:v>1.8447232246398926</c:v>
                </c:pt>
                <c:pt idx="32">
                  <c:v>1.3106778860092163</c:v>
                </c:pt>
                <c:pt idx="33">
                  <c:v>1.2757508754730225</c:v>
                </c:pt>
                <c:pt idx="34">
                  <c:v>1.3762176036834717</c:v>
                </c:pt>
                <c:pt idx="35">
                  <c:v>1.9142037630081177</c:v>
                </c:pt>
                <c:pt idx="36">
                  <c:v>2.1051921844482422</c:v>
                </c:pt>
                <c:pt idx="37">
                  <c:v>1.8737521171569824</c:v>
                </c:pt>
                <c:pt idx="38">
                  <c:v>1.8178185224533081</c:v>
                </c:pt>
                <c:pt idx="39">
                  <c:v>2.1222233772277832</c:v>
                </c:pt>
                <c:pt idx="40">
                  <c:v>2.018911600112915</c:v>
                </c:pt>
                <c:pt idx="41">
                  <c:v>1.786179780960083</c:v>
                </c:pt>
                <c:pt idx="42">
                  <c:v>2.1955306529998779</c:v>
                </c:pt>
                <c:pt idx="43">
                  <c:v>2.1955306529998779</c:v>
                </c:pt>
                <c:pt idx="44">
                  <c:v>2.0325229167938232</c:v>
                </c:pt>
                <c:pt idx="45">
                  <c:v>2.4309391975402832</c:v>
                </c:pt>
                <c:pt idx="46">
                  <c:v>2.057365894317627</c:v>
                </c:pt>
                <c:pt idx="47">
                  <c:v>2.0642762184143066</c:v>
                </c:pt>
                <c:pt idx="48">
                  <c:v>1.6705179214477539</c:v>
                </c:pt>
                <c:pt idx="49">
                  <c:v>1.3353372812271118</c:v>
                </c:pt>
                <c:pt idx="50">
                  <c:v>1.4547910690307617</c:v>
                </c:pt>
                <c:pt idx="51">
                  <c:v>1.4547910690307617</c:v>
                </c:pt>
                <c:pt idx="52">
                  <c:v>1.4547910690307617</c:v>
                </c:pt>
                <c:pt idx="53">
                  <c:v>1.4547910690307617</c:v>
                </c:pt>
                <c:pt idx="54">
                  <c:v>1.4547910690307617</c:v>
                </c:pt>
                <c:pt idx="55">
                  <c:v>1.4547910690307617</c:v>
                </c:pt>
                <c:pt idx="56">
                  <c:v>1.4547910690307617</c:v>
                </c:pt>
                <c:pt idx="57">
                  <c:v>1.4547910690307617</c:v>
                </c:pt>
                <c:pt idx="58">
                  <c:v>1.4547910690307617</c:v>
                </c:pt>
                <c:pt idx="59">
                  <c:v>1.4369500875473022</c:v>
                </c:pt>
                <c:pt idx="60">
                  <c:v>1.1370348930358887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5-4B94-9B6B-82204F676D89}"/>
            </c:ext>
          </c:extLst>
        </c:ser>
        <c:ser>
          <c:idx val="1"/>
          <c:order val="1"/>
          <c:tx>
            <c:strRef>
              <c:f>TABLA!$AE$3</c:f>
              <c:strCache>
                <c:ptCount val="1"/>
                <c:pt idx="0">
                  <c:v>T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TABLA!$AS$4:$AS$65</c:f>
              <c:numCache>
                <c:formatCode>0.000</c:formatCode>
                <c:ptCount val="62"/>
                <c:pt idx="0">
                  <c:v>1.4379999999999999</c:v>
                </c:pt>
                <c:pt idx="1">
                  <c:v>1.8149999999999999</c:v>
                </c:pt>
                <c:pt idx="2">
                  <c:v>1.8839999999999999</c:v>
                </c:pt>
                <c:pt idx="3">
                  <c:v>2.0950000000000002</c:v>
                </c:pt>
                <c:pt idx="4">
                  <c:v>1.651</c:v>
                </c:pt>
                <c:pt idx="5">
                  <c:v>1.327</c:v>
                </c:pt>
                <c:pt idx="6">
                  <c:v>1.6910000000000001</c:v>
                </c:pt>
                <c:pt idx="7">
                  <c:v>1.77</c:v>
                </c:pt>
                <c:pt idx="8">
                  <c:v>1.861</c:v>
                </c:pt>
                <c:pt idx="9">
                  <c:v>2.66</c:v>
                </c:pt>
                <c:pt idx="10">
                  <c:v>3.831</c:v>
                </c:pt>
                <c:pt idx="11">
                  <c:v>3.7709999999999999</c:v>
                </c:pt>
                <c:pt idx="12">
                  <c:v>3.641</c:v>
                </c:pt>
                <c:pt idx="13">
                  <c:v>3.254</c:v>
                </c:pt>
                <c:pt idx="14">
                  <c:v>3.323</c:v>
                </c:pt>
                <c:pt idx="15">
                  <c:v>2.6190000000000002</c:v>
                </c:pt>
                <c:pt idx="16">
                  <c:v>2.048</c:v>
                </c:pt>
                <c:pt idx="17">
                  <c:v>1.5549999999999999</c:v>
                </c:pt>
                <c:pt idx="18">
                  <c:v>1.82</c:v>
                </c:pt>
                <c:pt idx="19">
                  <c:v>1.5509999999999999</c:v>
                </c:pt>
                <c:pt idx="20">
                  <c:v>1.399</c:v>
                </c:pt>
                <c:pt idx="21">
                  <c:v>1.5289999999999999</c:v>
                </c:pt>
                <c:pt idx="22">
                  <c:v>2.0329999999999999</c:v>
                </c:pt>
                <c:pt idx="23">
                  <c:v>1.5640000000000001</c:v>
                </c:pt>
                <c:pt idx="24">
                  <c:v>1.6659999999999999</c:v>
                </c:pt>
                <c:pt idx="25">
                  <c:v>1.518</c:v>
                </c:pt>
                <c:pt idx="26">
                  <c:v>1.117</c:v>
                </c:pt>
                <c:pt idx="27">
                  <c:v>1.159</c:v>
                </c:pt>
                <c:pt idx="28">
                  <c:v>1.619</c:v>
                </c:pt>
                <c:pt idx="29">
                  <c:v>1.6639999999999999</c:v>
                </c:pt>
                <c:pt idx="30">
                  <c:v>2.133</c:v>
                </c:pt>
                <c:pt idx="31">
                  <c:v>2.028</c:v>
                </c:pt>
                <c:pt idx="32">
                  <c:v>1.48</c:v>
                </c:pt>
                <c:pt idx="33">
                  <c:v>1.321</c:v>
                </c:pt>
                <c:pt idx="34">
                  <c:v>1.99</c:v>
                </c:pt>
                <c:pt idx="35">
                  <c:v>0</c:v>
                </c:pt>
                <c:pt idx="36">
                  <c:v>2.5619999999999998</c:v>
                </c:pt>
                <c:pt idx="37">
                  <c:v>2.6139999999999999</c:v>
                </c:pt>
                <c:pt idx="38">
                  <c:v>2.17</c:v>
                </c:pt>
                <c:pt idx="39">
                  <c:v>2.1040000000000001</c:v>
                </c:pt>
                <c:pt idx="40">
                  <c:v>2.6819999999999999</c:v>
                </c:pt>
                <c:pt idx="41">
                  <c:v>2.6440000000000001</c:v>
                </c:pt>
                <c:pt idx="42">
                  <c:v>3.1059999999999999</c:v>
                </c:pt>
                <c:pt idx="43">
                  <c:v>2.758</c:v>
                </c:pt>
                <c:pt idx="44">
                  <c:v>3.202</c:v>
                </c:pt>
                <c:pt idx="45">
                  <c:v>2.5859999999999999</c:v>
                </c:pt>
                <c:pt idx="46">
                  <c:v>2.5310000000000001</c:v>
                </c:pt>
                <c:pt idx="47">
                  <c:v>1.9550000000000001</c:v>
                </c:pt>
                <c:pt idx="48">
                  <c:v>1.766</c:v>
                </c:pt>
                <c:pt idx="49">
                  <c:v>1.573</c:v>
                </c:pt>
                <c:pt idx="50">
                  <c:v>1.7270000000000001</c:v>
                </c:pt>
                <c:pt idx="51">
                  <c:v>1.7230000000000001</c:v>
                </c:pt>
                <c:pt idx="52">
                  <c:v>1.3420000000000001</c:v>
                </c:pt>
                <c:pt idx="53">
                  <c:v>1.5529999999999999</c:v>
                </c:pt>
                <c:pt idx="54">
                  <c:v>1.2390000000000001</c:v>
                </c:pt>
                <c:pt idx="55">
                  <c:v>1.5840000000000001</c:v>
                </c:pt>
                <c:pt idx="56">
                  <c:v>1.6919999999999999</c:v>
                </c:pt>
                <c:pt idx="57">
                  <c:v>1.3879999999999999</c:v>
                </c:pt>
                <c:pt idx="58">
                  <c:v>1.609</c:v>
                </c:pt>
                <c:pt idx="59">
                  <c:v>1.895</c:v>
                </c:pt>
                <c:pt idx="60">
                  <c:v>1.3420000000000001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75-4B94-9B6B-82204F67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1800"/>
        <c:axId val="348746504"/>
      </c:lineChart>
      <c:catAx>
        <c:axId val="348741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178008876660952"/>
              <c:y val="0.93438574210481762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65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8746504"/>
        <c:scaling>
          <c:orientation val="minMax"/>
          <c:max val="5.5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%Fe</a:t>
                </a:r>
              </a:p>
            </c:rich>
          </c:tx>
          <c:layout>
            <c:manualLayout>
              <c:xMode val="edge"/>
              <c:yMode val="edge"/>
              <c:x val="6.5445013636659171E-3"/>
              <c:y val="0.425197979284847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1800"/>
        <c:crosses val="autoZero"/>
        <c:crossBetween val="between"/>
        <c:majorUnit val="0.5"/>
        <c:minorUnit val="0.2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130894818069516"/>
          <c:y val="2.6246719160104987E-2"/>
          <c:w val="0.24083770493486223"/>
          <c:h val="5.5118392459007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CONCENTRADO FINAL - PLANTA DE COBRE (%Fe)</a:t>
            </a:r>
          </a:p>
        </c:rich>
      </c:tx>
      <c:layout>
        <c:manualLayout>
          <c:xMode val="edge"/>
          <c:yMode val="edge"/>
          <c:x val="0.31937172129885327"/>
          <c:y val="3.14960629921259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14136125654448E-2"/>
          <c:y val="0.11023650302581361"/>
          <c:w val="0.88743455497382195"/>
          <c:h val="0.70078919780695792"/>
        </c:manualLayout>
      </c:layout>
      <c:lineChart>
        <c:grouping val="standard"/>
        <c:varyColors val="0"/>
        <c:ser>
          <c:idx val="0"/>
          <c:order val="0"/>
          <c:tx>
            <c:strRef>
              <c:f>TABLA!$AW$3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TABLA!$BK$4:$BK$65</c:f>
              <c:numCache>
                <c:formatCode>0.000</c:formatCode>
                <c:ptCount val="62"/>
                <c:pt idx="0">
                  <c:v>25.751577377319336</c:v>
                </c:pt>
                <c:pt idx="1">
                  <c:v>29.464408874511719</c:v>
                </c:pt>
                <c:pt idx="2">
                  <c:v>27.397794723510742</c:v>
                </c:pt>
                <c:pt idx="3">
                  <c:v>27.397794723510742</c:v>
                </c:pt>
                <c:pt idx="4">
                  <c:v>27.444334030151367</c:v>
                </c:pt>
                <c:pt idx="5">
                  <c:v>26.431015014648438</c:v>
                </c:pt>
                <c:pt idx="6">
                  <c:v>27.522235870361328</c:v>
                </c:pt>
                <c:pt idx="7">
                  <c:v>21.578971862792969</c:v>
                </c:pt>
                <c:pt idx="8">
                  <c:v>26.42375373840332</c:v>
                </c:pt>
                <c:pt idx="9">
                  <c:v>26.098102569580078</c:v>
                </c:pt>
                <c:pt idx="10">
                  <c:v>27.314510345458984</c:v>
                </c:pt>
                <c:pt idx="11">
                  <c:v>28.374088287353516</c:v>
                </c:pt>
                <c:pt idx="12">
                  <c:v>28.225210189819336</c:v>
                </c:pt>
                <c:pt idx="13">
                  <c:v>27.824117660522461</c:v>
                </c:pt>
                <c:pt idx="14">
                  <c:v>27.567352294921875</c:v>
                </c:pt>
                <c:pt idx="15">
                  <c:v>27.567352294921875</c:v>
                </c:pt>
                <c:pt idx="16">
                  <c:v>27.567352294921875</c:v>
                </c:pt>
                <c:pt idx="17">
                  <c:v>27.567352294921875</c:v>
                </c:pt>
                <c:pt idx="18">
                  <c:v>27.449356079101563</c:v>
                </c:pt>
                <c:pt idx="19">
                  <c:v>27.538236618041992</c:v>
                </c:pt>
                <c:pt idx="20">
                  <c:v>26.769111633300781</c:v>
                </c:pt>
                <c:pt idx="21">
                  <c:v>28.333257675170898</c:v>
                </c:pt>
                <c:pt idx="22">
                  <c:v>27.382566452026367</c:v>
                </c:pt>
                <c:pt idx="23">
                  <c:v>28.875680923461914</c:v>
                </c:pt>
                <c:pt idx="24">
                  <c:v>27.289146423339844</c:v>
                </c:pt>
                <c:pt idx="25">
                  <c:v>27.289146423339844</c:v>
                </c:pt>
                <c:pt idx="26">
                  <c:v>27.289146423339844</c:v>
                </c:pt>
                <c:pt idx="27">
                  <c:v>27.289146423339844</c:v>
                </c:pt>
                <c:pt idx="28">
                  <c:v>27.289146423339844</c:v>
                </c:pt>
                <c:pt idx="29">
                  <c:v>27.289146423339844</c:v>
                </c:pt>
                <c:pt idx="30">
                  <c:v>27.289146423339844</c:v>
                </c:pt>
                <c:pt idx="31">
                  <c:v>27.289146423339844</c:v>
                </c:pt>
                <c:pt idx="32">
                  <c:v>27.289146423339844</c:v>
                </c:pt>
                <c:pt idx="33">
                  <c:v>27.661218643188477</c:v>
                </c:pt>
                <c:pt idx="34">
                  <c:v>26.856437683105469</c:v>
                </c:pt>
                <c:pt idx="35">
                  <c:v>27.473276138305664</c:v>
                </c:pt>
                <c:pt idx="36">
                  <c:v>27.367341995239258</c:v>
                </c:pt>
                <c:pt idx="37">
                  <c:v>26.602724075317383</c:v>
                </c:pt>
                <c:pt idx="38">
                  <c:v>26.955389022827148</c:v>
                </c:pt>
                <c:pt idx="39">
                  <c:v>28.53587532043457</c:v>
                </c:pt>
                <c:pt idx="40">
                  <c:v>25.195009231567383</c:v>
                </c:pt>
                <c:pt idx="41">
                  <c:v>28.608669281005859</c:v>
                </c:pt>
                <c:pt idx="42">
                  <c:v>28.197538375854492</c:v>
                </c:pt>
                <c:pt idx="43">
                  <c:v>28.197538375854492</c:v>
                </c:pt>
                <c:pt idx="44">
                  <c:v>27.451713562011719</c:v>
                </c:pt>
                <c:pt idx="45">
                  <c:v>27.47108268737793</c:v>
                </c:pt>
                <c:pt idx="46">
                  <c:v>27.083105087280273</c:v>
                </c:pt>
                <c:pt idx="47">
                  <c:v>27.242895126342773</c:v>
                </c:pt>
                <c:pt idx="48">
                  <c:v>27.622539520263672</c:v>
                </c:pt>
                <c:pt idx="49">
                  <c:v>26.88499641418457</c:v>
                </c:pt>
                <c:pt idx="50">
                  <c:v>27.057113647460938</c:v>
                </c:pt>
                <c:pt idx="51">
                  <c:v>26.96209716796875</c:v>
                </c:pt>
                <c:pt idx="52">
                  <c:v>27.119331359863281</c:v>
                </c:pt>
                <c:pt idx="53">
                  <c:v>26.521215438842773</c:v>
                </c:pt>
                <c:pt idx="54">
                  <c:v>28.496423721313477</c:v>
                </c:pt>
                <c:pt idx="55">
                  <c:v>27.689056396484375</c:v>
                </c:pt>
                <c:pt idx="56">
                  <c:v>27.300628662109375</c:v>
                </c:pt>
                <c:pt idx="57">
                  <c:v>27.345563888549805</c:v>
                </c:pt>
                <c:pt idx="58">
                  <c:v>27.211479187011719</c:v>
                </c:pt>
                <c:pt idx="59">
                  <c:v>27.497737884521484</c:v>
                </c:pt>
                <c:pt idx="60">
                  <c:v>28.092273712158203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07E-4083-AF92-2712FC7AF258}"/>
            </c:ext>
          </c:extLst>
        </c:ser>
        <c:ser>
          <c:idx val="1"/>
          <c:order val="1"/>
          <c:tx>
            <c:strRef>
              <c:f>TABLA!$AX$3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TABLA!$BL$4:$BL$65</c:f>
              <c:numCache>
                <c:formatCode>0.000</c:formatCode>
                <c:ptCount val="62"/>
                <c:pt idx="0">
                  <c:v>28.31</c:v>
                </c:pt>
                <c:pt idx="1">
                  <c:v>27.82</c:v>
                </c:pt>
                <c:pt idx="2">
                  <c:v>26.09</c:v>
                </c:pt>
                <c:pt idx="3">
                  <c:v>27.86</c:v>
                </c:pt>
                <c:pt idx="4">
                  <c:v>27.11</c:v>
                </c:pt>
                <c:pt idx="5">
                  <c:v>27.72</c:v>
                </c:pt>
                <c:pt idx="6">
                  <c:v>27.15</c:v>
                </c:pt>
                <c:pt idx="7">
                  <c:v>28.61</c:v>
                </c:pt>
                <c:pt idx="8">
                  <c:v>27.12</c:v>
                </c:pt>
                <c:pt idx="9">
                  <c:v>27.91</c:v>
                </c:pt>
                <c:pt idx="10">
                  <c:v>30.76</c:v>
                </c:pt>
                <c:pt idx="11">
                  <c:v>29.55</c:v>
                </c:pt>
                <c:pt idx="12">
                  <c:v>29.37</c:v>
                </c:pt>
                <c:pt idx="13">
                  <c:v>28.72</c:v>
                </c:pt>
                <c:pt idx="14">
                  <c:v>28.42</c:v>
                </c:pt>
                <c:pt idx="15">
                  <c:v>30.48</c:v>
                </c:pt>
                <c:pt idx="16">
                  <c:v>27.7</c:v>
                </c:pt>
                <c:pt idx="17">
                  <c:v>27.31</c:v>
                </c:pt>
                <c:pt idx="18">
                  <c:v>28.91</c:v>
                </c:pt>
                <c:pt idx="19">
                  <c:v>29.53</c:v>
                </c:pt>
                <c:pt idx="20">
                  <c:v>26.86</c:v>
                </c:pt>
                <c:pt idx="21">
                  <c:v>28.49</c:v>
                </c:pt>
                <c:pt idx="22">
                  <c:v>28.47</c:v>
                </c:pt>
                <c:pt idx="23">
                  <c:v>27.39</c:v>
                </c:pt>
                <c:pt idx="24">
                  <c:v>24.83</c:v>
                </c:pt>
                <c:pt idx="25">
                  <c:v>28</c:v>
                </c:pt>
                <c:pt idx="26">
                  <c:v>32.68</c:v>
                </c:pt>
                <c:pt idx="27">
                  <c:v>28.99</c:v>
                </c:pt>
                <c:pt idx="28">
                  <c:v>29.63</c:v>
                </c:pt>
                <c:pt idx="29">
                  <c:v>28.85</c:v>
                </c:pt>
                <c:pt idx="30">
                  <c:v>28.44</c:v>
                </c:pt>
                <c:pt idx="31">
                  <c:v>29.95</c:v>
                </c:pt>
                <c:pt idx="32">
                  <c:v>29.75</c:v>
                </c:pt>
                <c:pt idx="33">
                  <c:v>29.28</c:v>
                </c:pt>
                <c:pt idx="34">
                  <c:v>27.82</c:v>
                </c:pt>
                <c:pt idx="35">
                  <c:v>0</c:v>
                </c:pt>
                <c:pt idx="36">
                  <c:v>26.2</c:v>
                </c:pt>
                <c:pt idx="37">
                  <c:v>28.28</c:v>
                </c:pt>
                <c:pt idx="38">
                  <c:v>27.42</c:v>
                </c:pt>
                <c:pt idx="39">
                  <c:v>31.25</c:v>
                </c:pt>
                <c:pt idx="40">
                  <c:v>29.95</c:v>
                </c:pt>
                <c:pt idx="41">
                  <c:v>29.25</c:v>
                </c:pt>
                <c:pt idx="42">
                  <c:v>29.53</c:v>
                </c:pt>
                <c:pt idx="43">
                  <c:v>29.3</c:v>
                </c:pt>
                <c:pt idx="44">
                  <c:v>29.94</c:v>
                </c:pt>
                <c:pt idx="45">
                  <c:v>29.49</c:v>
                </c:pt>
                <c:pt idx="46">
                  <c:v>27.3</c:v>
                </c:pt>
                <c:pt idx="47">
                  <c:v>27.19</c:v>
                </c:pt>
                <c:pt idx="48">
                  <c:v>27.28</c:v>
                </c:pt>
                <c:pt idx="49">
                  <c:v>27.72</c:v>
                </c:pt>
                <c:pt idx="50">
                  <c:v>26.88</c:v>
                </c:pt>
                <c:pt idx="51">
                  <c:v>26.64</c:v>
                </c:pt>
                <c:pt idx="52">
                  <c:v>25.94</c:v>
                </c:pt>
                <c:pt idx="53">
                  <c:v>26.53</c:v>
                </c:pt>
                <c:pt idx="54">
                  <c:v>29.51</c:v>
                </c:pt>
                <c:pt idx="55">
                  <c:v>29.45</c:v>
                </c:pt>
                <c:pt idx="56">
                  <c:v>28.29</c:v>
                </c:pt>
                <c:pt idx="57">
                  <c:v>27.84</c:v>
                </c:pt>
                <c:pt idx="58">
                  <c:v>28.66</c:v>
                </c:pt>
                <c:pt idx="59">
                  <c:v>29.24</c:v>
                </c:pt>
                <c:pt idx="60">
                  <c:v>29.47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E-4083-AF92-2712FC7AF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38664"/>
        <c:axId val="348742976"/>
      </c:lineChart>
      <c:catAx>
        <c:axId val="34873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570676220883083"/>
              <c:y val="0.93438573529515256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2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8742976"/>
        <c:scaling>
          <c:orientation val="minMax"/>
          <c:max val="36"/>
          <c:min val="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%Fe</a:t>
                </a:r>
              </a:p>
            </c:rich>
          </c:tx>
          <c:layout>
            <c:manualLayout>
              <c:xMode val="edge"/>
              <c:yMode val="edge"/>
              <c:x val="6.5445013636659171E-3"/>
              <c:y val="0.425197976258329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38664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5392663922224845"/>
          <c:y val="2.3622047244094488E-2"/>
          <c:w val="0.24083770493486234"/>
          <c:h val="5.511839170237768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CONCENTRADO FINAL - PLANTA DE COBRE (%Ins)</a:t>
            </a:r>
          </a:p>
        </c:rich>
      </c:tx>
      <c:layout>
        <c:manualLayout>
          <c:xMode val="edge"/>
          <c:yMode val="edge"/>
          <c:x val="0.31806287577807663"/>
          <c:y val="3.14960629921259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05235602094238E-2"/>
          <c:y val="0.11023650302581361"/>
          <c:w val="0.88743455497382195"/>
          <c:h val="0.70603855509390145"/>
        </c:manualLayout>
      </c:layout>
      <c:lineChart>
        <c:grouping val="standard"/>
        <c:varyColors val="0"/>
        <c:ser>
          <c:idx val="0"/>
          <c:order val="0"/>
          <c:tx>
            <c:strRef>
              <c:f>TABLA!$AW$3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TABLA!$BP$4:$BP$65</c:f>
              <c:numCache>
                <c:formatCode>0.000</c:formatCode>
                <c:ptCount val="62"/>
                <c:pt idx="0">
                  <c:v>0</c:v>
                </c:pt>
                <c:pt idx="1">
                  <c:v>10.265418337406794</c:v>
                </c:pt>
                <c:pt idx="2">
                  <c:v>10.871502821578806</c:v>
                </c:pt>
                <c:pt idx="3">
                  <c:v>0</c:v>
                </c:pt>
                <c:pt idx="4">
                  <c:v>10.516695453842832</c:v>
                </c:pt>
                <c:pt idx="5">
                  <c:v>10.554735071210397</c:v>
                </c:pt>
                <c:pt idx="6">
                  <c:v>7.9677749145354619</c:v>
                </c:pt>
                <c:pt idx="7">
                  <c:v>1.4555698595841204</c:v>
                </c:pt>
                <c:pt idx="8">
                  <c:v>7.7882557376653736</c:v>
                </c:pt>
                <c:pt idx="9">
                  <c:v>9.5516537761918112</c:v>
                </c:pt>
                <c:pt idx="10">
                  <c:v>11.828287322527636</c:v>
                </c:pt>
                <c:pt idx="11">
                  <c:v>0</c:v>
                </c:pt>
                <c:pt idx="12">
                  <c:v>10.401409194657166</c:v>
                </c:pt>
                <c:pt idx="13">
                  <c:v>9.916830879708872</c:v>
                </c:pt>
                <c:pt idx="14">
                  <c:v>5.5740725208831039</c:v>
                </c:pt>
                <c:pt idx="15">
                  <c:v>0</c:v>
                </c:pt>
                <c:pt idx="16">
                  <c:v>1.1908059572886487</c:v>
                </c:pt>
                <c:pt idx="17">
                  <c:v>10.428823662815637</c:v>
                </c:pt>
                <c:pt idx="18">
                  <c:v>10.685958854447135</c:v>
                </c:pt>
                <c:pt idx="19">
                  <c:v>10.905851624451977</c:v>
                </c:pt>
                <c:pt idx="20">
                  <c:v>8.8852486948043001</c:v>
                </c:pt>
                <c:pt idx="21">
                  <c:v>11.10334720679303</c:v>
                </c:pt>
                <c:pt idx="22">
                  <c:v>10.984482151405842</c:v>
                </c:pt>
                <c:pt idx="23">
                  <c:v>11.194152941968971</c:v>
                </c:pt>
                <c:pt idx="24">
                  <c:v>3.0483183422652576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1.3933911206131449</c:v>
                </c:pt>
                <c:pt idx="33">
                  <c:v>10.76077013589121</c:v>
                </c:pt>
                <c:pt idx="34">
                  <c:v>10.869453034432286</c:v>
                </c:pt>
                <c:pt idx="35">
                  <c:v>11.474225041392119</c:v>
                </c:pt>
                <c:pt idx="36">
                  <c:v>11.845024185985896</c:v>
                </c:pt>
                <c:pt idx="37">
                  <c:v>10.015300016674759</c:v>
                </c:pt>
                <c:pt idx="38">
                  <c:v>10.328913108135177</c:v>
                </c:pt>
                <c:pt idx="39">
                  <c:v>10.5249248013073</c:v>
                </c:pt>
                <c:pt idx="40">
                  <c:v>1.4765931786707653</c:v>
                </c:pt>
                <c:pt idx="41">
                  <c:v>6.2524286098652588</c:v>
                </c:pt>
                <c:pt idx="42">
                  <c:v>13.251995987462379</c:v>
                </c:pt>
                <c:pt idx="43">
                  <c:v>13.809171136638502</c:v>
                </c:pt>
                <c:pt idx="44">
                  <c:v>15.252508018099373</c:v>
                </c:pt>
                <c:pt idx="45">
                  <c:v>12.594371979900355</c:v>
                </c:pt>
                <c:pt idx="46">
                  <c:v>13.886858750036149</c:v>
                </c:pt>
                <c:pt idx="47">
                  <c:v>11.910853339582541</c:v>
                </c:pt>
                <c:pt idx="48">
                  <c:v>9.263468503563935</c:v>
                </c:pt>
                <c:pt idx="49">
                  <c:v>9.7604656823666094</c:v>
                </c:pt>
                <c:pt idx="50">
                  <c:v>13.164426495467861</c:v>
                </c:pt>
                <c:pt idx="51">
                  <c:v>8.093370480809563</c:v>
                </c:pt>
                <c:pt idx="52">
                  <c:v>10.493285577544395</c:v>
                </c:pt>
                <c:pt idx="53">
                  <c:v>10.417558286765841</c:v>
                </c:pt>
                <c:pt idx="54">
                  <c:v>8.84254025645218</c:v>
                </c:pt>
                <c:pt idx="55">
                  <c:v>9.5605014654107343</c:v>
                </c:pt>
                <c:pt idx="56">
                  <c:v>11.33809357278165</c:v>
                </c:pt>
                <c:pt idx="57">
                  <c:v>11.045682216711823</c:v>
                </c:pt>
                <c:pt idx="58">
                  <c:v>11.642344480181739</c:v>
                </c:pt>
                <c:pt idx="59">
                  <c:v>12.936302647855019</c:v>
                </c:pt>
                <c:pt idx="60">
                  <c:v>12.394271632420351</c:v>
                </c:pt>
                <c:pt idx="61">
                  <c:v>14.388977212425793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7C2-4159-8F63-7520CA605937}"/>
            </c:ext>
          </c:extLst>
        </c:ser>
        <c:ser>
          <c:idx val="1"/>
          <c:order val="1"/>
          <c:tx>
            <c:strRef>
              <c:f>TABLA!$AX$3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TABLA!$BQ$4:$BQ$65</c:f>
              <c:numCache>
                <c:formatCode>0.000</c:formatCode>
                <c:ptCount val="62"/>
                <c:pt idx="0">
                  <c:v>9.1999999999999993</c:v>
                </c:pt>
                <c:pt idx="1">
                  <c:v>16.420000000000002</c:v>
                </c:pt>
                <c:pt idx="2">
                  <c:v>9.64</c:v>
                </c:pt>
                <c:pt idx="3">
                  <c:v>10.76</c:v>
                </c:pt>
                <c:pt idx="4">
                  <c:v>13.62</c:v>
                </c:pt>
                <c:pt idx="5">
                  <c:v>12.76</c:v>
                </c:pt>
                <c:pt idx="6">
                  <c:v>11.92</c:v>
                </c:pt>
                <c:pt idx="7">
                  <c:v>10.199999999999999</c:v>
                </c:pt>
                <c:pt idx="8">
                  <c:v>11.1</c:v>
                </c:pt>
                <c:pt idx="9">
                  <c:v>11.56</c:v>
                </c:pt>
                <c:pt idx="10">
                  <c:v>8.5</c:v>
                </c:pt>
                <c:pt idx="11">
                  <c:v>12.08</c:v>
                </c:pt>
                <c:pt idx="12">
                  <c:v>9.9600000000000009</c:v>
                </c:pt>
                <c:pt idx="13">
                  <c:v>13.08</c:v>
                </c:pt>
                <c:pt idx="14">
                  <c:v>11.52</c:v>
                </c:pt>
                <c:pt idx="15">
                  <c:v>10.34</c:v>
                </c:pt>
                <c:pt idx="16">
                  <c:v>11.76</c:v>
                </c:pt>
                <c:pt idx="17">
                  <c:v>11.1</c:v>
                </c:pt>
                <c:pt idx="18">
                  <c:v>10.34</c:v>
                </c:pt>
                <c:pt idx="19">
                  <c:v>11.4</c:v>
                </c:pt>
                <c:pt idx="20">
                  <c:v>16.3</c:v>
                </c:pt>
                <c:pt idx="21">
                  <c:v>11.7</c:v>
                </c:pt>
                <c:pt idx="22">
                  <c:v>12.62</c:v>
                </c:pt>
                <c:pt idx="23">
                  <c:v>11.26</c:v>
                </c:pt>
                <c:pt idx="24">
                  <c:v>23.16</c:v>
                </c:pt>
                <c:pt idx="25">
                  <c:v>7.96</c:v>
                </c:pt>
                <c:pt idx="26">
                  <c:v>7.92</c:v>
                </c:pt>
                <c:pt idx="27">
                  <c:v>7.86</c:v>
                </c:pt>
                <c:pt idx="28">
                  <c:v>12.48</c:v>
                </c:pt>
                <c:pt idx="29">
                  <c:v>13.2</c:v>
                </c:pt>
                <c:pt idx="30">
                  <c:v>13.4</c:v>
                </c:pt>
                <c:pt idx="31">
                  <c:v>12.78</c:v>
                </c:pt>
                <c:pt idx="32">
                  <c:v>9.48</c:v>
                </c:pt>
                <c:pt idx="33">
                  <c:v>10.76</c:v>
                </c:pt>
                <c:pt idx="34">
                  <c:v>10.82</c:v>
                </c:pt>
                <c:pt idx="35">
                  <c:v>0</c:v>
                </c:pt>
                <c:pt idx="36">
                  <c:v>11.68</c:v>
                </c:pt>
                <c:pt idx="37">
                  <c:v>9.9600000000000009</c:v>
                </c:pt>
                <c:pt idx="38">
                  <c:v>10.32</c:v>
                </c:pt>
                <c:pt idx="39">
                  <c:v>6.88</c:v>
                </c:pt>
                <c:pt idx="40">
                  <c:v>7.4</c:v>
                </c:pt>
                <c:pt idx="41">
                  <c:v>15.88</c:v>
                </c:pt>
                <c:pt idx="42">
                  <c:v>11.44</c:v>
                </c:pt>
                <c:pt idx="43">
                  <c:v>14.46</c:v>
                </c:pt>
                <c:pt idx="44">
                  <c:v>8.8000000000000007</c:v>
                </c:pt>
                <c:pt idx="45">
                  <c:v>11.34</c:v>
                </c:pt>
                <c:pt idx="46">
                  <c:v>10.08</c:v>
                </c:pt>
                <c:pt idx="47">
                  <c:v>9.74</c:v>
                </c:pt>
                <c:pt idx="48">
                  <c:v>10.48</c:v>
                </c:pt>
                <c:pt idx="49">
                  <c:v>9.7200000000000006</c:v>
                </c:pt>
                <c:pt idx="50">
                  <c:v>12.58</c:v>
                </c:pt>
                <c:pt idx="51">
                  <c:v>8.4</c:v>
                </c:pt>
                <c:pt idx="52">
                  <c:v>13.06</c:v>
                </c:pt>
                <c:pt idx="53">
                  <c:v>9.2200000000000006</c:v>
                </c:pt>
                <c:pt idx="54">
                  <c:v>5.66</c:v>
                </c:pt>
                <c:pt idx="55">
                  <c:v>8.9600000000000009</c:v>
                </c:pt>
                <c:pt idx="56">
                  <c:v>10.98</c:v>
                </c:pt>
                <c:pt idx="57">
                  <c:v>9.26</c:v>
                </c:pt>
                <c:pt idx="58">
                  <c:v>10.96</c:v>
                </c:pt>
                <c:pt idx="59">
                  <c:v>10.28</c:v>
                </c:pt>
                <c:pt idx="60">
                  <c:v>13.18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C2-4159-8F63-7520CA605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2920"/>
        <c:axId val="347956448"/>
      </c:lineChart>
      <c:catAx>
        <c:axId val="347952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439791668805412"/>
              <c:y val="0.93438573529515256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64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956448"/>
        <c:scaling>
          <c:orientation val="minMax"/>
          <c:max val="2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6.5445013636659171E-3"/>
              <c:y val="0.425197976258329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2920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392663922224845"/>
          <c:y val="3.4120734908136482E-2"/>
          <c:w val="0.24083770493486234"/>
          <c:h val="5.511839170237768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s-PE" b="1"/>
              <a:t>CONC. ULT. LIMPIEZA - PLANTA DE MOLY (%Ins)</a:t>
            </a:r>
          </a:p>
        </c:rich>
      </c:tx>
      <c:layout>
        <c:manualLayout>
          <c:xMode val="edge"/>
          <c:yMode val="edge"/>
          <c:x val="0.32325886990801578"/>
          <c:y val="3.153153153153152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8107752956636"/>
          <c:y val="0.14189220397884109"/>
          <c:w val="0.87910643889618922"/>
          <c:h val="0.69144296224609869"/>
        </c:manualLayout>
      </c:layout>
      <c:lineChart>
        <c:grouping val="standard"/>
        <c:varyColors val="0"/>
        <c:ser>
          <c:idx val="0"/>
          <c:order val="0"/>
          <c:tx>
            <c:strRef>
              <c:f>TABLA_M!$BA$3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TABLA_M!$BO$4:$BO$65</c:f>
              <c:numCache>
                <c:formatCode>0.000</c:formatCode>
                <c:ptCount val="62"/>
                <c:pt idx="0">
                  <c:v>0</c:v>
                </c:pt>
                <c:pt idx="1">
                  <c:v>3.0092461594859277</c:v>
                </c:pt>
                <c:pt idx="2">
                  <c:v>0</c:v>
                </c:pt>
                <c:pt idx="3">
                  <c:v>2.7212061456456458</c:v>
                </c:pt>
                <c:pt idx="4">
                  <c:v>3.0391679151455384</c:v>
                </c:pt>
                <c:pt idx="5">
                  <c:v>3.2185908713058975</c:v>
                </c:pt>
                <c:pt idx="6">
                  <c:v>3.12261693402847</c:v>
                </c:pt>
                <c:pt idx="7">
                  <c:v>0</c:v>
                </c:pt>
                <c:pt idx="8">
                  <c:v>0</c:v>
                </c:pt>
                <c:pt idx="9">
                  <c:v>3.1034439015606874</c:v>
                </c:pt>
                <c:pt idx="10">
                  <c:v>2.9153151352326434</c:v>
                </c:pt>
                <c:pt idx="11">
                  <c:v>3.2224586133576922</c:v>
                </c:pt>
                <c:pt idx="12">
                  <c:v>0</c:v>
                </c:pt>
                <c:pt idx="13">
                  <c:v>2.5474700808363719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2.9173970388902997</c:v>
                </c:pt>
                <c:pt idx="21">
                  <c:v>2.4655806337240636</c:v>
                </c:pt>
                <c:pt idx="22">
                  <c:v>0</c:v>
                </c:pt>
                <c:pt idx="23">
                  <c:v>2.6159699029383363</c:v>
                </c:pt>
                <c:pt idx="24">
                  <c:v>2.7132976953725172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3.0035730596257779</c:v>
                </c:pt>
                <c:pt idx="29">
                  <c:v>2.7453752378277034</c:v>
                </c:pt>
                <c:pt idx="30">
                  <c:v>3.1424075673579392</c:v>
                </c:pt>
                <c:pt idx="31">
                  <c:v>3.0238548358805772</c:v>
                </c:pt>
                <c:pt idx="32">
                  <c:v>3.0497904115348535</c:v>
                </c:pt>
                <c:pt idx="33">
                  <c:v>2.5285269788813181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3.0004227654005775</c:v>
                </c:pt>
                <c:pt idx="40">
                  <c:v>0</c:v>
                </c:pt>
                <c:pt idx="41">
                  <c:v>2.8997034692325161</c:v>
                </c:pt>
                <c:pt idx="42">
                  <c:v>0</c:v>
                </c:pt>
                <c:pt idx="43">
                  <c:v>3.1776362439428096</c:v>
                </c:pt>
                <c:pt idx="44">
                  <c:v>2.8440202309069518</c:v>
                </c:pt>
                <c:pt idx="45">
                  <c:v>2.6053566505081003</c:v>
                </c:pt>
                <c:pt idx="46">
                  <c:v>2.859271232576885</c:v>
                </c:pt>
                <c:pt idx="47">
                  <c:v>3.0826593528943151</c:v>
                </c:pt>
                <c:pt idx="48">
                  <c:v>3.0692315743954315</c:v>
                </c:pt>
                <c:pt idx="49">
                  <c:v>3.4311011947657946</c:v>
                </c:pt>
                <c:pt idx="50">
                  <c:v>3.3156544118404261</c:v>
                </c:pt>
                <c:pt idx="51">
                  <c:v>0</c:v>
                </c:pt>
                <c:pt idx="52">
                  <c:v>3.1993632662703346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2.7606679667182248</c:v>
                </c:pt>
                <c:pt idx="57">
                  <c:v>2.8744003297803609</c:v>
                </c:pt>
                <c:pt idx="58">
                  <c:v>2.9324907640740623</c:v>
                </c:pt>
                <c:pt idx="59">
                  <c:v>2.8429899646764953</c:v>
                </c:pt>
                <c:pt idx="60">
                  <c:v>2.6101105448434132</c:v>
                </c:pt>
                <c:pt idx="61">
                  <c:v>2.7019176203405122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0-4D0E-B4C4-105378E4A4A8}"/>
            </c:ext>
          </c:extLst>
        </c:ser>
        <c:ser>
          <c:idx val="1"/>
          <c:order val="1"/>
          <c:tx>
            <c:strRef>
              <c:f>TABLA_M!$BB$3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TABLA_M!$BP$4:$BP$65</c:f>
              <c:numCache>
                <c:formatCode>0.000</c:formatCode>
                <c:ptCount val="62"/>
                <c:pt idx="0">
                  <c:v>3.06</c:v>
                </c:pt>
                <c:pt idx="1">
                  <c:v>2.64</c:v>
                </c:pt>
                <c:pt idx="2">
                  <c:v>2.08</c:v>
                </c:pt>
                <c:pt idx="3">
                  <c:v>1.68</c:v>
                </c:pt>
                <c:pt idx="4">
                  <c:v>2.27</c:v>
                </c:pt>
                <c:pt idx="5">
                  <c:v>2.94</c:v>
                </c:pt>
                <c:pt idx="6">
                  <c:v>2.83</c:v>
                </c:pt>
                <c:pt idx="7">
                  <c:v>1.99</c:v>
                </c:pt>
                <c:pt idx="8">
                  <c:v>3.98</c:v>
                </c:pt>
                <c:pt idx="9">
                  <c:v>2.62</c:v>
                </c:pt>
                <c:pt idx="10">
                  <c:v>2.08</c:v>
                </c:pt>
                <c:pt idx="11">
                  <c:v>2.46</c:v>
                </c:pt>
                <c:pt idx="12">
                  <c:v>2.4500000000000002</c:v>
                </c:pt>
                <c:pt idx="13">
                  <c:v>1.94</c:v>
                </c:pt>
                <c:pt idx="14">
                  <c:v>0</c:v>
                </c:pt>
                <c:pt idx="15">
                  <c:v>1.85</c:v>
                </c:pt>
                <c:pt idx="16">
                  <c:v>0</c:v>
                </c:pt>
                <c:pt idx="17">
                  <c:v>1.8</c:v>
                </c:pt>
                <c:pt idx="18">
                  <c:v>1.95</c:v>
                </c:pt>
                <c:pt idx="19">
                  <c:v>2.2000000000000002</c:v>
                </c:pt>
                <c:pt idx="20">
                  <c:v>1.48</c:v>
                </c:pt>
                <c:pt idx="21">
                  <c:v>1.54</c:v>
                </c:pt>
                <c:pt idx="22">
                  <c:v>1.23</c:v>
                </c:pt>
                <c:pt idx="23">
                  <c:v>1.52</c:v>
                </c:pt>
                <c:pt idx="24">
                  <c:v>0.91</c:v>
                </c:pt>
                <c:pt idx="25">
                  <c:v>1.76</c:v>
                </c:pt>
                <c:pt idx="26">
                  <c:v>0</c:v>
                </c:pt>
                <c:pt idx="27">
                  <c:v>1.58</c:v>
                </c:pt>
                <c:pt idx="28">
                  <c:v>2.02</c:v>
                </c:pt>
                <c:pt idx="29">
                  <c:v>1.72</c:v>
                </c:pt>
                <c:pt idx="30">
                  <c:v>2.2000000000000002</c:v>
                </c:pt>
                <c:pt idx="31">
                  <c:v>2.04</c:v>
                </c:pt>
                <c:pt idx="32">
                  <c:v>2.64</c:v>
                </c:pt>
                <c:pt idx="33">
                  <c:v>2.12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3.09</c:v>
                </c:pt>
                <c:pt idx="38">
                  <c:v>0</c:v>
                </c:pt>
                <c:pt idx="39">
                  <c:v>2.11</c:v>
                </c:pt>
                <c:pt idx="40">
                  <c:v>2.94</c:v>
                </c:pt>
                <c:pt idx="41">
                  <c:v>1.82</c:v>
                </c:pt>
                <c:pt idx="42">
                  <c:v>2.25</c:v>
                </c:pt>
                <c:pt idx="43">
                  <c:v>2.42</c:v>
                </c:pt>
                <c:pt idx="44">
                  <c:v>1.45</c:v>
                </c:pt>
                <c:pt idx="45">
                  <c:v>1.37</c:v>
                </c:pt>
                <c:pt idx="46">
                  <c:v>1.04</c:v>
                </c:pt>
                <c:pt idx="47">
                  <c:v>1.54</c:v>
                </c:pt>
                <c:pt idx="48">
                  <c:v>2.0099999999999998</c:v>
                </c:pt>
                <c:pt idx="49">
                  <c:v>2.4</c:v>
                </c:pt>
                <c:pt idx="50">
                  <c:v>1.68</c:v>
                </c:pt>
                <c:pt idx="51">
                  <c:v>1.9</c:v>
                </c:pt>
                <c:pt idx="52">
                  <c:v>2.34</c:v>
                </c:pt>
                <c:pt idx="53">
                  <c:v>4.17</c:v>
                </c:pt>
                <c:pt idx="54">
                  <c:v>0</c:v>
                </c:pt>
                <c:pt idx="55">
                  <c:v>3.12</c:v>
                </c:pt>
                <c:pt idx="56">
                  <c:v>2.79</c:v>
                </c:pt>
                <c:pt idx="57">
                  <c:v>3.14</c:v>
                </c:pt>
                <c:pt idx="58">
                  <c:v>2.0099999999999998</c:v>
                </c:pt>
                <c:pt idx="59">
                  <c:v>2.34</c:v>
                </c:pt>
                <c:pt idx="60">
                  <c:v>2.3199999999999998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0-4D0E-B4C4-105378E4A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8464"/>
        <c:axId val="348747680"/>
      </c:lineChart>
      <c:catAx>
        <c:axId val="34874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2036793692509853"/>
              <c:y val="0.93919131730155347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&quot;$&quot;&quot;$&quot;" sourceLinked="0"/>
        <c:majorTickMark val="out"/>
        <c:minorTickMark val="none"/>
        <c:tickLblPos val="nextTo"/>
        <c:spPr>
          <a:noFill/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348747680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8747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7.8843626806833107E-3"/>
              <c:y val="0.450451396278167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48748464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529566360052562"/>
          <c:y val="3.6036036036036036E-2"/>
          <c:w val="0.23068190584743911"/>
          <c:h val="4.5844691832992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 algn="ctr">
        <a:defRPr lang="es-PE" sz="800" b="0" i="0" u="none" strike="noStrike" kern="1200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ALIMENTACION ROUGHER - PLANTA DE COBRE (%Cu)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6521307094037641"/>
          <c:y val="7.2226331161140645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23975395850943"/>
          <c:y val="0.11195927676601515"/>
          <c:w val="0.84333846929076739"/>
          <c:h val="0.74580937992557272"/>
        </c:manualLayout>
      </c:layout>
      <c:bubbleChart>
        <c:varyColors val="0"/>
        <c:ser>
          <c:idx val="1"/>
          <c:order val="0"/>
          <c:tx>
            <c:strRef>
              <c:f>Calculos!$B$5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tx1">
                    <a:alpha val="52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Calculos!$A$6:$A$29</c:f>
              <c:numCache>
                <c:formatCode>0.000</c:formatCode>
                <c:ptCount val="24"/>
                <c:pt idx="0">
                  <c:v>0.1368</c:v>
                </c:pt>
                <c:pt idx="1">
                  <c:v>0.16757045454545455</c:v>
                </c:pt>
                <c:pt idx="2">
                  <c:v>0.1983409090909091</c:v>
                </c:pt>
                <c:pt idx="3">
                  <c:v>0.22911136363636364</c:v>
                </c:pt>
                <c:pt idx="4">
                  <c:v>0.25988181818181816</c:v>
                </c:pt>
                <c:pt idx="5">
                  <c:v>0.29065227272727268</c:v>
                </c:pt>
                <c:pt idx="6">
                  <c:v>0.32142272727272719</c:v>
                </c:pt>
                <c:pt idx="7">
                  <c:v>0.35219318181818171</c:v>
                </c:pt>
                <c:pt idx="8">
                  <c:v>0.38296363636363623</c:v>
                </c:pt>
                <c:pt idx="9">
                  <c:v>0.41373409090909075</c:v>
                </c:pt>
                <c:pt idx="10">
                  <c:v>0.44450454545454526</c:v>
                </c:pt>
                <c:pt idx="11">
                  <c:v>0.47527499999999978</c:v>
                </c:pt>
                <c:pt idx="12">
                  <c:v>0.50604545454545435</c:v>
                </c:pt>
                <c:pt idx="13">
                  <c:v>0.53681590909090893</c:v>
                </c:pt>
                <c:pt idx="14">
                  <c:v>0.5675863636363635</c:v>
                </c:pt>
                <c:pt idx="15">
                  <c:v>0.59835681818181807</c:v>
                </c:pt>
                <c:pt idx="16">
                  <c:v>0.62912727272727265</c:v>
                </c:pt>
                <c:pt idx="17">
                  <c:v>0.65989772727272722</c:v>
                </c:pt>
                <c:pt idx="18">
                  <c:v>0.69066818181818179</c:v>
                </c:pt>
                <c:pt idx="19">
                  <c:v>0.72143863636363637</c:v>
                </c:pt>
                <c:pt idx="20">
                  <c:v>0.75220909090909094</c:v>
                </c:pt>
                <c:pt idx="21">
                  <c:v>0.78297954545454551</c:v>
                </c:pt>
                <c:pt idx="22">
                  <c:v>0</c:v>
                </c:pt>
                <c:pt idx="23">
                  <c:v>1</c:v>
                </c:pt>
              </c:numCache>
            </c:numRef>
          </c:xVal>
          <c:yVal>
            <c:numRef>
              <c:f>Calculos!$B$6:$B$29</c:f>
              <c:numCache>
                <c:formatCode>0.000</c:formatCode>
                <c:ptCount val="24"/>
                <c:pt idx="0">
                  <c:v>0.1368</c:v>
                </c:pt>
                <c:pt idx="1">
                  <c:v>0.16757045454545455</c:v>
                </c:pt>
                <c:pt idx="2">
                  <c:v>0.1983409090909091</c:v>
                </c:pt>
                <c:pt idx="3">
                  <c:v>0.22911136363636364</c:v>
                </c:pt>
                <c:pt idx="4">
                  <c:v>0.25988181818181816</c:v>
                </c:pt>
                <c:pt idx="5">
                  <c:v>0.29065227272727268</c:v>
                </c:pt>
                <c:pt idx="6">
                  <c:v>0.32142272727272719</c:v>
                </c:pt>
                <c:pt idx="7">
                  <c:v>0.35219318181818171</c:v>
                </c:pt>
                <c:pt idx="8">
                  <c:v>0.38296363636363623</c:v>
                </c:pt>
                <c:pt idx="9">
                  <c:v>0.41373409090909075</c:v>
                </c:pt>
                <c:pt idx="10">
                  <c:v>0.44450454545454526</c:v>
                </c:pt>
                <c:pt idx="11">
                  <c:v>0.47527499999999978</c:v>
                </c:pt>
                <c:pt idx="12">
                  <c:v>0.50604545454545435</c:v>
                </c:pt>
                <c:pt idx="13">
                  <c:v>0.53681590909090893</c:v>
                </c:pt>
                <c:pt idx="14">
                  <c:v>0.5675863636363635</c:v>
                </c:pt>
                <c:pt idx="15">
                  <c:v>0.59835681818181807</c:v>
                </c:pt>
                <c:pt idx="16">
                  <c:v>0.62912727272727265</c:v>
                </c:pt>
                <c:pt idx="17">
                  <c:v>0.65989772727272722</c:v>
                </c:pt>
                <c:pt idx="18">
                  <c:v>0.69066818181818179</c:v>
                </c:pt>
                <c:pt idx="19">
                  <c:v>0.72143863636363637</c:v>
                </c:pt>
                <c:pt idx="20">
                  <c:v>0.75220909090909094</c:v>
                </c:pt>
                <c:pt idx="21">
                  <c:v>0.78297954545454551</c:v>
                </c:pt>
                <c:pt idx="22">
                  <c:v>0</c:v>
                </c:pt>
                <c:pt idx="23">
                  <c:v>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F6DB-430B-9909-DAEBD8088E70}"/>
            </c:ext>
          </c:extLst>
        </c:ser>
        <c:ser>
          <c:idx val="2"/>
          <c:order val="1"/>
          <c:tx>
            <c:strRef>
              <c:f>Calculos!$C$4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70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Calculos!$C$6:$C$29</c:f>
              <c:numCache>
                <c:formatCode>0.000</c:formatCode>
                <c:ptCount val="24"/>
                <c:pt idx="0">
                  <c:v>0.18670387499999999</c:v>
                </c:pt>
                <c:pt idx="1">
                  <c:v>0.21747432954545454</c:v>
                </c:pt>
                <c:pt idx="2">
                  <c:v>0.24824478409090908</c:v>
                </c:pt>
                <c:pt idx="3">
                  <c:v>0.27901523863636363</c:v>
                </c:pt>
                <c:pt idx="4">
                  <c:v>0.30978569318181814</c:v>
                </c:pt>
                <c:pt idx="5">
                  <c:v>0.34055614772727266</c:v>
                </c:pt>
                <c:pt idx="6">
                  <c:v>0.37132660227272718</c:v>
                </c:pt>
                <c:pt idx="7">
                  <c:v>0.4020970568181817</c:v>
                </c:pt>
                <c:pt idx="8">
                  <c:v>0.43286751136363621</c:v>
                </c:pt>
                <c:pt idx="9">
                  <c:v>0.46363796590909073</c:v>
                </c:pt>
                <c:pt idx="10">
                  <c:v>0.49440842045454525</c:v>
                </c:pt>
                <c:pt idx="11">
                  <c:v>0.52517887499999971</c:v>
                </c:pt>
                <c:pt idx="12">
                  <c:v>0.55594932954545428</c:v>
                </c:pt>
                <c:pt idx="13">
                  <c:v>0.58671978409090886</c:v>
                </c:pt>
                <c:pt idx="14">
                  <c:v>0.61749023863636343</c:v>
                </c:pt>
                <c:pt idx="15">
                  <c:v>0.648260693181818</c:v>
                </c:pt>
                <c:pt idx="16">
                  <c:v>0.67903114772727258</c:v>
                </c:pt>
                <c:pt idx="17">
                  <c:v>0.70980160227272715</c:v>
                </c:pt>
                <c:pt idx="18">
                  <c:v>0.74057205681818172</c:v>
                </c:pt>
                <c:pt idx="19">
                  <c:v>0.7713425113636363</c:v>
                </c:pt>
                <c:pt idx="20">
                  <c:v>0.80211296590909087</c:v>
                </c:pt>
                <c:pt idx="21">
                  <c:v>0.83288342045454544</c:v>
                </c:pt>
                <c:pt idx="22">
                  <c:v>4.990387499999998E-2</c:v>
                </c:pt>
                <c:pt idx="23">
                  <c:v>1.049903875</c:v>
                </c:pt>
              </c:numCache>
            </c:numRef>
          </c:xVal>
          <c:yVal>
            <c:numRef>
              <c:f>Calculos!$D$6:$D$29</c:f>
              <c:numCache>
                <c:formatCode>0.000</c:formatCode>
                <c:ptCount val="24"/>
                <c:pt idx="0">
                  <c:v>0.1368</c:v>
                </c:pt>
                <c:pt idx="1">
                  <c:v>0.16757045454545455</c:v>
                </c:pt>
                <c:pt idx="2">
                  <c:v>0.1983409090909091</c:v>
                </c:pt>
                <c:pt idx="3">
                  <c:v>0.22911136363636364</c:v>
                </c:pt>
                <c:pt idx="4">
                  <c:v>0.25988181818181816</c:v>
                </c:pt>
                <c:pt idx="5">
                  <c:v>0.29065227272727268</c:v>
                </c:pt>
                <c:pt idx="6">
                  <c:v>0.32142272727272719</c:v>
                </c:pt>
                <c:pt idx="7">
                  <c:v>0.35219318181818171</c:v>
                </c:pt>
                <c:pt idx="8">
                  <c:v>0.38296363636363623</c:v>
                </c:pt>
                <c:pt idx="9">
                  <c:v>0.41373409090909075</c:v>
                </c:pt>
                <c:pt idx="10">
                  <c:v>0.44450454545454526</c:v>
                </c:pt>
                <c:pt idx="11">
                  <c:v>0.47527499999999978</c:v>
                </c:pt>
                <c:pt idx="12">
                  <c:v>0.50604545454545435</c:v>
                </c:pt>
                <c:pt idx="13">
                  <c:v>0.53681590909090893</c:v>
                </c:pt>
                <c:pt idx="14">
                  <c:v>0.5675863636363635</c:v>
                </c:pt>
                <c:pt idx="15">
                  <c:v>0.59835681818181807</c:v>
                </c:pt>
                <c:pt idx="16">
                  <c:v>0.62912727272727265</c:v>
                </c:pt>
                <c:pt idx="17">
                  <c:v>0.65989772727272722</c:v>
                </c:pt>
                <c:pt idx="18">
                  <c:v>0.69066818181818179</c:v>
                </c:pt>
                <c:pt idx="19">
                  <c:v>0.72143863636363637</c:v>
                </c:pt>
                <c:pt idx="20">
                  <c:v>0.75220909090909094</c:v>
                </c:pt>
                <c:pt idx="21">
                  <c:v>0.78297954545454551</c:v>
                </c:pt>
                <c:pt idx="22">
                  <c:v>0</c:v>
                </c:pt>
                <c:pt idx="23">
                  <c:v>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F6DB-430B-9909-DAEBD8088E70}"/>
            </c:ext>
          </c:extLst>
        </c:ser>
        <c:ser>
          <c:idx val="3"/>
          <c:order val="2"/>
          <c:tx>
            <c:strRef>
              <c:f>Calculos!$E$4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70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Calculos!$E$6:$E$29</c:f>
              <c:numCache>
                <c:formatCode>0.000</c:formatCode>
                <c:ptCount val="24"/>
                <c:pt idx="0">
                  <c:v>8.6896125000000018E-2</c:v>
                </c:pt>
                <c:pt idx="1">
                  <c:v>0.11766657954545456</c:v>
                </c:pt>
                <c:pt idx="2">
                  <c:v>0.14843703409090911</c:v>
                </c:pt>
                <c:pt idx="3">
                  <c:v>0.17920748863636365</c:v>
                </c:pt>
                <c:pt idx="4">
                  <c:v>0.20997794318181817</c:v>
                </c:pt>
                <c:pt idx="5">
                  <c:v>0.24074839772727269</c:v>
                </c:pt>
                <c:pt idx="6">
                  <c:v>0.27151885227272721</c:v>
                </c:pt>
                <c:pt idx="7">
                  <c:v>0.30228930681818172</c:v>
                </c:pt>
                <c:pt idx="8">
                  <c:v>0.33305976136363624</c:v>
                </c:pt>
                <c:pt idx="9">
                  <c:v>0.36383021590909076</c:v>
                </c:pt>
                <c:pt idx="10">
                  <c:v>0.39460067045454528</c:v>
                </c:pt>
                <c:pt idx="11">
                  <c:v>0.42537112499999979</c:v>
                </c:pt>
                <c:pt idx="12">
                  <c:v>0.45614157954545437</c:v>
                </c:pt>
                <c:pt idx="13">
                  <c:v>0.48691203409090894</c:v>
                </c:pt>
                <c:pt idx="14">
                  <c:v>0.51768248863636357</c:v>
                </c:pt>
                <c:pt idx="15">
                  <c:v>0.54845294318181814</c:v>
                </c:pt>
                <c:pt idx="16">
                  <c:v>0.57922339772727272</c:v>
                </c:pt>
                <c:pt idx="17">
                  <c:v>0.60999385227272729</c:v>
                </c:pt>
                <c:pt idx="18">
                  <c:v>0.64076430681818186</c:v>
                </c:pt>
                <c:pt idx="19">
                  <c:v>0.67153476136363643</c:v>
                </c:pt>
                <c:pt idx="20">
                  <c:v>0.70230521590909101</c:v>
                </c:pt>
                <c:pt idx="21">
                  <c:v>0.73307567045454558</c:v>
                </c:pt>
                <c:pt idx="22">
                  <c:v>-4.990387499999998E-2</c:v>
                </c:pt>
                <c:pt idx="23">
                  <c:v>0.95009612500000007</c:v>
                </c:pt>
              </c:numCache>
            </c:numRef>
          </c:xVal>
          <c:yVal>
            <c:numRef>
              <c:f>Calculos!$F$6:$F$29</c:f>
              <c:numCache>
                <c:formatCode>0.000</c:formatCode>
                <c:ptCount val="24"/>
                <c:pt idx="0">
                  <c:v>0.1368</c:v>
                </c:pt>
                <c:pt idx="1">
                  <c:v>0.16757045454545455</c:v>
                </c:pt>
                <c:pt idx="2">
                  <c:v>0.1983409090909091</c:v>
                </c:pt>
                <c:pt idx="3">
                  <c:v>0.22911136363636364</c:v>
                </c:pt>
                <c:pt idx="4">
                  <c:v>0.25988181818181816</c:v>
                </c:pt>
                <c:pt idx="5">
                  <c:v>0.29065227272727268</c:v>
                </c:pt>
                <c:pt idx="6">
                  <c:v>0.32142272727272719</c:v>
                </c:pt>
                <c:pt idx="7">
                  <c:v>0.35219318181818171</c:v>
                </c:pt>
                <c:pt idx="8">
                  <c:v>0.38296363636363623</c:v>
                </c:pt>
                <c:pt idx="9">
                  <c:v>0.41373409090909075</c:v>
                </c:pt>
                <c:pt idx="10">
                  <c:v>0.44450454545454526</c:v>
                </c:pt>
                <c:pt idx="11">
                  <c:v>0.47527499999999978</c:v>
                </c:pt>
                <c:pt idx="12">
                  <c:v>0.50604545454545435</c:v>
                </c:pt>
                <c:pt idx="13">
                  <c:v>0.53681590909090893</c:v>
                </c:pt>
                <c:pt idx="14">
                  <c:v>0.5675863636363635</c:v>
                </c:pt>
                <c:pt idx="15">
                  <c:v>0.59835681818181807</c:v>
                </c:pt>
                <c:pt idx="16">
                  <c:v>0.62912727272727265</c:v>
                </c:pt>
                <c:pt idx="17">
                  <c:v>0.65989772727272722</c:v>
                </c:pt>
                <c:pt idx="18">
                  <c:v>0.69066818181818179</c:v>
                </c:pt>
                <c:pt idx="19">
                  <c:v>0.72143863636363637</c:v>
                </c:pt>
                <c:pt idx="20">
                  <c:v>0.75220909090909094</c:v>
                </c:pt>
                <c:pt idx="21">
                  <c:v>0.78297954545454551</c:v>
                </c:pt>
                <c:pt idx="22">
                  <c:v>0</c:v>
                </c:pt>
                <c:pt idx="23">
                  <c:v>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F6DB-430B-9909-DAEBD8088E70}"/>
            </c:ext>
          </c:extLst>
        </c:ser>
        <c:ser>
          <c:idx val="0"/>
          <c:order val="3"/>
          <c:tx>
            <c:strRef>
              <c:f>TABLA!$E$3</c:f>
              <c:strCache>
                <c:ptCount val="1"/>
                <c:pt idx="0">
                  <c:v>H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/>
          </c:spPr>
          <c:invertIfNegative val="0"/>
          <c:xVal>
            <c:numRef>
              <c:f>TABLA!$D$4:$D$65</c:f>
              <c:numCache>
                <c:formatCode>0.000</c:formatCode>
                <c:ptCount val="62"/>
                <c:pt idx="0">
                  <c:v>0.46027767658233643</c:v>
                </c:pt>
                <c:pt idx="1">
                  <c:v>0.46027767658233643</c:v>
                </c:pt>
                <c:pt idx="2">
                  <c:v>0.35865437984466553</c:v>
                </c:pt>
                <c:pt idx="3">
                  <c:v>0.35865437984466553</c:v>
                </c:pt>
                <c:pt idx="4">
                  <c:v>0.44376808404922485</c:v>
                </c:pt>
                <c:pt idx="5">
                  <c:v>0.57219672203063965</c:v>
                </c:pt>
                <c:pt idx="6">
                  <c:v>0.48242056369781494</c:v>
                </c:pt>
                <c:pt idx="7">
                  <c:v>0.51555341482162476</c:v>
                </c:pt>
                <c:pt idx="8">
                  <c:v>0.57536685466766357</c:v>
                </c:pt>
                <c:pt idx="9">
                  <c:v>0.44503811001777649</c:v>
                </c:pt>
                <c:pt idx="10">
                  <c:v>0.3785417377948761</c:v>
                </c:pt>
                <c:pt idx="11">
                  <c:v>0.33931806683540344</c:v>
                </c:pt>
                <c:pt idx="12">
                  <c:v>0.41729328036308289</c:v>
                </c:pt>
                <c:pt idx="13">
                  <c:v>0.33648413419723511</c:v>
                </c:pt>
                <c:pt idx="14">
                  <c:v>0.35056298971176147</c:v>
                </c:pt>
                <c:pt idx="15">
                  <c:v>0.40267342329025269</c:v>
                </c:pt>
                <c:pt idx="16">
                  <c:v>0.50069797039031982</c:v>
                </c:pt>
                <c:pt idx="17">
                  <c:v>0.50069797039031982</c:v>
                </c:pt>
                <c:pt idx="18">
                  <c:v>0.50124430656433105</c:v>
                </c:pt>
                <c:pt idx="19">
                  <c:v>0.54401510953903198</c:v>
                </c:pt>
                <c:pt idx="20">
                  <c:v>0.55490684509277344</c:v>
                </c:pt>
                <c:pt idx="21">
                  <c:v>0.66688883304595947</c:v>
                </c:pt>
                <c:pt idx="22">
                  <c:v>0.54411017894744873</c:v>
                </c:pt>
                <c:pt idx="23">
                  <c:v>0.50224167108535767</c:v>
                </c:pt>
                <c:pt idx="24">
                  <c:v>0.52994060516357422</c:v>
                </c:pt>
                <c:pt idx="25">
                  <c:v>0.51611995697021484</c:v>
                </c:pt>
                <c:pt idx="26">
                  <c:v>0.51611995697021484</c:v>
                </c:pt>
                <c:pt idx="27">
                  <c:v>0.50301653146743774</c:v>
                </c:pt>
                <c:pt idx="28">
                  <c:v>0.52647554874420166</c:v>
                </c:pt>
                <c:pt idx="29">
                  <c:v>0.48370522260665894</c:v>
                </c:pt>
                <c:pt idx="30">
                  <c:v>0.4848606288433075</c:v>
                </c:pt>
                <c:pt idx="31">
                  <c:v>0.54607230424880981</c:v>
                </c:pt>
                <c:pt idx="32">
                  <c:v>0.59998983144760132</c:v>
                </c:pt>
                <c:pt idx="33">
                  <c:v>0.50283354520797729</c:v>
                </c:pt>
                <c:pt idx="34">
                  <c:v>0.50231575965881348</c:v>
                </c:pt>
                <c:pt idx="35">
                  <c:v>0.40348759293556213</c:v>
                </c:pt>
                <c:pt idx="36">
                  <c:v>0.3736254870891571</c:v>
                </c:pt>
                <c:pt idx="37">
                  <c:v>0.44212466478347778</c:v>
                </c:pt>
                <c:pt idx="38">
                  <c:v>0.39033800363540649</c:v>
                </c:pt>
                <c:pt idx="39">
                  <c:v>0.40830069780349731</c:v>
                </c:pt>
                <c:pt idx="40">
                  <c:v>0.31929829716682434</c:v>
                </c:pt>
                <c:pt idx="41">
                  <c:v>0.43038392066955566</c:v>
                </c:pt>
                <c:pt idx="42">
                  <c:v>0.37649604678153992</c:v>
                </c:pt>
                <c:pt idx="43">
                  <c:v>0.37649604678153992</c:v>
                </c:pt>
                <c:pt idx="44">
                  <c:v>0.39491033554077148</c:v>
                </c:pt>
                <c:pt idx="45">
                  <c:v>0.39302888512611389</c:v>
                </c:pt>
                <c:pt idx="46">
                  <c:v>0.47926869988441467</c:v>
                </c:pt>
                <c:pt idx="47">
                  <c:v>0.44328445196151733</c:v>
                </c:pt>
                <c:pt idx="48">
                  <c:v>0.58981031179428101</c:v>
                </c:pt>
                <c:pt idx="49">
                  <c:v>0.49795740842819214</c:v>
                </c:pt>
                <c:pt idx="50">
                  <c:v>0.49200034141540527</c:v>
                </c:pt>
                <c:pt idx="51">
                  <c:v>0.49363160133361816</c:v>
                </c:pt>
                <c:pt idx="52">
                  <c:v>0.50143665075302124</c:v>
                </c:pt>
                <c:pt idx="53">
                  <c:v>0.48742231726646423</c:v>
                </c:pt>
                <c:pt idx="54">
                  <c:v>4.8636035919189453</c:v>
                </c:pt>
                <c:pt idx="55">
                  <c:v>4.8636035919189453</c:v>
                </c:pt>
                <c:pt idx="56">
                  <c:v>0.40904650092124939</c:v>
                </c:pt>
                <c:pt idx="57">
                  <c:v>0.41063079237937927</c:v>
                </c:pt>
                <c:pt idx="58">
                  <c:v>0.4107077419757843</c:v>
                </c:pt>
                <c:pt idx="59">
                  <c:v>0.44501632452011108</c:v>
                </c:pt>
                <c:pt idx="60">
                  <c:v>0.4757004976272583</c:v>
                </c:pt>
                <c:pt idx="61">
                  <c:v>0</c:v>
                </c:pt>
              </c:numCache>
            </c:numRef>
          </c:xVal>
          <c:yVal>
            <c:numRef>
              <c:f>TABLA!$E$4:$E$65</c:f>
              <c:numCache>
                <c:formatCode>0.000</c:formatCode>
                <c:ptCount val="62"/>
                <c:pt idx="0">
                  <c:v>0.60799999999999998</c:v>
                </c:pt>
                <c:pt idx="1">
                  <c:v>0.44500000000000001</c:v>
                </c:pt>
                <c:pt idx="2">
                  <c:v>0.50600000000000001</c:v>
                </c:pt>
                <c:pt idx="3">
                  <c:v>0.57799999999999996</c:v>
                </c:pt>
                <c:pt idx="4">
                  <c:v>0.53600000000000003</c:v>
                </c:pt>
                <c:pt idx="5">
                  <c:v>0.56499999999999995</c:v>
                </c:pt>
                <c:pt idx="6">
                  <c:v>0.52200000000000002</c:v>
                </c:pt>
                <c:pt idx="7">
                  <c:v>0.56799999999999995</c:v>
                </c:pt>
                <c:pt idx="8">
                  <c:v>0.501</c:v>
                </c:pt>
                <c:pt idx="9">
                  <c:v>0.40200000000000002</c:v>
                </c:pt>
                <c:pt idx="10">
                  <c:v>0.38200000000000001</c:v>
                </c:pt>
                <c:pt idx="11">
                  <c:v>0.35699999999999998</c:v>
                </c:pt>
                <c:pt idx="12">
                  <c:v>0.34200000000000003</c:v>
                </c:pt>
                <c:pt idx="13">
                  <c:v>0.36399999999999999</c:v>
                </c:pt>
                <c:pt idx="14">
                  <c:v>0.34599999999999997</c:v>
                </c:pt>
                <c:pt idx="15">
                  <c:v>0.39</c:v>
                </c:pt>
                <c:pt idx="16">
                  <c:v>0.504</c:v>
                </c:pt>
                <c:pt idx="17">
                  <c:v>0.55000000000000004</c:v>
                </c:pt>
                <c:pt idx="18">
                  <c:v>0.52200000000000002</c:v>
                </c:pt>
                <c:pt idx="19">
                  <c:v>0.624</c:v>
                </c:pt>
                <c:pt idx="20">
                  <c:v>0.58299999999999996</c:v>
                </c:pt>
                <c:pt idx="21">
                  <c:v>0.65100000000000002</c:v>
                </c:pt>
                <c:pt idx="22">
                  <c:v>0.54</c:v>
                </c:pt>
                <c:pt idx="23">
                  <c:v>0.58199999999999996</c:v>
                </c:pt>
                <c:pt idx="24">
                  <c:v>0.48499999999999999</c:v>
                </c:pt>
                <c:pt idx="25">
                  <c:v>0.56399999999999995</c:v>
                </c:pt>
                <c:pt idx="26">
                  <c:v>0.54</c:v>
                </c:pt>
                <c:pt idx="27">
                  <c:v>0.54500000000000004</c:v>
                </c:pt>
                <c:pt idx="28">
                  <c:v>0.52</c:v>
                </c:pt>
                <c:pt idx="29">
                  <c:v>0.46200000000000002</c:v>
                </c:pt>
                <c:pt idx="30">
                  <c:v>0.41799999999999998</c:v>
                </c:pt>
                <c:pt idx="31">
                  <c:v>0.45700000000000002</c:v>
                </c:pt>
                <c:pt idx="32">
                  <c:v>0.56200000000000006</c:v>
                </c:pt>
                <c:pt idx="33">
                  <c:v>0.46200000000000002</c:v>
                </c:pt>
                <c:pt idx="34">
                  <c:v>0.55000000000000004</c:v>
                </c:pt>
                <c:pt idx="35">
                  <c:v>0</c:v>
                </c:pt>
                <c:pt idx="36">
                  <c:v>0.441</c:v>
                </c:pt>
                <c:pt idx="37">
                  <c:v>0.48299999999999998</c:v>
                </c:pt>
                <c:pt idx="38">
                  <c:v>0.47599999999999998</c:v>
                </c:pt>
                <c:pt idx="39">
                  <c:v>0.46500000000000002</c:v>
                </c:pt>
                <c:pt idx="40">
                  <c:v>0.44400000000000001</c:v>
                </c:pt>
                <c:pt idx="41">
                  <c:v>0.48099999999999998</c:v>
                </c:pt>
                <c:pt idx="42">
                  <c:v>0.44600000000000001</c:v>
                </c:pt>
                <c:pt idx="43">
                  <c:v>0.40699999999999997</c:v>
                </c:pt>
                <c:pt idx="44">
                  <c:v>0.40600000000000003</c:v>
                </c:pt>
                <c:pt idx="45">
                  <c:v>0.441</c:v>
                </c:pt>
                <c:pt idx="46">
                  <c:v>0.505</c:v>
                </c:pt>
                <c:pt idx="47">
                  <c:v>0.47799999999999998</c:v>
                </c:pt>
                <c:pt idx="48">
                  <c:v>0.60599999999999998</c:v>
                </c:pt>
                <c:pt idx="49">
                  <c:v>0.52500000000000002</c:v>
                </c:pt>
                <c:pt idx="50">
                  <c:v>0.55600000000000005</c:v>
                </c:pt>
                <c:pt idx="51">
                  <c:v>0.54500000000000004</c:v>
                </c:pt>
                <c:pt idx="52">
                  <c:v>0.48</c:v>
                </c:pt>
                <c:pt idx="53">
                  <c:v>0.501</c:v>
                </c:pt>
                <c:pt idx="54">
                  <c:v>0.48299999999999998</c:v>
                </c:pt>
                <c:pt idx="55">
                  <c:v>0.46600000000000003</c:v>
                </c:pt>
                <c:pt idx="56">
                  <c:v>0.42899999999999999</c:v>
                </c:pt>
                <c:pt idx="57">
                  <c:v>0.443</c:v>
                </c:pt>
                <c:pt idx="58">
                  <c:v>0.40300000000000002</c:v>
                </c:pt>
                <c:pt idx="59">
                  <c:v>0.41899999999999998</c:v>
                </c:pt>
                <c:pt idx="60">
                  <c:v>0.47</c:v>
                </c:pt>
                <c:pt idx="61">
                  <c:v>0</c:v>
                </c:pt>
              </c:numCache>
            </c:numRef>
          </c:yVal>
          <c:bubbleSize>
            <c:numLit>
              <c:formatCode>General</c:formatCode>
              <c:ptCount val="62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7-6D22-4084-8A2A-564462298C21}"/>
            </c:ext>
          </c:extLst>
        </c:ser>
        <c:ser>
          <c:idx val="4"/>
          <c:order val="4"/>
          <c:tx>
            <c:v>H labo_act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TABLA!$D$64</c:f>
              <c:numCache>
                <c:formatCode>0.000</c:formatCode>
                <c:ptCount val="1"/>
                <c:pt idx="0">
                  <c:v>0.4757004976272583</c:v>
                </c:pt>
              </c:numCache>
            </c:numRef>
          </c:xVal>
          <c:yVal>
            <c:numRef>
              <c:f>TABLA!$E$64</c:f>
              <c:numCache>
                <c:formatCode>0.000</c:formatCode>
                <c:ptCount val="1"/>
                <c:pt idx="0">
                  <c:v>0.47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53A1-4BCC-8E83-626C3340E7E2}"/>
            </c:ext>
          </c:extLst>
        </c:ser>
        <c:ser>
          <c:idx val="5"/>
          <c:order val="5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TABLA!$D$65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TABLA!$E$65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53A1-4BCC-8E83-626C3340E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34284800"/>
        <c:axId val="434290288"/>
        <c:extLst/>
      </c:bubbleChart>
      <c:valAx>
        <c:axId val="434284800"/>
        <c:scaling>
          <c:orientation val="minMax"/>
          <c:max val="1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559180003473401"/>
              <c:y val="0.93463573901043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90288"/>
        <c:crosses val="autoZero"/>
        <c:crossBetween val="midCat"/>
        <c:majorUnit val="0.1"/>
      </c:valAx>
      <c:valAx>
        <c:axId val="434290288"/>
        <c:scaling>
          <c:orientation val="minMax"/>
          <c:max val="1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4800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ALIMENTACION ROUGHER - PLANTA DE COBRE (%Mo)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6159650870304984"/>
          <c:y val="1.0818439049737845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88314504876207"/>
          <c:y val="0.10862357677559789"/>
          <c:w val="0.84043913377319057"/>
          <c:h val="0.73142103462326413"/>
        </c:manualLayout>
      </c:layout>
      <c:bubbleChart>
        <c:varyColors val="0"/>
        <c:ser>
          <c:idx val="0"/>
          <c:order val="0"/>
          <c:tx>
            <c:strRef>
              <c:f>TABLA!$L$3</c:f>
              <c:strCache>
                <c:ptCount val="1"/>
                <c:pt idx="0">
                  <c:v>H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/>
          </c:spPr>
          <c:invertIfNegative val="0"/>
          <c:xVal>
            <c:numRef>
              <c:f>TABLA!$K$4:$K$63</c:f>
              <c:numCache>
                <c:formatCode>0.000</c:formatCode>
                <c:ptCount val="60"/>
                <c:pt idx="0">
                  <c:v>3.4962505102157593E-2</c:v>
                </c:pt>
                <c:pt idx="1">
                  <c:v>3.4962505102157593E-2</c:v>
                </c:pt>
                <c:pt idx="2">
                  <c:v>6.1913244426250458E-2</c:v>
                </c:pt>
                <c:pt idx="3">
                  <c:v>6.1913244426250458E-2</c:v>
                </c:pt>
                <c:pt idx="4">
                  <c:v>6.0916222631931305E-2</c:v>
                </c:pt>
                <c:pt idx="5">
                  <c:v>8.1276476383209229E-2</c:v>
                </c:pt>
                <c:pt idx="6">
                  <c:v>4.7046452760696411E-2</c:v>
                </c:pt>
                <c:pt idx="7">
                  <c:v>5.2778400480747223E-2</c:v>
                </c:pt>
                <c:pt idx="8">
                  <c:v>5.9039212763309479E-2</c:v>
                </c:pt>
                <c:pt idx="9">
                  <c:v>3.0947951599955559E-2</c:v>
                </c:pt>
                <c:pt idx="10">
                  <c:v>1.2126695364713669E-2</c:v>
                </c:pt>
                <c:pt idx="11">
                  <c:v>1.7472758889198303E-2</c:v>
                </c:pt>
                <c:pt idx="12">
                  <c:v>2.1746393293142319E-2</c:v>
                </c:pt>
                <c:pt idx="13">
                  <c:v>2.0116547122597694E-2</c:v>
                </c:pt>
                <c:pt idx="14">
                  <c:v>1.5217055566608906E-2</c:v>
                </c:pt>
                <c:pt idx="15">
                  <c:v>2.2319607436656952E-2</c:v>
                </c:pt>
                <c:pt idx="16">
                  <c:v>3.0464477837085724E-2</c:v>
                </c:pt>
                <c:pt idx="17">
                  <c:v>3.0464477837085724E-2</c:v>
                </c:pt>
                <c:pt idx="18">
                  <c:v>3.4926913678646088E-2</c:v>
                </c:pt>
                <c:pt idx="19">
                  <c:v>3.6339662969112396E-2</c:v>
                </c:pt>
                <c:pt idx="20">
                  <c:v>5.6744497269392014E-2</c:v>
                </c:pt>
                <c:pt idx="21">
                  <c:v>5.4548941552639008E-2</c:v>
                </c:pt>
                <c:pt idx="22">
                  <c:v>3.8658805191516876E-2</c:v>
                </c:pt>
                <c:pt idx="23">
                  <c:v>3.7576079368591309E-2</c:v>
                </c:pt>
                <c:pt idx="24">
                  <c:v>3.7001386284828186E-2</c:v>
                </c:pt>
                <c:pt idx="25">
                  <c:v>5.4881107062101364E-2</c:v>
                </c:pt>
                <c:pt idx="26">
                  <c:v>5.4881107062101364E-2</c:v>
                </c:pt>
                <c:pt idx="27">
                  <c:v>4.8253592103719711E-2</c:v>
                </c:pt>
                <c:pt idx="28">
                  <c:v>4.111630842089653E-2</c:v>
                </c:pt>
                <c:pt idx="29">
                  <c:v>4.466625303030014E-2</c:v>
                </c:pt>
                <c:pt idx="30">
                  <c:v>3.0782792717218399E-2</c:v>
                </c:pt>
                <c:pt idx="31">
                  <c:v>2.9813330620527267E-2</c:v>
                </c:pt>
                <c:pt idx="32">
                  <c:v>3.8391932845115662E-2</c:v>
                </c:pt>
                <c:pt idx="33">
                  <c:v>3.5930391401052475E-2</c:v>
                </c:pt>
                <c:pt idx="34">
                  <c:v>3.7116792052984238E-2</c:v>
                </c:pt>
                <c:pt idx="35">
                  <c:v>3.650277853012085E-2</c:v>
                </c:pt>
                <c:pt idx="36">
                  <c:v>4.6092774718999863E-2</c:v>
                </c:pt>
                <c:pt idx="37">
                  <c:v>5.0596009939908981E-2</c:v>
                </c:pt>
                <c:pt idx="38">
                  <c:v>3.931552916765213E-2</c:v>
                </c:pt>
                <c:pt idx="39">
                  <c:v>3.9904758334159851E-2</c:v>
                </c:pt>
                <c:pt idx="40">
                  <c:v>4.4588696211576462E-2</c:v>
                </c:pt>
                <c:pt idx="41">
                  <c:v>2.9418226331472397E-2</c:v>
                </c:pt>
                <c:pt idx="42">
                  <c:v>2.215956337749958E-2</c:v>
                </c:pt>
                <c:pt idx="43">
                  <c:v>2.215956337749958E-2</c:v>
                </c:pt>
                <c:pt idx="44">
                  <c:v>2.992715872824192E-2</c:v>
                </c:pt>
                <c:pt idx="45">
                  <c:v>2.2792842239141464E-2</c:v>
                </c:pt>
                <c:pt idx="46">
                  <c:v>5.4245349019765854E-2</c:v>
                </c:pt>
                <c:pt idx="47">
                  <c:v>4.9659151583909988E-2</c:v>
                </c:pt>
                <c:pt idx="48">
                  <c:v>6.5878219902515411E-2</c:v>
                </c:pt>
                <c:pt idx="49">
                  <c:v>4.901445284485817E-2</c:v>
                </c:pt>
                <c:pt idx="50">
                  <c:v>6.7074969410896301E-2</c:v>
                </c:pt>
                <c:pt idx="51">
                  <c:v>6.4989484846591949E-2</c:v>
                </c:pt>
                <c:pt idx="52">
                  <c:v>8.5331402719020844E-2</c:v>
                </c:pt>
                <c:pt idx="53">
                  <c:v>6.0495689511299133E-2</c:v>
                </c:pt>
                <c:pt idx="54">
                  <c:v>4.7902833670377731E-2</c:v>
                </c:pt>
                <c:pt idx="55">
                  <c:v>0.10000000149011612</c:v>
                </c:pt>
                <c:pt idx="56">
                  <c:v>4.8910781741142273E-2</c:v>
                </c:pt>
                <c:pt idx="57">
                  <c:v>4.5976787805557251E-2</c:v>
                </c:pt>
                <c:pt idx="58">
                  <c:v>5.1853619515895844E-2</c:v>
                </c:pt>
                <c:pt idx="59">
                  <c:v>3.6647330969572067E-2</c:v>
                </c:pt>
              </c:numCache>
            </c:numRef>
          </c:xVal>
          <c:yVal>
            <c:numRef>
              <c:f>TABLA!$L$4:$L$63</c:f>
              <c:numCache>
                <c:formatCode>0.000</c:formatCode>
                <c:ptCount val="60"/>
                <c:pt idx="0">
                  <c:v>5.0999999999999997E-2</c:v>
                </c:pt>
                <c:pt idx="1">
                  <c:v>4.2999999999999997E-2</c:v>
                </c:pt>
                <c:pt idx="2">
                  <c:v>0.06</c:v>
                </c:pt>
                <c:pt idx="3">
                  <c:v>7.6999999999999999E-2</c:v>
                </c:pt>
                <c:pt idx="4">
                  <c:v>8.2000000000000003E-2</c:v>
                </c:pt>
                <c:pt idx="5">
                  <c:v>7.6999999999999999E-2</c:v>
                </c:pt>
                <c:pt idx="6">
                  <c:v>4.5999999999999999E-2</c:v>
                </c:pt>
                <c:pt idx="7">
                  <c:v>5.7000000000000002E-2</c:v>
                </c:pt>
                <c:pt idx="8">
                  <c:v>5.1999999999999998E-2</c:v>
                </c:pt>
                <c:pt idx="9">
                  <c:v>3.1E-2</c:v>
                </c:pt>
                <c:pt idx="10">
                  <c:v>1.4999999999999999E-2</c:v>
                </c:pt>
                <c:pt idx="11">
                  <c:v>1.0999999999999999E-2</c:v>
                </c:pt>
                <c:pt idx="12">
                  <c:v>1.2999999999999999E-2</c:v>
                </c:pt>
                <c:pt idx="13">
                  <c:v>1.2999999999999999E-2</c:v>
                </c:pt>
                <c:pt idx="14">
                  <c:v>0.01</c:v>
                </c:pt>
                <c:pt idx="15">
                  <c:v>1.4E-2</c:v>
                </c:pt>
                <c:pt idx="16">
                  <c:v>3.4000000000000002E-2</c:v>
                </c:pt>
                <c:pt idx="17">
                  <c:v>3.7999999999999999E-2</c:v>
                </c:pt>
                <c:pt idx="18">
                  <c:v>4.2999999999999997E-2</c:v>
                </c:pt>
                <c:pt idx="19">
                  <c:v>4.7E-2</c:v>
                </c:pt>
                <c:pt idx="20">
                  <c:v>6.7000000000000004E-2</c:v>
                </c:pt>
                <c:pt idx="21">
                  <c:v>5.3999999999999999E-2</c:v>
                </c:pt>
                <c:pt idx="22">
                  <c:v>4.2000000000000003E-2</c:v>
                </c:pt>
                <c:pt idx="23">
                  <c:v>4.3999999999999997E-2</c:v>
                </c:pt>
                <c:pt idx="24">
                  <c:v>4.4999999999999998E-2</c:v>
                </c:pt>
                <c:pt idx="25">
                  <c:v>0.06</c:v>
                </c:pt>
                <c:pt idx="26">
                  <c:v>4.1000000000000002E-2</c:v>
                </c:pt>
                <c:pt idx="27">
                  <c:v>0.05</c:v>
                </c:pt>
                <c:pt idx="28">
                  <c:v>4.5999999999999999E-2</c:v>
                </c:pt>
                <c:pt idx="29">
                  <c:v>3.5999999999999997E-2</c:v>
                </c:pt>
                <c:pt idx="30">
                  <c:v>2.7E-2</c:v>
                </c:pt>
                <c:pt idx="31">
                  <c:v>2.5999999999999999E-2</c:v>
                </c:pt>
                <c:pt idx="32">
                  <c:v>3.2000000000000001E-2</c:v>
                </c:pt>
                <c:pt idx="33">
                  <c:v>4.2000000000000003E-2</c:v>
                </c:pt>
                <c:pt idx="34">
                  <c:v>3.5999999999999997E-2</c:v>
                </c:pt>
                <c:pt idx="35">
                  <c:v>0</c:v>
                </c:pt>
                <c:pt idx="36">
                  <c:v>0.05</c:v>
                </c:pt>
                <c:pt idx="37">
                  <c:v>5.7000000000000002E-2</c:v>
                </c:pt>
                <c:pt idx="38">
                  <c:v>4.3999999999999997E-2</c:v>
                </c:pt>
                <c:pt idx="39">
                  <c:v>3.6999999999999998E-2</c:v>
                </c:pt>
                <c:pt idx="40">
                  <c:v>3.5999999999999997E-2</c:v>
                </c:pt>
                <c:pt idx="41">
                  <c:v>3.5000000000000003E-2</c:v>
                </c:pt>
                <c:pt idx="42">
                  <c:v>2.7E-2</c:v>
                </c:pt>
                <c:pt idx="43">
                  <c:v>3.5999999999999997E-2</c:v>
                </c:pt>
                <c:pt idx="44">
                  <c:v>3.3000000000000002E-2</c:v>
                </c:pt>
                <c:pt idx="45">
                  <c:v>4.2000000000000003E-2</c:v>
                </c:pt>
                <c:pt idx="46">
                  <c:v>6.3E-2</c:v>
                </c:pt>
                <c:pt idx="47">
                  <c:v>5.0999999999999997E-2</c:v>
                </c:pt>
                <c:pt idx="48">
                  <c:v>6.3E-2</c:v>
                </c:pt>
                <c:pt idx="49">
                  <c:v>3.9E-2</c:v>
                </c:pt>
                <c:pt idx="50">
                  <c:v>7.6999999999999999E-2</c:v>
                </c:pt>
                <c:pt idx="51">
                  <c:v>6.9000000000000006E-2</c:v>
                </c:pt>
                <c:pt idx="52">
                  <c:v>0.08</c:v>
                </c:pt>
                <c:pt idx="53">
                  <c:v>5.3999999999999999E-2</c:v>
                </c:pt>
                <c:pt idx="54">
                  <c:v>5.7000000000000002E-2</c:v>
                </c:pt>
                <c:pt idx="55">
                  <c:v>3.6999999999999998E-2</c:v>
                </c:pt>
                <c:pt idx="56">
                  <c:v>5.2999999999999999E-2</c:v>
                </c:pt>
                <c:pt idx="57">
                  <c:v>4.4999999999999998E-2</c:v>
                </c:pt>
                <c:pt idx="58">
                  <c:v>5.7000000000000002E-2</c:v>
                </c:pt>
                <c:pt idx="59">
                  <c:v>4.2000000000000003E-2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AE27-4232-82E1-6B41C719B846}"/>
            </c:ext>
          </c:extLst>
        </c:ser>
        <c:ser>
          <c:idx val="1"/>
          <c:order val="1"/>
          <c:tx>
            <c:strRef>
              <c:f>Calculos!$H$5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tx1">
                    <a:alpha val="52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Calculos!$G$6:$G$29</c:f>
              <c:numCache>
                <c:formatCode>0.000</c:formatCode>
                <c:ptCount val="24"/>
                <c:pt idx="0">
                  <c:v>4.0000000000000001E-3</c:v>
                </c:pt>
                <c:pt idx="1">
                  <c:v>8.1045454545454546E-3</c:v>
                </c:pt>
                <c:pt idx="2">
                  <c:v>1.2209090909090909E-2</c:v>
                </c:pt>
                <c:pt idx="3">
                  <c:v>1.6313636363636363E-2</c:v>
                </c:pt>
                <c:pt idx="4">
                  <c:v>2.0418181818181818E-2</c:v>
                </c:pt>
                <c:pt idx="5">
                  <c:v>2.4522727272727272E-2</c:v>
                </c:pt>
                <c:pt idx="6">
                  <c:v>2.8627272727272727E-2</c:v>
                </c:pt>
                <c:pt idx="7">
                  <c:v>3.2731818181818181E-2</c:v>
                </c:pt>
                <c:pt idx="8">
                  <c:v>3.6836363636363639E-2</c:v>
                </c:pt>
                <c:pt idx="9">
                  <c:v>4.0940909090909097E-2</c:v>
                </c:pt>
                <c:pt idx="10">
                  <c:v>4.5045454545454555E-2</c:v>
                </c:pt>
                <c:pt idx="11">
                  <c:v>4.9150000000000013E-2</c:v>
                </c:pt>
                <c:pt idx="12">
                  <c:v>5.3254545454545471E-2</c:v>
                </c:pt>
                <c:pt idx="13">
                  <c:v>5.7359090909090929E-2</c:v>
                </c:pt>
                <c:pt idx="14">
                  <c:v>6.1463636363636387E-2</c:v>
                </c:pt>
                <c:pt idx="15">
                  <c:v>6.5568181818181845E-2</c:v>
                </c:pt>
                <c:pt idx="16">
                  <c:v>6.9672727272727303E-2</c:v>
                </c:pt>
                <c:pt idx="17">
                  <c:v>7.3777272727272761E-2</c:v>
                </c:pt>
                <c:pt idx="18">
                  <c:v>7.7881818181818219E-2</c:v>
                </c:pt>
                <c:pt idx="19">
                  <c:v>8.1986363636363677E-2</c:v>
                </c:pt>
                <c:pt idx="20">
                  <c:v>8.6090909090909135E-2</c:v>
                </c:pt>
                <c:pt idx="21">
                  <c:v>9.0195454545454593E-2</c:v>
                </c:pt>
                <c:pt idx="22">
                  <c:v>0</c:v>
                </c:pt>
                <c:pt idx="23">
                  <c:v>0.06</c:v>
                </c:pt>
              </c:numCache>
            </c:numRef>
          </c:xVal>
          <c:yVal>
            <c:numRef>
              <c:f>Calculos!$H$6:$H$29</c:f>
              <c:numCache>
                <c:formatCode>0.000</c:formatCode>
                <c:ptCount val="24"/>
                <c:pt idx="0">
                  <c:v>4.0000000000000001E-3</c:v>
                </c:pt>
                <c:pt idx="1">
                  <c:v>8.1045454545454546E-3</c:v>
                </c:pt>
                <c:pt idx="2">
                  <c:v>1.2209090909090909E-2</c:v>
                </c:pt>
                <c:pt idx="3">
                  <c:v>1.6313636363636363E-2</c:v>
                </c:pt>
                <c:pt idx="4">
                  <c:v>2.0418181818181818E-2</c:v>
                </c:pt>
                <c:pt idx="5">
                  <c:v>2.4522727272727272E-2</c:v>
                </c:pt>
                <c:pt idx="6">
                  <c:v>2.8627272727272727E-2</c:v>
                </c:pt>
                <c:pt idx="7">
                  <c:v>3.2731818181818181E-2</c:v>
                </c:pt>
                <c:pt idx="8">
                  <c:v>3.6836363636363639E-2</c:v>
                </c:pt>
                <c:pt idx="9">
                  <c:v>4.0940909090909097E-2</c:v>
                </c:pt>
                <c:pt idx="10">
                  <c:v>4.5045454545454555E-2</c:v>
                </c:pt>
                <c:pt idx="11">
                  <c:v>4.9150000000000013E-2</c:v>
                </c:pt>
                <c:pt idx="12">
                  <c:v>5.3254545454545471E-2</c:v>
                </c:pt>
                <c:pt idx="13">
                  <c:v>5.7359090909090929E-2</c:v>
                </c:pt>
                <c:pt idx="14">
                  <c:v>6.1463636363636387E-2</c:v>
                </c:pt>
                <c:pt idx="15">
                  <c:v>6.5568181818181845E-2</c:v>
                </c:pt>
                <c:pt idx="16">
                  <c:v>6.9672727272727303E-2</c:v>
                </c:pt>
                <c:pt idx="17">
                  <c:v>7.3777272727272761E-2</c:v>
                </c:pt>
                <c:pt idx="18">
                  <c:v>7.7881818181818219E-2</c:v>
                </c:pt>
                <c:pt idx="19">
                  <c:v>8.1986363636363677E-2</c:v>
                </c:pt>
                <c:pt idx="20">
                  <c:v>8.6090909090909135E-2</c:v>
                </c:pt>
                <c:pt idx="21">
                  <c:v>9.0195454545454593E-2</c:v>
                </c:pt>
                <c:pt idx="22">
                  <c:v>0</c:v>
                </c:pt>
                <c:pt idx="23">
                  <c:v>0.06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AE27-4232-82E1-6B41C719B846}"/>
            </c:ext>
          </c:extLst>
        </c:ser>
        <c:ser>
          <c:idx val="2"/>
          <c:order val="2"/>
          <c:tx>
            <c:strRef>
              <c:f>Calculos!$I$4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Calculos!$I$6:$I$29</c:f>
              <c:numCache>
                <c:formatCode>0.000</c:formatCode>
                <c:ptCount val="24"/>
                <c:pt idx="0">
                  <c:v>-1.1807500000000021E-3</c:v>
                </c:pt>
                <c:pt idx="1">
                  <c:v>2.9237954545454524E-3</c:v>
                </c:pt>
                <c:pt idx="2">
                  <c:v>7.0283409090909068E-3</c:v>
                </c:pt>
                <c:pt idx="3">
                  <c:v>1.1132886363636362E-2</c:v>
                </c:pt>
                <c:pt idx="4">
                  <c:v>1.5237431818181817E-2</c:v>
                </c:pt>
                <c:pt idx="5">
                  <c:v>1.9341977272727271E-2</c:v>
                </c:pt>
                <c:pt idx="6">
                  <c:v>2.3446522727272726E-2</c:v>
                </c:pt>
                <c:pt idx="7">
                  <c:v>2.755106818181818E-2</c:v>
                </c:pt>
                <c:pt idx="8">
                  <c:v>3.1655613636363635E-2</c:v>
                </c:pt>
                <c:pt idx="9">
                  <c:v>3.5760159090909092E-2</c:v>
                </c:pt>
                <c:pt idx="10">
                  <c:v>3.986470454545455E-2</c:v>
                </c:pt>
                <c:pt idx="11">
                  <c:v>4.3969250000000008E-2</c:v>
                </c:pt>
                <c:pt idx="12">
                  <c:v>4.8073795454545466E-2</c:v>
                </c:pt>
                <c:pt idx="13">
                  <c:v>5.2178340909090924E-2</c:v>
                </c:pt>
                <c:pt idx="14">
                  <c:v>5.6282886363636382E-2</c:v>
                </c:pt>
                <c:pt idx="15">
                  <c:v>6.038743181818184E-2</c:v>
                </c:pt>
                <c:pt idx="16">
                  <c:v>6.4491977272727305E-2</c:v>
                </c:pt>
                <c:pt idx="17">
                  <c:v>6.8596522727272763E-2</c:v>
                </c:pt>
                <c:pt idx="18">
                  <c:v>7.2701068181818221E-2</c:v>
                </c:pt>
                <c:pt idx="19">
                  <c:v>7.6805613636363679E-2</c:v>
                </c:pt>
                <c:pt idx="20">
                  <c:v>8.0910159090909137E-2</c:v>
                </c:pt>
                <c:pt idx="21">
                  <c:v>8.5014704545454595E-2</c:v>
                </c:pt>
                <c:pt idx="22">
                  <c:v>-5.1807500000000022E-3</c:v>
                </c:pt>
                <c:pt idx="23">
                  <c:v>5.4819249999999993E-2</c:v>
                </c:pt>
              </c:numCache>
            </c:numRef>
          </c:xVal>
          <c:yVal>
            <c:numRef>
              <c:f>Calculos!$J$6:$J$29</c:f>
              <c:numCache>
                <c:formatCode>0.000</c:formatCode>
                <c:ptCount val="24"/>
                <c:pt idx="0">
                  <c:v>4.0000000000000001E-3</c:v>
                </c:pt>
                <c:pt idx="1">
                  <c:v>8.1045454545454546E-3</c:v>
                </c:pt>
                <c:pt idx="2">
                  <c:v>1.2209090909090909E-2</c:v>
                </c:pt>
                <c:pt idx="3">
                  <c:v>1.6313636363636363E-2</c:v>
                </c:pt>
                <c:pt idx="4">
                  <c:v>2.0418181818181818E-2</c:v>
                </c:pt>
                <c:pt idx="5">
                  <c:v>2.4522727272727272E-2</c:v>
                </c:pt>
                <c:pt idx="6">
                  <c:v>2.8627272727272727E-2</c:v>
                </c:pt>
                <c:pt idx="7">
                  <c:v>3.2731818181818181E-2</c:v>
                </c:pt>
                <c:pt idx="8">
                  <c:v>3.6836363636363639E-2</c:v>
                </c:pt>
                <c:pt idx="9">
                  <c:v>4.0940909090909097E-2</c:v>
                </c:pt>
                <c:pt idx="10">
                  <c:v>4.5045454545454555E-2</c:v>
                </c:pt>
                <c:pt idx="11">
                  <c:v>4.9150000000000013E-2</c:v>
                </c:pt>
                <c:pt idx="12">
                  <c:v>5.3254545454545471E-2</c:v>
                </c:pt>
                <c:pt idx="13">
                  <c:v>5.7359090909090929E-2</c:v>
                </c:pt>
                <c:pt idx="14">
                  <c:v>6.1463636363636387E-2</c:v>
                </c:pt>
                <c:pt idx="15">
                  <c:v>6.5568181818181845E-2</c:v>
                </c:pt>
                <c:pt idx="16">
                  <c:v>6.9672727272727303E-2</c:v>
                </c:pt>
                <c:pt idx="17">
                  <c:v>7.3777272727272761E-2</c:v>
                </c:pt>
                <c:pt idx="18">
                  <c:v>7.7881818181818219E-2</c:v>
                </c:pt>
                <c:pt idx="19">
                  <c:v>8.1986363636363677E-2</c:v>
                </c:pt>
                <c:pt idx="20">
                  <c:v>8.6090909090909135E-2</c:v>
                </c:pt>
                <c:pt idx="21">
                  <c:v>9.0195454545454593E-2</c:v>
                </c:pt>
                <c:pt idx="22">
                  <c:v>0</c:v>
                </c:pt>
                <c:pt idx="23">
                  <c:v>0.06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AE27-4232-82E1-6B41C719B846}"/>
            </c:ext>
          </c:extLst>
        </c:ser>
        <c:ser>
          <c:idx val="3"/>
          <c:order val="3"/>
          <c:tx>
            <c:strRef>
              <c:f>Calculos!$K$4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Calculos!$K$6:$K$29</c:f>
              <c:numCache>
                <c:formatCode>0.000</c:formatCode>
                <c:ptCount val="24"/>
                <c:pt idx="0">
                  <c:v>9.1807500000000014E-3</c:v>
                </c:pt>
                <c:pt idx="1">
                  <c:v>1.3285295454545456E-2</c:v>
                </c:pt>
                <c:pt idx="2">
                  <c:v>1.738984090909091E-2</c:v>
                </c:pt>
                <c:pt idx="3">
                  <c:v>2.1494386363636365E-2</c:v>
                </c:pt>
                <c:pt idx="4">
                  <c:v>2.5598931818181819E-2</c:v>
                </c:pt>
                <c:pt idx="5">
                  <c:v>2.9703477272727274E-2</c:v>
                </c:pt>
                <c:pt idx="6">
                  <c:v>3.3808022727272728E-2</c:v>
                </c:pt>
                <c:pt idx="7">
                  <c:v>3.7912568181818186E-2</c:v>
                </c:pt>
                <c:pt idx="8">
                  <c:v>4.2017113636363644E-2</c:v>
                </c:pt>
                <c:pt idx="9">
                  <c:v>4.6121659090909102E-2</c:v>
                </c:pt>
                <c:pt idx="10">
                  <c:v>5.022620454545456E-2</c:v>
                </c:pt>
                <c:pt idx="11">
                  <c:v>5.4330750000000018E-2</c:v>
                </c:pt>
                <c:pt idx="12">
                  <c:v>5.8435295454545476E-2</c:v>
                </c:pt>
                <c:pt idx="13">
                  <c:v>6.2539840909090927E-2</c:v>
                </c:pt>
                <c:pt idx="14">
                  <c:v>6.6644386363636385E-2</c:v>
                </c:pt>
                <c:pt idx="15">
                  <c:v>7.0748931818181843E-2</c:v>
                </c:pt>
                <c:pt idx="16">
                  <c:v>7.4853477272727301E-2</c:v>
                </c:pt>
                <c:pt idx="17">
                  <c:v>7.8958022727272759E-2</c:v>
                </c:pt>
                <c:pt idx="18">
                  <c:v>8.3062568181818217E-2</c:v>
                </c:pt>
                <c:pt idx="19">
                  <c:v>8.7167113636363674E-2</c:v>
                </c:pt>
                <c:pt idx="20">
                  <c:v>9.1271659090909132E-2</c:v>
                </c:pt>
                <c:pt idx="21">
                  <c:v>9.537620454545459E-2</c:v>
                </c:pt>
                <c:pt idx="22">
                  <c:v>5.1807500000000022E-3</c:v>
                </c:pt>
                <c:pt idx="23">
                  <c:v>6.5180749999999996E-2</c:v>
                </c:pt>
              </c:numCache>
            </c:numRef>
          </c:xVal>
          <c:yVal>
            <c:numRef>
              <c:f>Calculos!$L$6:$L$29</c:f>
              <c:numCache>
                <c:formatCode>0.000</c:formatCode>
                <c:ptCount val="24"/>
                <c:pt idx="0">
                  <c:v>4.0000000000000001E-3</c:v>
                </c:pt>
                <c:pt idx="1">
                  <c:v>8.1045454545454546E-3</c:v>
                </c:pt>
                <c:pt idx="2">
                  <c:v>1.2209090909090909E-2</c:v>
                </c:pt>
                <c:pt idx="3">
                  <c:v>1.6313636363636363E-2</c:v>
                </c:pt>
                <c:pt idx="4">
                  <c:v>2.0418181818181818E-2</c:v>
                </c:pt>
                <c:pt idx="5">
                  <c:v>2.4522727272727272E-2</c:v>
                </c:pt>
                <c:pt idx="6">
                  <c:v>2.8627272727272727E-2</c:v>
                </c:pt>
                <c:pt idx="7">
                  <c:v>3.2731818181818181E-2</c:v>
                </c:pt>
                <c:pt idx="8">
                  <c:v>3.6836363636363639E-2</c:v>
                </c:pt>
                <c:pt idx="9">
                  <c:v>4.0940909090909097E-2</c:v>
                </c:pt>
                <c:pt idx="10">
                  <c:v>4.5045454545454555E-2</c:v>
                </c:pt>
                <c:pt idx="11">
                  <c:v>4.9150000000000013E-2</c:v>
                </c:pt>
                <c:pt idx="12">
                  <c:v>5.3254545454545471E-2</c:v>
                </c:pt>
                <c:pt idx="13">
                  <c:v>5.7359090909090929E-2</c:v>
                </c:pt>
                <c:pt idx="14">
                  <c:v>6.1463636363636387E-2</c:v>
                </c:pt>
                <c:pt idx="15">
                  <c:v>6.5568181818181845E-2</c:v>
                </c:pt>
                <c:pt idx="16">
                  <c:v>6.9672727272727303E-2</c:v>
                </c:pt>
                <c:pt idx="17">
                  <c:v>7.3777272727272761E-2</c:v>
                </c:pt>
                <c:pt idx="18">
                  <c:v>7.7881818181818219E-2</c:v>
                </c:pt>
                <c:pt idx="19">
                  <c:v>8.1986363636363677E-2</c:v>
                </c:pt>
                <c:pt idx="20">
                  <c:v>8.6090909090909135E-2</c:v>
                </c:pt>
                <c:pt idx="21">
                  <c:v>9.0195454545454593E-2</c:v>
                </c:pt>
                <c:pt idx="22">
                  <c:v>0</c:v>
                </c:pt>
                <c:pt idx="23">
                  <c:v>0.06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AE27-4232-82E1-6B41C719B846}"/>
            </c:ext>
          </c:extLst>
        </c:ser>
        <c:ser>
          <c:idx val="4"/>
          <c:order val="4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TABLA!$K$64</c:f>
              <c:numCache>
                <c:formatCode>0.000</c:formatCode>
                <c:ptCount val="1"/>
                <c:pt idx="0">
                  <c:v>2.761489525437355E-2</c:v>
                </c:pt>
              </c:numCache>
            </c:numRef>
          </c:xVal>
          <c:yVal>
            <c:numRef>
              <c:f>TABLA!$L$64</c:f>
              <c:numCache>
                <c:formatCode>0.000</c:formatCode>
                <c:ptCount val="1"/>
                <c:pt idx="0">
                  <c:v>3.4000000000000002E-2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5BC9-48F1-AB9A-039DB1AC10E2}"/>
            </c:ext>
          </c:extLst>
        </c:ser>
        <c:ser>
          <c:idx val="5"/>
          <c:order val="5"/>
          <c:tx>
            <c:v>H labo act1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TABLA!$K$65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TABLA!$L$65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5BC9-48F1-AB9A-039DB1AC1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34285976"/>
        <c:axId val="434287544"/>
        <c:extLst>
          <c:ext xmlns:c15="http://schemas.microsoft.com/office/drawing/2012/chart" uri="{02D57815-91ED-43cb-92C2-25804820EDAC}">
            <c15:filteredBubbleSeries>
              <c15:ser>
                <c:idx val="9"/>
                <c:order val="6"/>
                <c:tx>
                  <c:v>8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>
                      <c:ext uri="{02D57815-91ED-43cb-92C2-25804820EDAC}">
                        <c15:formulaRef>
                          <c15:sqref>TABLA!$K$8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6.0916222631931305E-2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TABLA!$L$8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8.2000000000000003E-2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>
                  <c:ext xmlns:c16="http://schemas.microsoft.com/office/drawing/2014/chart" uri="{C3380CC4-5D6E-409C-BE32-E72D297353CC}">
                    <c16:uniqueId val="{00000008-5BC9-48F1-AB9A-039DB1AC10E2}"/>
                  </c:ext>
                </c:extLst>
              </c15:ser>
            </c15:filteredBubbleSeries>
            <c15:filteredBubbleSeries>
              <c15:ser>
                <c:idx val="10"/>
                <c:order val="7"/>
                <c:tx>
                  <c:v>9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8.1276476383209229E-2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7.6999999999999999E-2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BC9-48F1-AB9A-039DB1AC10E2}"/>
                  </c:ext>
                </c:extLst>
              </c15:ser>
            </c15:filteredBubbleSeries>
            <c15:filteredBubbleSeries>
              <c15:ser>
                <c:idx val="11"/>
                <c:order val="8"/>
                <c:tx>
                  <c:v>10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4.7046452760696411E-2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BC9-48F1-AB9A-039DB1AC10E2}"/>
                  </c:ext>
                </c:extLst>
              </c15:ser>
            </c15:filteredBubbleSeries>
            <c15:filteredBubbleSeries>
              <c15:ser>
                <c:idx val="12"/>
                <c:order val="9"/>
                <c:tx>
                  <c:v>11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5.2778400480747223E-2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BC9-48F1-AB9A-039DB1AC10E2}"/>
                  </c:ext>
                </c:extLst>
              </c15:ser>
            </c15:filteredBubbleSeries>
            <c15:filteredBubbleSeries>
              <c15:ser>
                <c:idx val="13"/>
                <c:order val="10"/>
                <c:tx>
                  <c:v>12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5.9039212763309479E-2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BC9-48F1-AB9A-039DB1AC10E2}"/>
                  </c:ext>
                </c:extLst>
              </c15:ser>
            </c15:filteredBubbleSeries>
            <c15:filteredBubbleSeries>
              <c15:ser>
                <c:idx val="14"/>
                <c:order val="11"/>
                <c:tx>
                  <c:v>13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3.0947951599955559E-2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BC9-48F1-AB9A-039DB1AC10E2}"/>
                  </c:ext>
                </c:extLst>
              </c15:ser>
            </c15:filteredBubbleSeries>
            <c15:filteredBubbleSeries>
              <c15:ser>
                <c:idx val="15"/>
                <c:order val="12"/>
                <c:tx>
                  <c:v>14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1.2126695364713669E-2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BC9-48F1-AB9A-039DB1AC10E2}"/>
                  </c:ext>
                </c:extLst>
              </c15:ser>
            </c15:filteredBubbleSeries>
            <c15:filteredBubbleSeries>
              <c15:ser>
                <c:idx val="16"/>
                <c:order val="13"/>
                <c:tx>
                  <c:v>15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1.7472758889198303E-2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BC9-48F1-AB9A-039DB1AC10E2}"/>
                  </c:ext>
                </c:extLst>
              </c15:ser>
            </c15:filteredBubbleSeries>
            <c15:filteredBubbleSeries>
              <c15:ser>
                <c:idx val="17"/>
                <c:order val="14"/>
                <c:tx>
                  <c:v>16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2.1746393293142319E-2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BC9-48F1-AB9A-039DB1AC10E2}"/>
                  </c:ext>
                </c:extLst>
              </c15:ser>
            </c15:filteredBubbleSeries>
            <c15:filteredBubbleSeries>
              <c15:ser>
                <c:idx val="18"/>
                <c:order val="15"/>
                <c:tx>
                  <c:v>17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2.0116547122597694E-2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BC9-48F1-AB9A-039DB1AC10E2}"/>
                  </c:ext>
                </c:extLst>
              </c15:ser>
            </c15:filteredBubbleSeries>
            <c15:filteredBubbleSeries>
              <c15:ser>
                <c:idx val="19"/>
                <c:order val="16"/>
                <c:tx>
                  <c:v>18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1.5217055566608906E-2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BC9-48F1-AB9A-039DB1AC10E2}"/>
                  </c:ext>
                </c:extLst>
              </c15:ser>
            </c15:filteredBubbleSeries>
            <c15:filteredBubbleSeries>
              <c15:ser>
                <c:idx val="20"/>
                <c:order val="17"/>
                <c:tx>
                  <c:v>19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2.2319607436656952E-2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BC9-48F1-AB9A-039DB1AC10E2}"/>
                  </c:ext>
                </c:extLst>
              </c15:ser>
            </c15:filteredBubbleSeries>
            <c15:filteredBubbleSeries>
              <c15:ser>
                <c:idx val="21"/>
                <c:order val="18"/>
                <c:tx>
                  <c:v>20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3.0464477837085724E-2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BC9-48F1-AB9A-039DB1AC10E2}"/>
                  </c:ext>
                </c:extLst>
              </c15:ser>
            </c15:filteredBubbleSeries>
            <c15:filteredBubbleSeries>
              <c15:ser>
                <c:idx val="22"/>
                <c:order val="19"/>
                <c:tx>
                  <c:v>21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3.0464477837085724E-2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3.7999999999999999E-2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BC9-48F1-AB9A-039DB1AC10E2}"/>
                  </c:ext>
                </c:extLst>
              </c15:ser>
            </c15:filteredBubbleSeries>
            <c15:filteredBubbleSeries>
              <c15:ser>
                <c:idx val="23"/>
                <c:order val="20"/>
                <c:tx>
                  <c:v>22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3.4926913678646088E-2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BC9-48F1-AB9A-039DB1AC10E2}"/>
                  </c:ext>
                </c:extLst>
              </c15:ser>
            </c15:filteredBubbleSeries>
            <c15:filteredBubbleSeries>
              <c15:ser>
                <c:idx val="24"/>
                <c:order val="21"/>
                <c:tx>
                  <c:v>23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3.6339662969112396E-2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BC9-48F1-AB9A-039DB1AC10E2}"/>
                  </c:ext>
                </c:extLst>
              </c15:ser>
            </c15:filteredBubbleSeries>
            <c15:filteredBubbleSeries>
              <c15:ser>
                <c:idx val="25"/>
                <c:order val="22"/>
                <c:tx>
                  <c:v>24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5.6744497269392014E-2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6.7000000000000004E-2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BC9-48F1-AB9A-039DB1AC10E2}"/>
                  </c:ext>
                </c:extLst>
              </c15:ser>
            </c15:filteredBubbleSeries>
            <c15:filteredBubbleSeries>
              <c15:ser>
                <c:idx val="26"/>
                <c:order val="23"/>
                <c:tx>
                  <c:v>25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5.4548941552639008E-2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BC9-48F1-AB9A-039DB1AC10E2}"/>
                  </c:ext>
                </c:extLst>
              </c15:ser>
            </c15:filteredBubbleSeries>
            <c15:filteredBubbleSeries>
              <c15:ser>
                <c:idx val="27"/>
                <c:order val="24"/>
                <c:tx>
                  <c:v>26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3.8658805191516876E-2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BC9-48F1-AB9A-039DB1AC10E2}"/>
                  </c:ext>
                </c:extLst>
              </c15:ser>
            </c15:filteredBubbleSeries>
            <c15:filteredBubbleSeries>
              <c15:ser>
                <c:idx val="28"/>
                <c:order val="25"/>
                <c:tx>
                  <c:v>27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3.7576079368591309E-2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BC9-48F1-AB9A-039DB1AC10E2}"/>
                  </c:ext>
                </c:extLst>
              </c15:ser>
            </c15:filteredBubbleSeries>
            <c15:filteredBubbleSeries>
              <c15:ser>
                <c:idx val="29"/>
                <c:order val="26"/>
                <c:tx>
                  <c:v>28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3.7001386284828186E-2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BC9-48F1-AB9A-039DB1AC10E2}"/>
                  </c:ext>
                </c:extLst>
              </c15:ser>
            </c15:filteredBubbleSeries>
            <c15:filteredBubbleSeries>
              <c15:ser>
                <c:idx val="30"/>
                <c:order val="27"/>
                <c:tx>
                  <c:v>29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5.4881107062101364E-2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BC9-48F1-AB9A-039DB1AC10E2}"/>
                  </c:ext>
                </c:extLst>
              </c15:ser>
            </c15:filteredBubbleSeries>
            <c15:filteredBubbleSeries>
              <c15:ser>
                <c:idx val="31"/>
                <c:order val="28"/>
                <c:tx>
                  <c:v>30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5.4881107062101364E-2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4.1000000000000002E-2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BC9-48F1-AB9A-039DB1AC10E2}"/>
                  </c:ext>
                </c:extLst>
              </c15:ser>
            </c15:filteredBubbleSeries>
            <c15:filteredBubbleSeries>
              <c15:ser>
                <c:idx val="32"/>
                <c:order val="29"/>
                <c:tx>
                  <c:v>31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4.8253592103719711E-2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BC9-48F1-AB9A-039DB1AC10E2}"/>
                  </c:ext>
                </c:extLst>
              </c15:ser>
            </c15:filteredBubbleSeries>
            <c15:filteredBubbleSeries>
              <c15:ser>
                <c:idx val="33"/>
                <c:order val="30"/>
                <c:tx>
                  <c:v>32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4.111630842089653E-2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BC9-48F1-AB9A-039DB1AC10E2}"/>
                  </c:ext>
                </c:extLst>
              </c15:ser>
            </c15:filteredBubbleSeries>
            <c15:filteredBubbleSeries>
              <c15:ser>
                <c:idx val="34"/>
                <c:order val="31"/>
                <c:tx>
                  <c:v>33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4.466625303030014E-2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BC9-48F1-AB9A-039DB1AC10E2}"/>
                  </c:ext>
                </c:extLst>
              </c15:ser>
            </c15:filteredBubbleSeries>
            <c15:filteredBubbleSeries>
              <c15:ser>
                <c:idx val="35"/>
                <c:order val="32"/>
                <c:tx>
                  <c:v>34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3.0782792717218399E-2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BC9-48F1-AB9A-039DB1AC10E2}"/>
                  </c:ext>
                </c:extLst>
              </c15:ser>
            </c15:filteredBubbleSeries>
            <c15:filteredBubbleSeries>
              <c15:ser>
                <c:idx val="36"/>
                <c:order val="33"/>
                <c:tx>
                  <c:v>35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2.9813330620527267E-2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2.5999999999999999E-2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BC9-48F1-AB9A-039DB1AC10E2}"/>
                  </c:ext>
                </c:extLst>
              </c15:ser>
            </c15:filteredBubbleSeries>
            <c15:filteredBubbleSeries>
              <c15:ser>
                <c:idx val="37"/>
                <c:order val="34"/>
                <c:tx>
                  <c:v>36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3.8391932845115662E-2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3.2000000000000001E-2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BC9-48F1-AB9A-039DB1AC10E2}"/>
                  </c:ext>
                </c:extLst>
              </c15:ser>
            </c15:filteredBubbleSeries>
            <c15:filteredBubbleSeries>
              <c15:ser>
                <c:idx val="38"/>
                <c:order val="35"/>
                <c:tx>
                  <c:v>37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3.5930391401052475E-2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BC9-48F1-AB9A-039DB1AC10E2}"/>
                  </c:ext>
                </c:extLst>
              </c15:ser>
            </c15:filteredBubbleSeries>
            <c15:filteredBubbleSeries>
              <c15:ser>
                <c:idx val="39"/>
                <c:order val="36"/>
                <c:tx>
                  <c:v>38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3.7116792052984238E-2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BC9-48F1-AB9A-039DB1AC10E2}"/>
                  </c:ext>
                </c:extLst>
              </c15:ser>
            </c15:filteredBubbleSeries>
            <c15:filteredBubbleSeries>
              <c15:ser>
                <c:idx val="40"/>
                <c:order val="37"/>
                <c:tx>
                  <c:v>39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3.650277853012085E-2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BC9-48F1-AB9A-039DB1AC10E2}"/>
                  </c:ext>
                </c:extLst>
              </c15:ser>
            </c15:filteredBubbleSeries>
            <c15:filteredBubbleSeries>
              <c15:ser>
                <c:idx val="41"/>
                <c:order val="38"/>
                <c:tx>
                  <c:v>40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4.6092774718999863E-2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BC9-48F1-AB9A-039DB1AC10E2}"/>
                  </c:ext>
                </c:extLst>
              </c15:ser>
            </c15:filteredBubbleSeries>
            <c15:filteredBubbleSeries>
              <c15:ser>
                <c:idx val="42"/>
                <c:order val="39"/>
                <c:tx>
                  <c:v>41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5.0596009939908981E-2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BC9-48F1-AB9A-039DB1AC10E2}"/>
                  </c:ext>
                </c:extLst>
              </c15:ser>
            </c15:filteredBubbleSeries>
            <c15:filteredBubbleSeries>
              <c15:ser>
                <c:idx val="43"/>
                <c:order val="40"/>
                <c:tx>
                  <c:v>42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3.931552916765213E-2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BC9-48F1-AB9A-039DB1AC10E2}"/>
                  </c:ext>
                </c:extLst>
              </c15:ser>
            </c15:filteredBubbleSeries>
            <c15:filteredBubbleSeries>
              <c15:ser>
                <c:idx val="44"/>
                <c:order val="41"/>
                <c:tx>
                  <c:v>43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3.9904758334159851E-2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BC9-48F1-AB9A-039DB1AC10E2}"/>
                  </c:ext>
                </c:extLst>
              </c15:ser>
            </c15:filteredBubbleSeries>
            <c15:filteredBubbleSeries>
              <c15:ser>
                <c:idx val="45"/>
                <c:order val="42"/>
                <c:tx>
                  <c:v>44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4.4588696211576462E-2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BC9-48F1-AB9A-039DB1AC10E2}"/>
                  </c:ext>
                </c:extLst>
              </c15:ser>
            </c15:filteredBubbleSeries>
            <c15:filteredBubbleSeries>
              <c15:ser>
                <c:idx val="46"/>
                <c:order val="43"/>
                <c:tx>
                  <c:v>45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2.9418226331472397E-2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BC9-48F1-AB9A-039DB1AC10E2}"/>
                  </c:ext>
                </c:extLst>
              </c15:ser>
            </c15:filteredBubbleSeries>
            <c15:filteredBubbleSeries>
              <c15:ser>
                <c:idx val="47"/>
                <c:order val="44"/>
                <c:tx>
                  <c:v>46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2.215956337749958E-2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BC9-48F1-AB9A-039DB1AC10E2}"/>
                  </c:ext>
                </c:extLst>
              </c15:ser>
            </c15:filteredBubbleSeries>
            <c15:filteredBubbleSeries>
              <c15:ser>
                <c:idx val="48"/>
                <c:order val="45"/>
                <c:tx>
                  <c:v>47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2.215956337749958E-2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BC9-48F1-AB9A-039DB1AC10E2}"/>
                  </c:ext>
                </c:extLst>
              </c15:ser>
            </c15:filteredBubbleSeries>
            <c15:filteredBubbleSeries>
              <c15:ser>
                <c:idx val="49"/>
                <c:order val="46"/>
                <c:tx>
                  <c:v>48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2.992715872824192E-2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3.3000000000000002E-2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BC9-48F1-AB9A-039DB1AC10E2}"/>
                  </c:ext>
                </c:extLst>
              </c15:ser>
            </c15:filteredBubbleSeries>
            <c15:filteredBubbleSeries>
              <c15:ser>
                <c:idx val="50"/>
                <c:order val="47"/>
                <c:tx>
                  <c:v>49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2.2792842239141464E-2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BC9-48F1-AB9A-039DB1AC10E2}"/>
                  </c:ext>
                </c:extLst>
              </c15:ser>
            </c15:filteredBubbleSeries>
            <c15:filteredBubbleSeries>
              <c15:ser>
                <c:idx val="51"/>
                <c:order val="48"/>
                <c:tx>
                  <c:v>50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5.4245349019765854E-2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BC9-48F1-AB9A-039DB1AC10E2}"/>
                  </c:ext>
                </c:extLst>
              </c15:ser>
            </c15:filteredBubbleSeries>
            <c15:filteredBubbleSeries>
              <c15:ser>
                <c:idx val="52"/>
                <c:order val="49"/>
                <c:tx>
                  <c:v>51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4.9659151583909988E-2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BC9-48F1-AB9A-039DB1AC10E2}"/>
                  </c:ext>
                </c:extLst>
              </c15:ser>
            </c15:filteredBubbleSeries>
            <c15:filteredBubbleSeries>
              <c15:ser>
                <c:idx val="53"/>
                <c:order val="50"/>
                <c:tx>
                  <c:v>52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6.5878219902515411E-2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BC9-48F1-AB9A-039DB1AC10E2}"/>
                  </c:ext>
                </c:extLst>
              </c15:ser>
            </c15:filteredBubbleSeries>
            <c15:filteredBubbleSeries>
              <c15:ser>
                <c:idx val="54"/>
                <c:order val="51"/>
                <c:tx>
                  <c:v>53</c:v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4.901445284485817E-2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BC9-48F1-AB9A-039DB1AC10E2}"/>
                  </c:ext>
                </c:extLst>
              </c15:ser>
            </c15:filteredBubbleSeries>
            <c15:filteredBubbleSeries>
              <c15:ser>
                <c:idx val="55"/>
                <c:order val="52"/>
                <c:tx>
                  <c:v>54</c:v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6.7074969410896301E-2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7.6999999999999999E-2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BC9-48F1-AB9A-039DB1AC10E2}"/>
                  </c:ext>
                </c:extLst>
              </c15:ser>
            </c15:filteredBubbleSeries>
            <c15:filteredBubbleSeries>
              <c15:ser>
                <c:idx val="56"/>
                <c:order val="53"/>
                <c:tx>
                  <c:v>55</c:v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6.4989484846591949E-2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6.9000000000000006E-2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BC9-48F1-AB9A-039DB1AC10E2}"/>
                  </c:ext>
                </c:extLst>
              </c15:ser>
            </c15:filteredBubbleSeries>
            <c15:filteredBubbleSeries>
              <c15:ser>
                <c:idx val="57"/>
                <c:order val="54"/>
                <c:tx>
                  <c:v>56</c:v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8.5331402719020844E-2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BC9-48F1-AB9A-039DB1AC10E2}"/>
                  </c:ext>
                </c:extLst>
              </c15:ser>
            </c15:filteredBubbleSeries>
            <c15:filteredBubbleSeries>
              <c15:ser>
                <c:idx val="58"/>
                <c:order val="55"/>
                <c:tx>
                  <c:v>57</c:v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6.0495689511299133E-2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BC9-48F1-AB9A-039DB1AC10E2}"/>
                  </c:ext>
                </c:extLst>
              </c15:ser>
            </c15:filteredBubbleSeries>
            <c15:filteredBubbleSeries>
              <c15:ser>
                <c:idx val="59"/>
                <c:order val="56"/>
                <c:tx>
                  <c:v>58</c:v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4.7902833670377731E-2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BC9-48F1-AB9A-039DB1AC10E2}"/>
                  </c:ext>
                </c:extLst>
              </c15:ser>
            </c15:filteredBubbleSeries>
            <c15:filteredBubbleSeries>
              <c15:ser>
                <c:idx val="60"/>
                <c:order val="57"/>
                <c:tx>
                  <c:v>59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0.10000000149011612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BC9-48F1-AB9A-039DB1AC10E2}"/>
                  </c:ext>
                </c:extLst>
              </c15:ser>
            </c15:filteredBubbleSeries>
            <c15:filteredBubbleSeries>
              <c15:ser>
                <c:idx val="61"/>
                <c:order val="58"/>
                <c:tx>
                  <c:v>61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4.5976787805557251E-2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BC9-48F1-AB9A-039DB1AC10E2}"/>
                  </c:ext>
                </c:extLst>
              </c15:ser>
            </c15:filteredBubbleSeries>
            <c15:filteredBubbleSeries>
              <c15:ser>
                <c:idx val="62"/>
                <c:order val="59"/>
                <c:tx>
                  <c:v>62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/>
                </c:spPr>
                <c:invertIfNegative val="0"/>
                <c:trendline>
                  <c:spPr>
                    <a:ln w="19050" cap="rnd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TABLA!$K$62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5.1853619515895844E-2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TABLA!$L$62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BC9-48F1-AB9A-039DB1AC10E2}"/>
                  </c:ext>
                </c:extLst>
              </c15:ser>
            </c15:filteredBubbleSeries>
          </c:ext>
        </c:extLst>
      </c:bubbleChart>
      <c:valAx>
        <c:axId val="434285976"/>
        <c:scaling>
          <c:orientation val="minMax"/>
          <c:max val="6.0000000000000012E-2"/>
          <c:min val="7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395235898966332"/>
              <c:y val="0.941791970787375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7544"/>
        <c:crosses val="autoZero"/>
        <c:crossBetween val="midCat"/>
        <c:majorUnit val="6.0000000000000019E-3"/>
      </c:valAx>
      <c:valAx>
        <c:axId val="434287544"/>
        <c:scaling>
          <c:orientation val="minMax"/>
          <c:max val="6.0000000000000012E-2"/>
          <c:min val="7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5976"/>
        <c:crosses val="autoZero"/>
        <c:crossBetween val="midCat"/>
        <c:majorUnit val="6.0000000000000019E-3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COLA FINAL - PLANTA DE COBRE (%Cu)</a:t>
            </a:r>
          </a:p>
        </c:rich>
      </c:tx>
      <c:layout>
        <c:manualLayout>
          <c:xMode val="edge"/>
          <c:yMode val="edge"/>
          <c:x val="0.25349863929922839"/>
          <c:y val="3.6061463499126147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82041658574896"/>
          <c:y val="0.10845534970846407"/>
          <c:w val="0.84605473772824136"/>
          <c:h val="0.73502718097317699"/>
        </c:manualLayout>
      </c:layout>
      <c:bubbleChart>
        <c:varyColors val="0"/>
        <c:ser>
          <c:idx val="0"/>
          <c:order val="0"/>
          <c:tx>
            <c:strRef>
              <c:f>TABLA!$AE$3</c:f>
              <c:strCache>
                <c:ptCount val="1"/>
                <c:pt idx="0">
                  <c:v>T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/>
          </c:spPr>
          <c:invertIfNegative val="0"/>
          <c:xVal>
            <c:numRef>
              <c:f>TABLA!$AD$4:$AD$63</c:f>
              <c:numCache>
                <c:formatCode>0.000</c:formatCode>
                <c:ptCount val="60"/>
                <c:pt idx="0">
                  <c:v>4.5330308377742767E-2</c:v>
                </c:pt>
                <c:pt idx="1">
                  <c:v>4.9011528491973877E-2</c:v>
                </c:pt>
                <c:pt idx="2">
                  <c:v>3.435400128364563E-2</c:v>
                </c:pt>
                <c:pt idx="3">
                  <c:v>3.435400128364563E-2</c:v>
                </c:pt>
                <c:pt idx="4">
                  <c:v>4.1274219751358032E-2</c:v>
                </c:pt>
                <c:pt idx="5">
                  <c:v>4.2272794991731644E-2</c:v>
                </c:pt>
                <c:pt idx="6">
                  <c:v>4.3797757476568222E-2</c:v>
                </c:pt>
                <c:pt idx="7">
                  <c:v>6.2635160982608795E-2</c:v>
                </c:pt>
                <c:pt idx="8">
                  <c:v>6.6029533743858337E-2</c:v>
                </c:pt>
                <c:pt idx="9">
                  <c:v>4.7765485942363739E-2</c:v>
                </c:pt>
                <c:pt idx="10">
                  <c:v>3.6522500216960907E-2</c:v>
                </c:pt>
                <c:pt idx="11">
                  <c:v>2.6393812149763107E-2</c:v>
                </c:pt>
                <c:pt idx="12">
                  <c:v>2.9643239453434944E-2</c:v>
                </c:pt>
                <c:pt idx="13">
                  <c:v>3.2213561236858368E-2</c:v>
                </c:pt>
                <c:pt idx="14">
                  <c:v>3.4870393574237823E-2</c:v>
                </c:pt>
                <c:pt idx="15">
                  <c:v>3.715331107378006E-2</c:v>
                </c:pt>
                <c:pt idx="16">
                  <c:v>5.3573578596115112E-2</c:v>
                </c:pt>
                <c:pt idx="17">
                  <c:v>5.3573578596115112E-2</c:v>
                </c:pt>
                <c:pt idx="18">
                  <c:v>5.818692222237587E-2</c:v>
                </c:pt>
                <c:pt idx="19">
                  <c:v>5.7170253247022629E-2</c:v>
                </c:pt>
                <c:pt idx="20">
                  <c:v>5.6438181549310684E-2</c:v>
                </c:pt>
                <c:pt idx="21">
                  <c:v>5.5715203285217285E-2</c:v>
                </c:pt>
                <c:pt idx="22">
                  <c:v>5.8153107762336731E-2</c:v>
                </c:pt>
                <c:pt idx="23">
                  <c:v>4.7265607863664627E-2</c:v>
                </c:pt>
                <c:pt idx="24">
                  <c:v>3.9520304650068283E-2</c:v>
                </c:pt>
                <c:pt idx="25">
                  <c:v>4.3544553220272064E-2</c:v>
                </c:pt>
                <c:pt idx="26">
                  <c:v>4.3544553220272064E-2</c:v>
                </c:pt>
                <c:pt idx="27">
                  <c:v>4.91303950548172E-2</c:v>
                </c:pt>
                <c:pt idx="28">
                  <c:v>5.4201267659664154E-2</c:v>
                </c:pt>
                <c:pt idx="29">
                  <c:v>4.2360253632068634E-2</c:v>
                </c:pt>
                <c:pt idx="30">
                  <c:v>3.6531712859869003E-2</c:v>
                </c:pt>
                <c:pt idx="31">
                  <c:v>4.2536173015832901E-2</c:v>
                </c:pt>
                <c:pt idx="32">
                  <c:v>5.7420451194047928E-2</c:v>
                </c:pt>
                <c:pt idx="33">
                  <c:v>5.4978996515274048E-2</c:v>
                </c:pt>
                <c:pt idx="34">
                  <c:v>5.5254612118005753E-2</c:v>
                </c:pt>
                <c:pt idx="35">
                  <c:v>4.4345006346702576E-2</c:v>
                </c:pt>
                <c:pt idx="36">
                  <c:v>4.000009223818779E-2</c:v>
                </c:pt>
                <c:pt idx="37">
                  <c:v>4.8696577548980713E-2</c:v>
                </c:pt>
                <c:pt idx="38">
                  <c:v>4.5061357319355011E-2</c:v>
                </c:pt>
                <c:pt idx="39">
                  <c:v>3.5695921629667282E-2</c:v>
                </c:pt>
                <c:pt idx="40">
                  <c:v>4.8773180693387985E-2</c:v>
                </c:pt>
                <c:pt idx="41">
                  <c:v>5.5096399039030075E-2</c:v>
                </c:pt>
                <c:pt idx="42">
                  <c:v>4.8279803246259689E-2</c:v>
                </c:pt>
                <c:pt idx="43">
                  <c:v>4.8279803246259689E-2</c:v>
                </c:pt>
                <c:pt idx="44">
                  <c:v>4.9260232597589493E-2</c:v>
                </c:pt>
                <c:pt idx="45">
                  <c:v>4.7958869487047195E-2</c:v>
                </c:pt>
                <c:pt idx="46">
                  <c:v>5.2695110440254211E-2</c:v>
                </c:pt>
                <c:pt idx="47">
                  <c:v>5.2739962935447693E-2</c:v>
                </c:pt>
                <c:pt idx="48">
                  <c:v>5.8412514626979828E-2</c:v>
                </c:pt>
                <c:pt idx="49">
                  <c:v>6.5444730222225189E-2</c:v>
                </c:pt>
                <c:pt idx="50">
                  <c:v>6.17174431681633E-2</c:v>
                </c:pt>
                <c:pt idx="51">
                  <c:v>6.17174431681633E-2</c:v>
                </c:pt>
                <c:pt idx="52">
                  <c:v>6.17174431681633E-2</c:v>
                </c:pt>
                <c:pt idx="53">
                  <c:v>6.17174431681633E-2</c:v>
                </c:pt>
                <c:pt idx="54">
                  <c:v>6.17174431681633E-2</c:v>
                </c:pt>
                <c:pt idx="55">
                  <c:v>6.17174431681633E-2</c:v>
                </c:pt>
                <c:pt idx="56">
                  <c:v>6.17174431681633E-2</c:v>
                </c:pt>
                <c:pt idx="57">
                  <c:v>6.17174431681633E-2</c:v>
                </c:pt>
                <c:pt idx="58">
                  <c:v>6.17174431681633E-2</c:v>
                </c:pt>
                <c:pt idx="59">
                  <c:v>4.5126523822546005E-2</c:v>
                </c:pt>
              </c:numCache>
            </c:numRef>
          </c:xVal>
          <c:yVal>
            <c:numRef>
              <c:f>TABLA!$AE$4:$AE$63</c:f>
              <c:numCache>
                <c:formatCode>0.000</c:formatCode>
                <c:ptCount val="60"/>
                <c:pt idx="0">
                  <c:v>4.4999999999999998E-2</c:v>
                </c:pt>
                <c:pt idx="1">
                  <c:v>4.2999999999999997E-2</c:v>
                </c:pt>
                <c:pt idx="2">
                  <c:v>3.2000000000000001E-2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4.1000000000000002E-2</c:v>
                </c:pt>
                <c:pt idx="6">
                  <c:v>4.2000000000000003E-2</c:v>
                </c:pt>
                <c:pt idx="7">
                  <c:v>4.9000000000000002E-2</c:v>
                </c:pt>
                <c:pt idx="8">
                  <c:v>6.6000000000000003E-2</c:v>
                </c:pt>
                <c:pt idx="9">
                  <c:v>0.04</c:v>
                </c:pt>
                <c:pt idx="10">
                  <c:v>0.03</c:v>
                </c:pt>
                <c:pt idx="11">
                  <c:v>2.7E-2</c:v>
                </c:pt>
                <c:pt idx="12">
                  <c:v>3.5000000000000003E-2</c:v>
                </c:pt>
                <c:pt idx="13">
                  <c:v>4.5999999999999999E-2</c:v>
                </c:pt>
                <c:pt idx="14">
                  <c:v>3.5999999999999997E-2</c:v>
                </c:pt>
                <c:pt idx="15">
                  <c:v>3.4000000000000002E-2</c:v>
                </c:pt>
                <c:pt idx="16">
                  <c:v>3.4000000000000002E-2</c:v>
                </c:pt>
                <c:pt idx="17">
                  <c:v>4.1000000000000002E-2</c:v>
                </c:pt>
                <c:pt idx="18">
                  <c:v>3.6999999999999998E-2</c:v>
                </c:pt>
                <c:pt idx="19">
                  <c:v>4.7E-2</c:v>
                </c:pt>
                <c:pt idx="20">
                  <c:v>2.9000000000000001E-2</c:v>
                </c:pt>
                <c:pt idx="21">
                  <c:v>4.8000000000000001E-2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0.04</c:v>
                </c:pt>
                <c:pt idx="25">
                  <c:v>3.6999999999999998E-2</c:v>
                </c:pt>
                <c:pt idx="26">
                  <c:v>4.9000000000000002E-2</c:v>
                </c:pt>
                <c:pt idx="27">
                  <c:v>4.9000000000000002E-2</c:v>
                </c:pt>
                <c:pt idx="28">
                  <c:v>3.9E-2</c:v>
                </c:pt>
                <c:pt idx="29">
                  <c:v>2.7E-2</c:v>
                </c:pt>
                <c:pt idx="30">
                  <c:v>2.3E-2</c:v>
                </c:pt>
                <c:pt idx="31">
                  <c:v>3.9E-2</c:v>
                </c:pt>
                <c:pt idx="32">
                  <c:v>4.4999999999999998E-2</c:v>
                </c:pt>
                <c:pt idx="33">
                  <c:v>4.9000000000000002E-2</c:v>
                </c:pt>
                <c:pt idx="34">
                  <c:v>0.04</c:v>
                </c:pt>
                <c:pt idx="35">
                  <c:v>0</c:v>
                </c:pt>
                <c:pt idx="36">
                  <c:v>5.5E-2</c:v>
                </c:pt>
                <c:pt idx="37">
                  <c:v>5.8999999999999997E-2</c:v>
                </c:pt>
                <c:pt idx="38">
                  <c:v>5.0999999999999997E-2</c:v>
                </c:pt>
                <c:pt idx="39">
                  <c:v>3.1E-2</c:v>
                </c:pt>
                <c:pt idx="40">
                  <c:v>0.05</c:v>
                </c:pt>
                <c:pt idx="41">
                  <c:v>5.5E-2</c:v>
                </c:pt>
                <c:pt idx="42">
                  <c:v>4.5999999999999999E-2</c:v>
                </c:pt>
                <c:pt idx="43">
                  <c:v>3.9E-2</c:v>
                </c:pt>
                <c:pt idx="44">
                  <c:v>3.6999999999999998E-2</c:v>
                </c:pt>
                <c:pt idx="45">
                  <c:v>5.3999999999999999E-2</c:v>
                </c:pt>
                <c:pt idx="46">
                  <c:v>4.8000000000000001E-2</c:v>
                </c:pt>
                <c:pt idx="47">
                  <c:v>5.1999999999999998E-2</c:v>
                </c:pt>
                <c:pt idx="48">
                  <c:v>5.8999999999999997E-2</c:v>
                </c:pt>
                <c:pt idx="49">
                  <c:v>5.0999999999999997E-2</c:v>
                </c:pt>
                <c:pt idx="50">
                  <c:v>5.3999999999999999E-2</c:v>
                </c:pt>
                <c:pt idx="51">
                  <c:v>5.1999999999999998E-2</c:v>
                </c:pt>
                <c:pt idx="52">
                  <c:v>3.5999999999999997E-2</c:v>
                </c:pt>
                <c:pt idx="53">
                  <c:v>5.2999999999999999E-2</c:v>
                </c:pt>
                <c:pt idx="54">
                  <c:v>4.4999999999999998E-2</c:v>
                </c:pt>
                <c:pt idx="55">
                  <c:v>6.3E-2</c:v>
                </c:pt>
                <c:pt idx="56">
                  <c:v>5.2999999999999999E-2</c:v>
                </c:pt>
                <c:pt idx="57">
                  <c:v>6.2E-2</c:v>
                </c:pt>
                <c:pt idx="58">
                  <c:v>5.1999999999999998E-2</c:v>
                </c:pt>
                <c:pt idx="59">
                  <c:v>4.9000000000000002E-2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5AFD-412E-B3F3-72C43F8C01D2}"/>
            </c:ext>
          </c:extLst>
        </c:ser>
        <c:ser>
          <c:idx val="1"/>
          <c:order val="1"/>
          <c:tx>
            <c:strRef>
              <c:f>Calculos!$N$5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tx1">
                    <a:alpha val="52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Calculos!$M$6:$M$29</c:f>
              <c:numCache>
                <c:formatCode>0.000</c:formatCode>
                <c:ptCount val="24"/>
                <c:pt idx="0">
                  <c:v>1.38E-2</c:v>
                </c:pt>
                <c:pt idx="1">
                  <c:v>1.6622727272727272E-2</c:v>
                </c:pt>
                <c:pt idx="2">
                  <c:v>1.9445454545454544E-2</c:v>
                </c:pt>
                <c:pt idx="3">
                  <c:v>2.2268181818181815E-2</c:v>
                </c:pt>
                <c:pt idx="4">
                  <c:v>2.5090909090909087E-2</c:v>
                </c:pt>
                <c:pt idx="5">
                  <c:v>2.7913636363636359E-2</c:v>
                </c:pt>
                <c:pt idx="6">
                  <c:v>3.0736363636363631E-2</c:v>
                </c:pt>
                <c:pt idx="7">
                  <c:v>3.3559090909090906E-2</c:v>
                </c:pt>
                <c:pt idx="8">
                  <c:v>3.6381818181818182E-2</c:v>
                </c:pt>
                <c:pt idx="9">
                  <c:v>3.9204545454545457E-2</c:v>
                </c:pt>
                <c:pt idx="10">
                  <c:v>4.2027272727272733E-2</c:v>
                </c:pt>
                <c:pt idx="11">
                  <c:v>4.4850000000000008E-2</c:v>
                </c:pt>
                <c:pt idx="12">
                  <c:v>4.7672727272727283E-2</c:v>
                </c:pt>
                <c:pt idx="13">
                  <c:v>5.0495454545454559E-2</c:v>
                </c:pt>
                <c:pt idx="14">
                  <c:v>5.3318181818181834E-2</c:v>
                </c:pt>
                <c:pt idx="15">
                  <c:v>5.6140909090909109E-2</c:v>
                </c:pt>
                <c:pt idx="16">
                  <c:v>5.8963636363636385E-2</c:v>
                </c:pt>
                <c:pt idx="17">
                  <c:v>6.178636363636366E-2</c:v>
                </c:pt>
                <c:pt idx="18">
                  <c:v>6.4609090909090935E-2</c:v>
                </c:pt>
                <c:pt idx="19">
                  <c:v>6.7431818181818204E-2</c:v>
                </c:pt>
                <c:pt idx="20">
                  <c:v>7.0254545454545472E-2</c:v>
                </c:pt>
                <c:pt idx="21">
                  <c:v>7.3077272727272741E-2</c:v>
                </c:pt>
                <c:pt idx="22">
                  <c:v>0</c:v>
                </c:pt>
                <c:pt idx="23">
                  <c:v>0.1</c:v>
                </c:pt>
              </c:numCache>
            </c:numRef>
          </c:xVal>
          <c:yVal>
            <c:numRef>
              <c:f>Calculos!$N$6:$N$29</c:f>
              <c:numCache>
                <c:formatCode>0.000</c:formatCode>
                <c:ptCount val="24"/>
                <c:pt idx="0">
                  <c:v>1.38E-2</c:v>
                </c:pt>
                <c:pt idx="1">
                  <c:v>1.6622727272727272E-2</c:v>
                </c:pt>
                <c:pt idx="2">
                  <c:v>1.9445454545454544E-2</c:v>
                </c:pt>
                <c:pt idx="3">
                  <c:v>2.2268181818181815E-2</c:v>
                </c:pt>
                <c:pt idx="4">
                  <c:v>2.5090909090909087E-2</c:v>
                </c:pt>
                <c:pt idx="5">
                  <c:v>2.7913636363636359E-2</c:v>
                </c:pt>
                <c:pt idx="6">
                  <c:v>3.0736363636363631E-2</c:v>
                </c:pt>
                <c:pt idx="7">
                  <c:v>3.3559090909090906E-2</c:v>
                </c:pt>
                <c:pt idx="8">
                  <c:v>3.6381818181818182E-2</c:v>
                </c:pt>
                <c:pt idx="9">
                  <c:v>3.9204545454545457E-2</c:v>
                </c:pt>
                <c:pt idx="10">
                  <c:v>4.2027272727272733E-2</c:v>
                </c:pt>
                <c:pt idx="11">
                  <c:v>4.4850000000000008E-2</c:v>
                </c:pt>
                <c:pt idx="12">
                  <c:v>4.7672727272727283E-2</c:v>
                </c:pt>
                <c:pt idx="13">
                  <c:v>5.0495454545454559E-2</c:v>
                </c:pt>
                <c:pt idx="14">
                  <c:v>5.3318181818181834E-2</c:v>
                </c:pt>
                <c:pt idx="15">
                  <c:v>5.6140909090909109E-2</c:v>
                </c:pt>
                <c:pt idx="16">
                  <c:v>5.8963636363636385E-2</c:v>
                </c:pt>
                <c:pt idx="17">
                  <c:v>6.178636363636366E-2</c:v>
                </c:pt>
                <c:pt idx="18">
                  <c:v>6.4609090909090935E-2</c:v>
                </c:pt>
                <c:pt idx="19">
                  <c:v>6.7431818181818204E-2</c:v>
                </c:pt>
                <c:pt idx="20">
                  <c:v>7.0254545454545472E-2</c:v>
                </c:pt>
                <c:pt idx="21">
                  <c:v>7.3077272727272741E-2</c:v>
                </c:pt>
                <c:pt idx="22">
                  <c:v>0</c:v>
                </c:pt>
                <c:pt idx="23">
                  <c:v>0.1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5AFD-412E-B3F3-72C43F8C01D2}"/>
            </c:ext>
          </c:extLst>
        </c:ser>
        <c:ser>
          <c:idx val="2"/>
          <c:order val="2"/>
          <c:tx>
            <c:strRef>
              <c:f>Calculos!$O$4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Calculos!$O$6:$O$29</c:f>
              <c:numCache>
                <c:formatCode>0.000</c:formatCode>
                <c:ptCount val="24"/>
                <c:pt idx="0">
                  <c:v>5.112272727272724E-3</c:v>
                </c:pt>
                <c:pt idx="1">
                  <c:v>7.9349999999999959E-3</c:v>
                </c:pt>
                <c:pt idx="2">
                  <c:v>1.0757727272727268E-2</c:v>
                </c:pt>
                <c:pt idx="3">
                  <c:v>1.358045454545454E-2</c:v>
                </c:pt>
                <c:pt idx="4">
                  <c:v>1.640318181818181E-2</c:v>
                </c:pt>
                <c:pt idx="5">
                  <c:v>1.9225909090909085E-2</c:v>
                </c:pt>
                <c:pt idx="6">
                  <c:v>2.2048636363636354E-2</c:v>
                </c:pt>
                <c:pt idx="7">
                  <c:v>2.4871363636363629E-2</c:v>
                </c:pt>
                <c:pt idx="8">
                  <c:v>2.7694090909090904E-2</c:v>
                </c:pt>
                <c:pt idx="9">
                  <c:v>3.051681818181818E-2</c:v>
                </c:pt>
                <c:pt idx="10">
                  <c:v>3.3339545454545455E-2</c:v>
                </c:pt>
                <c:pt idx="11">
                  <c:v>3.616227272727273E-2</c:v>
                </c:pt>
                <c:pt idx="12">
                  <c:v>3.8985000000000006E-2</c:v>
                </c:pt>
                <c:pt idx="13">
                  <c:v>4.1807727272727281E-2</c:v>
                </c:pt>
                <c:pt idx="14">
                  <c:v>4.4630454545454556E-2</c:v>
                </c:pt>
                <c:pt idx="15">
                  <c:v>4.7453181818181832E-2</c:v>
                </c:pt>
                <c:pt idx="16">
                  <c:v>5.0275909090909107E-2</c:v>
                </c:pt>
                <c:pt idx="17">
                  <c:v>5.3098636363636383E-2</c:v>
                </c:pt>
                <c:pt idx="18">
                  <c:v>5.5921363636363658E-2</c:v>
                </c:pt>
                <c:pt idx="19">
                  <c:v>5.8744090909090926E-2</c:v>
                </c:pt>
                <c:pt idx="20">
                  <c:v>6.1566818181818195E-2</c:v>
                </c:pt>
                <c:pt idx="21">
                  <c:v>6.4389545454545463E-2</c:v>
                </c:pt>
                <c:pt idx="22">
                  <c:v>-8.6877272727272758E-3</c:v>
                </c:pt>
                <c:pt idx="23">
                  <c:v>9.1312272727272728E-2</c:v>
                </c:pt>
              </c:numCache>
            </c:numRef>
          </c:xVal>
          <c:yVal>
            <c:numRef>
              <c:f>Calculos!$P$6:$P$29</c:f>
              <c:numCache>
                <c:formatCode>0.000</c:formatCode>
                <c:ptCount val="24"/>
                <c:pt idx="0">
                  <c:v>1.38E-2</c:v>
                </c:pt>
                <c:pt idx="1">
                  <c:v>1.6622727272727272E-2</c:v>
                </c:pt>
                <c:pt idx="2">
                  <c:v>1.9445454545454544E-2</c:v>
                </c:pt>
                <c:pt idx="3">
                  <c:v>2.2268181818181815E-2</c:v>
                </c:pt>
                <c:pt idx="4">
                  <c:v>2.5090909090909087E-2</c:v>
                </c:pt>
                <c:pt idx="5">
                  <c:v>2.7913636363636359E-2</c:v>
                </c:pt>
                <c:pt idx="6">
                  <c:v>3.0736363636363631E-2</c:v>
                </c:pt>
                <c:pt idx="7">
                  <c:v>3.3559090909090906E-2</c:v>
                </c:pt>
                <c:pt idx="8">
                  <c:v>3.6381818181818182E-2</c:v>
                </c:pt>
                <c:pt idx="9">
                  <c:v>3.9204545454545457E-2</c:v>
                </c:pt>
                <c:pt idx="10">
                  <c:v>4.2027272727272733E-2</c:v>
                </c:pt>
                <c:pt idx="11">
                  <c:v>4.4850000000000008E-2</c:v>
                </c:pt>
                <c:pt idx="12">
                  <c:v>4.7672727272727283E-2</c:v>
                </c:pt>
                <c:pt idx="13">
                  <c:v>5.0495454545454559E-2</c:v>
                </c:pt>
                <c:pt idx="14">
                  <c:v>5.3318181818181834E-2</c:v>
                </c:pt>
                <c:pt idx="15">
                  <c:v>5.6140909090909109E-2</c:v>
                </c:pt>
                <c:pt idx="16">
                  <c:v>5.8963636363636385E-2</c:v>
                </c:pt>
                <c:pt idx="17">
                  <c:v>6.178636363636366E-2</c:v>
                </c:pt>
                <c:pt idx="18">
                  <c:v>6.4609090909090935E-2</c:v>
                </c:pt>
                <c:pt idx="19">
                  <c:v>6.7431818181818204E-2</c:v>
                </c:pt>
                <c:pt idx="20">
                  <c:v>7.0254545454545472E-2</c:v>
                </c:pt>
                <c:pt idx="21">
                  <c:v>7.3077272727272741E-2</c:v>
                </c:pt>
                <c:pt idx="22">
                  <c:v>0</c:v>
                </c:pt>
                <c:pt idx="23">
                  <c:v>0.1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5AFD-412E-B3F3-72C43F8C01D2}"/>
            </c:ext>
          </c:extLst>
        </c:ser>
        <c:ser>
          <c:idx val="3"/>
          <c:order val="3"/>
          <c:tx>
            <c:strRef>
              <c:f>Calculos!$Q$4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Calculos!$Q$6:$Q$29</c:f>
              <c:numCache>
                <c:formatCode>0.000</c:formatCode>
                <c:ptCount val="24"/>
                <c:pt idx="0">
                  <c:v>2.2487727272727277E-2</c:v>
                </c:pt>
                <c:pt idx="1">
                  <c:v>2.5310454545454546E-2</c:v>
                </c:pt>
                <c:pt idx="2">
                  <c:v>2.8133181818181821E-2</c:v>
                </c:pt>
                <c:pt idx="3">
                  <c:v>3.0955909090909089E-2</c:v>
                </c:pt>
                <c:pt idx="4">
                  <c:v>3.3778636363636365E-2</c:v>
                </c:pt>
                <c:pt idx="5">
                  <c:v>3.6601363636363633E-2</c:v>
                </c:pt>
                <c:pt idx="6">
                  <c:v>3.9424090909090909E-2</c:v>
                </c:pt>
                <c:pt idx="7">
                  <c:v>4.2246818181818184E-2</c:v>
                </c:pt>
                <c:pt idx="8">
                  <c:v>4.5069545454545459E-2</c:v>
                </c:pt>
                <c:pt idx="9">
                  <c:v>4.7892272727272735E-2</c:v>
                </c:pt>
                <c:pt idx="10">
                  <c:v>5.071500000000001E-2</c:v>
                </c:pt>
                <c:pt idx="11">
                  <c:v>5.3537727272727285E-2</c:v>
                </c:pt>
                <c:pt idx="12">
                  <c:v>5.6360454545454561E-2</c:v>
                </c:pt>
                <c:pt idx="13">
                  <c:v>5.9183181818181836E-2</c:v>
                </c:pt>
                <c:pt idx="14">
                  <c:v>6.2005909090909112E-2</c:v>
                </c:pt>
                <c:pt idx="15">
                  <c:v>6.482863636363638E-2</c:v>
                </c:pt>
                <c:pt idx="16">
                  <c:v>6.7651363636363662E-2</c:v>
                </c:pt>
                <c:pt idx="17">
                  <c:v>7.0474090909090931E-2</c:v>
                </c:pt>
                <c:pt idx="18">
                  <c:v>7.3296818181818213E-2</c:v>
                </c:pt>
                <c:pt idx="19">
                  <c:v>7.6119545454545481E-2</c:v>
                </c:pt>
                <c:pt idx="20">
                  <c:v>7.894227272727275E-2</c:v>
                </c:pt>
                <c:pt idx="21">
                  <c:v>8.1765000000000018E-2</c:v>
                </c:pt>
                <c:pt idx="22">
                  <c:v>8.6877272727272758E-3</c:v>
                </c:pt>
                <c:pt idx="23">
                  <c:v>0.10868772727272728</c:v>
                </c:pt>
              </c:numCache>
            </c:numRef>
          </c:xVal>
          <c:yVal>
            <c:numRef>
              <c:f>Calculos!$R$6:$R$29</c:f>
              <c:numCache>
                <c:formatCode>0.000</c:formatCode>
                <c:ptCount val="24"/>
                <c:pt idx="0">
                  <c:v>1.38E-2</c:v>
                </c:pt>
                <c:pt idx="1">
                  <c:v>1.6622727272727272E-2</c:v>
                </c:pt>
                <c:pt idx="2">
                  <c:v>1.9445454545454544E-2</c:v>
                </c:pt>
                <c:pt idx="3">
                  <c:v>2.2268181818181815E-2</c:v>
                </c:pt>
                <c:pt idx="4">
                  <c:v>2.5090909090909087E-2</c:v>
                </c:pt>
                <c:pt idx="5">
                  <c:v>2.7913636363636359E-2</c:v>
                </c:pt>
                <c:pt idx="6">
                  <c:v>3.0736363636363631E-2</c:v>
                </c:pt>
                <c:pt idx="7">
                  <c:v>3.3559090909090906E-2</c:v>
                </c:pt>
                <c:pt idx="8">
                  <c:v>3.6381818181818182E-2</c:v>
                </c:pt>
                <c:pt idx="9">
                  <c:v>3.9204545454545457E-2</c:v>
                </c:pt>
                <c:pt idx="10">
                  <c:v>4.2027272727272733E-2</c:v>
                </c:pt>
                <c:pt idx="11">
                  <c:v>4.4850000000000008E-2</c:v>
                </c:pt>
                <c:pt idx="12">
                  <c:v>4.7672727272727283E-2</c:v>
                </c:pt>
                <c:pt idx="13">
                  <c:v>5.0495454545454559E-2</c:v>
                </c:pt>
                <c:pt idx="14">
                  <c:v>5.3318181818181834E-2</c:v>
                </c:pt>
                <c:pt idx="15">
                  <c:v>5.6140909090909109E-2</c:v>
                </c:pt>
                <c:pt idx="16">
                  <c:v>5.8963636363636385E-2</c:v>
                </c:pt>
                <c:pt idx="17">
                  <c:v>6.178636363636366E-2</c:v>
                </c:pt>
                <c:pt idx="18">
                  <c:v>6.4609090909090935E-2</c:v>
                </c:pt>
                <c:pt idx="19">
                  <c:v>6.7431818181818204E-2</c:v>
                </c:pt>
                <c:pt idx="20">
                  <c:v>7.0254545454545472E-2</c:v>
                </c:pt>
                <c:pt idx="21">
                  <c:v>7.3077272727272741E-2</c:v>
                </c:pt>
                <c:pt idx="22">
                  <c:v>0</c:v>
                </c:pt>
                <c:pt idx="23">
                  <c:v>0.1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5AFD-412E-B3F3-72C43F8C01D2}"/>
            </c:ext>
          </c:extLst>
        </c:ser>
        <c:ser>
          <c:idx val="4"/>
          <c:order val="4"/>
          <c:tx>
            <c:v>H labo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TABLA!$AD$64</c:f>
              <c:numCache>
                <c:formatCode>0.000</c:formatCode>
                <c:ptCount val="1"/>
                <c:pt idx="0">
                  <c:v>4.7551747411489487E-2</c:v>
                </c:pt>
              </c:numCache>
            </c:numRef>
          </c:xVal>
          <c:yVal>
            <c:numRef>
              <c:f>TABLA!$AE$64</c:f>
              <c:numCache>
                <c:formatCode>0.000</c:formatCode>
                <c:ptCount val="1"/>
                <c:pt idx="0">
                  <c:v>5.8000000000000003E-2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766E-4B31-A874-E7B9B169F67E}"/>
            </c:ext>
          </c:extLst>
        </c:ser>
        <c:ser>
          <c:idx val="5"/>
          <c:order val="5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TABLA!$AD$65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TABLA!$AE$65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766E-4B31-A874-E7B9B169F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34296168"/>
        <c:axId val="434283232"/>
        <c:extLst>
          <c:ext xmlns:c15="http://schemas.microsoft.com/office/drawing/2012/chart" uri="{02D57815-91ED-43cb-92C2-25804820EDAC}">
            <c15:filteredBubbleSeries>
              <c15:ser>
                <c:idx val="6"/>
                <c:order val="6"/>
                <c:tx>
                  <c:v>5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>
                      <c:ext uri="{02D57815-91ED-43cb-92C2-25804820EDAC}">
                        <c15:formulaRef>
                          <c15:sqref>TABLA!$AD$5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4.9011528491973877E-2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TABLA!$AE$5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>
                  <c:ext xmlns:c16="http://schemas.microsoft.com/office/drawing/2014/chart" uri="{C3380CC4-5D6E-409C-BE32-E72D297353CC}">
                    <c16:uniqueId val="{00000005-766E-4B31-A874-E7B9B169F67E}"/>
                  </c:ext>
                </c:extLst>
              </c15:ser>
            </c15:filteredBubbleSeries>
            <c15:filteredBubbleSeries>
              <c15:ser>
                <c:idx val="7"/>
                <c:order val="7"/>
                <c:tx>
                  <c:v>6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3.435400128364563E-2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3.2000000000000001E-2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66E-4B31-A874-E7B9B169F67E}"/>
                  </c:ext>
                </c:extLst>
              </c15:ser>
            </c15:filteredBubbleSeries>
            <c15:filteredBubbleSeries>
              <c15:ser>
                <c:idx val="8"/>
                <c:order val="8"/>
                <c:tx>
                  <c:v>7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3.435400128364563E-2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6.4000000000000001E-2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66E-4B31-A874-E7B9B169F67E}"/>
                  </c:ext>
                </c:extLst>
              </c15:ser>
            </c15:filteredBubbleSeries>
            <c15:filteredBubbleSeries>
              <c15:ser>
                <c:idx val="9"/>
                <c:order val="9"/>
                <c:tx>
                  <c:v>8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4.1274219751358032E-2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6.4000000000000001E-2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66E-4B31-A874-E7B9B169F67E}"/>
                  </c:ext>
                </c:extLst>
              </c15:ser>
            </c15:filteredBubbleSeries>
            <c15:filteredBubbleSeries>
              <c15:ser>
                <c:idx val="10"/>
                <c:order val="10"/>
                <c:tx>
                  <c:v>9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4.2272794991731644E-2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4.1000000000000002E-2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66E-4B31-A874-E7B9B169F67E}"/>
                  </c:ext>
                </c:extLst>
              </c15:ser>
            </c15:filteredBubbleSeries>
            <c15:filteredBubbleSeries>
              <c15:ser>
                <c:idx val="12"/>
                <c:order val="11"/>
                <c:tx>
                  <c:v>11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6.2635160982608795E-2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66E-4B31-A874-E7B9B169F67E}"/>
                  </c:ext>
                </c:extLst>
              </c15:ser>
            </c15:filteredBubbleSeries>
            <c15:filteredBubbleSeries>
              <c15:ser>
                <c:idx val="13"/>
                <c:order val="12"/>
                <c:tx>
                  <c:v>12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6.6029533743858337E-2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6.6000000000000003E-2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66E-4B31-A874-E7B9B169F67E}"/>
                  </c:ext>
                </c:extLst>
              </c15:ser>
            </c15:filteredBubbleSeries>
            <c15:filteredBubbleSeries>
              <c15:ser>
                <c:idx val="14"/>
                <c:order val="13"/>
                <c:tx>
                  <c:v>13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4.7765485942363739E-2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66E-4B31-A874-E7B9B169F67E}"/>
                  </c:ext>
                </c:extLst>
              </c15:ser>
            </c15:filteredBubbleSeries>
            <c15:filteredBubbleSeries>
              <c15:ser>
                <c:idx val="15"/>
                <c:order val="14"/>
                <c:tx>
                  <c:v>14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3.6522500216960907E-2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66E-4B31-A874-E7B9B169F67E}"/>
                  </c:ext>
                </c:extLst>
              </c15:ser>
            </c15:filteredBubbleSeries>
            <c15:filteredBubbleSeries>
              <c15:ser>
                <c:idx val="16"/>
                <c:order val="15"/>
                <c:tx>
                  <c:v>15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2.6393812149763107E-2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66E-4B31-A874-E7B9B169F67E}"/>
                  </c:ext>
                </c:extLst>
              </c15:ser>
            </c15:filteredBubbleSeries>
            <c15:filteredBubbleSeries>
              <c15:ser>
                <c:idx val="17"/>
                <c:order val="16"/>
                <c:tx>
                  <c:v>16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2.9643239453434944E-2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3.5000000000000003E-2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66E-4B31-A874-E7B9B169F67E}"/>
                  </c:ext>
                </c:extLst>
              </c15:ser>
            </c15:filteredBubbleSeries>
            <c15:filteredBubbleSeries>
              <c15:ser>
                <c:idx val="18"/>
                <c:order val="17"/>
                <c:tx>
                  <c:v>17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3.2213561236858368E-2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66E-4B31-A874-E7B9B169F67E}"/>
                  </c:ext>
                </c:extLst>
              </c15:ser>
            </c15:filteredBubbleSeries>
            <c15:filteredBubbleSeries>
              <c15:ser>
                <c:idx val="19"/>
                <c:order val="18"/>
                <c:tx>
                  <c:v>18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3.4870393574237823E-2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66E-4B31-A874-E7B9B169F67E}"/>
                  </c:ext>
                </c:extLst>
              </c15:ser>
            </c15:filteredBubbleSeries>
            <c15:filteredBubbleSeries>
              <c15:ser>
                <c:idx val="20"/>
                <c:order val="19"/>
                <c:tx>
                  <c:v>19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3.715331107378006E-2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66E-4B31-A874-E7B9B169F67E}"/>
                  </c:ext>
                </c:extLst>
              </c15:ser>
            </c15:filteredBubbleSeries>
            <c15:filteredBubbleSeries>
              <c15:ser>
                <c:idx val="21"/>
                <c:order val="20"/>
                <c:tx>
                  <c:v>20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5.3573578596115112E-2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66E-4B31-A874-E7B9B169F67E}"/>
                  </c:ext>
                </c:extLst>
              </c15:ser>
            </c15:filteredBubbleSeries>
            <c15:filteredBubbleSeries>
              <c15:ser>
                <c:idx val="22"/>
                <c:order val="21"/>
                <c:tx>
                  <c:v>21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5.3573578596115112E-2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4.1000000000000002E-2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66E-4B31-A874-E7B9B169F67E}"/>
                  </c:ext>
                </c:extLst>
              </c15:ser>
            </c15:filteredBubbleSeries>
            <c15:filteredBubbleSeries>
              <c15:ser>
                <c:idx val="23"/>
                <c:order val="22"/>
                <c:tx>
                  <c:v>22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5.818692222237587E-2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66E-4B31-A874-E7B9B169F67E}"/>
                  </c:ext>
                </c:extLst>
              </c15:ser>
            </c15:filteredBubbleSeries>
            <c15:filteredBubbleSeries>
              <c15:ser>
                <c:idx val="24"/>
                <c:order val="23"/>
                <c:tx>
                  <c:v>23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5.7170253247022629E-2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66E-4B31-A874-E7B9B169F67E}"/>
                  </c:ext>
                </c:extLst>
              </c15:ser>
            </c15:filteredBubbleSeries>
            <c15:filteredBubbleSeries>
              <c15:ser>
                <c:idx val="25"/>
                <c:order val="24"/>
                <c:tx>
                  <c:v>24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5.6438181549310684E-2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66E-4B31-A874-E7B9B169F67E}"/>
                  </c:ext>
                </c:extLst>
              </c15:ser>
            </c15:filteredBubbleSeries>
            <c15:filteredBubbleSeries>
              <c15:ser>
                <c:idx val="26"/>
                <c:order val="25"/>
                <c:tx>
                  <c:v>25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5.5715203285217285E-2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66E-4B31-A874-E7B9B169F67E}"/>
                  </c:ext>
                </c:extLst>
              </c15:ser>
            </c15:filteredBubbleSeries>
            <c15:filteredBubbleSeries>
              <c15:ser>
                <c:idx val="27"/>
                <c:order val="26"/>
                <c:tx>
                  <c:v>26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5.8153107762336731E-2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66E-4B31-A874-E7B9B169F67E}"/>
                  </c:ext>
                </c:extLst>
              </c15:ser>
            </c15:filteredBubbleSeries>
            <c15:filteredBubbleSeries>
              <c15:ser>
                <c:idx val="28"/>
                <c:order val="27"/>
                <c:tx>
                  <c:v>27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4.7265607863664627E-2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5.6000000000000001E-2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66E-4B31-A874-E7B9B169F67E}"/>
                  </c:ext>
                </c:extLst>
              </c15:ser>
            </c15:filteredBubbleSeries>
            <c15:filteredBubbleSeries>
              <c15:ser>
                <c:idx val="29"/>
                <c:order val="28"/>
                <c:tx>
                  <c:v>28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3.9520304650068283E-2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66E-4B31-A874-E7B9B169F67E}"/>
                  </c:ext>
                </c:extLst>
              </c15:ser>
            </c15:filteredBubbleSeries>
            <c15:filteredBubbleSeries>
              <c15:ser>
                <c:idx val="30"/>
                <c:order val="29"/>
                <c:tx>
                  <c:v>29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4.3544553220272064E-2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66E-4B31-A874-E7B9B169F67E}"/>
                  </c:ext>
                </c:extLst>
              </c15:ser>
            </c15:filteredBubbleSeries>
            <c15:filteredBubbleSeries>
              <c15:ser>
                <c:idx val="31"/>
                <c:order val="30"/>
                <c:tx>
                  <c:v>30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4.3544553220272064E-2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66E-4B31-A874-E7B9B169F67E}"/>
                  </c:ext>
                </c:extLst>
              </c15:ser>
            </c15:filteredBubbleSeries>
            <c15:filteredBubbleSeries>
              <c15:ser>
                <c:idx val="32"/>
                <c:order val="31"/>
                <c:tx>
                  <c:v>31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4.91303950548172E-2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66E-4B31-A874-E7B9B169F67E}"/>
                  </c:ext>
                </c:extLst>
              </c15:ser>
            </c15:filteredBubbleSeries>
            <c15:filteredBubbleSeries>
              <c15:ser>
                <c:idx val="33"/>
                <c:order val="32"/>
                <c:tx>
                  <c:v>32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5.4201267659664154E-2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66E-4B31-A874-E7B9B169F67E}"/>
                  </c:ext>
                </c:extLst>
              </c15:ser>
            </c15:filteredBubbleSeries>
            <c15:filteredBubbleSeries>
              <c15:ser>
                <c:idx val="34"/>
                <c:order val="33"/>
                <c:tx>
                  <c:v>33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4.2360253632068634E-2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66E-4B31-A874-E7B9B169F67E}"/>
                  </c:ext>
                </c:extLst>
              </c15:ser>
            </c15:filteredBubbleSeries>
            <c15:filteredBubbleSeries>
              <c15:ser>
                <c:idx val="35"/>
                <c:order val="34"/>
                <c:tx>
                  <c:v>34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3.6531712859869003E-2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66E-4B31-A874-E7B9B169F67E}"/>
                  </c:ext>
                </c:extLst>
              </c15:ser>
            </c15:filteredBubbleSeries>
            <c15:filteredBubbleSeries>
              <c15:ser>
                <c:idx val="36"/>
                <c:order val="35"/>
                <c:tx>
                  <c:v>35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4.2536173015832901E-2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66E-4B31-A874-E7B9B169F67E}"/>
                  </c:ext>
                </c:extLst>
              </c15:ser>
            </c15:filteredBubbleSeries>
            <c15:filteredBubbleSeries>
              <c15:ser>
                <c:idx val="37"/>
                <c:order val="36"/>
                <c:tx>
                  <c:v>36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Pt>
                  <c:idx val="0"/>
                  <c:invertIfNegative val="0"/>
                  <c:bubble3D val="1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766E-4B31-A874-E7B9B169F67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5.7420451194047928E-2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66E-4B31-A874-E7B9B169F67E}"/>
                  </c:ext>
                </c:extLst>
              </c15:ser>
            </c15:filteredBubbleSeries>
            <c15:filteredBubbleSeries>
              <c15:ser>
                <c:idx val="38"/>
                <c:order val="37"/>
                <c:tx>
                  <c:v>37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5.4978996515274048E-2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66E-4B31-A874-E7B9B169F67E}"/>
                  </c:ext>
                </c:extLst>
              </c15:ser>
            </c15:filteredBubbleSeries>
            <c15:filteredBubbleSeries>
              <c15:ser>
                <c:idx val="39"/>
                <c:order val="38"/>
                <c:tx>
                  <c:v>38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5.5254612118005753E-2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66E-4B31-A874-E7B9B169F67E}"/>
                  </c:ext>
                </c:extLst>
              </c15:ser>
            </c15:filteredBubbleSeries>
            <c15:filteredBubbleSeries>
              <c15:ser>
                <c:idx val="40"/>
                <c:order val="39"/>
                <c:tx>
                  <c:v>39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4.4345006346702576E-2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66E-4B31-A874-E7B9B169F67E}"/>
                  </c:ext>
                </c:extLst>
              </c15:ser>
            </c15:filteredBubbleSeries>
            <c15:filteredBubbleSeries>
              <c15:ser>
                <c:idx val="41"/>
                <c:order val="40"/>
                <c:tx>
                  <c:v>40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4.000009223818779E-2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5.5E-2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66E-4B31-A874-E7B9B169F67E}"/>
                  </c:ext>
                </c:extLst>
              </c15:ser>
            </c15:filteredBubbleSeries>
            <c15:filteredBubbleSeries>
              <c15:ser>
                <c:idx val="42"/>
                <c:order val="41"/>
                <c:tx>
                  <c:v>41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4.8696577548980713E-2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66E-4B31-A874-E7B9B169F67E}"/>
                  </c:ext>
                </c:extLst>
              </c15:ser>
            </c15:filteredBubbleSeries>
            <c15:filteredBubbleSeries>
              <c15:ser>
                <c:idx val="43"/>
                <c:order val="42"/>
                <c:tx>
                  <c:v>42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4.5061357319355011E-2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66E-4B31-A874-E7B9B169F67E}"/>
                  </c:ext>
                </c:extLst>
              </c15:ser>
            </c15:filteredBubbleSeries>
            <c15:filteredBubbleSeries>
              <c15:ser>
                <c:idx val="44"/>
                <c:order val="43"/>
                <c:tx>
                  <c:v>43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3.5695921629667282E-2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66E-4B31-A874-E7B9B169F67E}"/>
                  </c:ext>
                </c:extLst>
              </c15:ser>
            </c15:filteredBubbleSeries>
            <c15:filteredBubbleSeries>
              <c15:ser>
                <c:idx val="45"/>
                <c:order val="44"/>
                <c:tx>
                  <c:v>44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4.8773180693387985E-2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0.05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66E-4B31-A874-E7B9B169F67E}"/>
                  </c:ext>
                </c:extLst>
              </c15:ser>
            </c15:filteredBubbleSeries>
            <c15:filteredBubbleSeries>
              <c15:ser>
                <c:idx val="46"/>
                <c:order val="45"/>
                <c:tx>
                  <c:v>45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5.5096399039030075E-2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5.5E-2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66E-4B31-A874-E7B9B169F67E}"/>
                  </c:ext>
                </c:extLst>
              </c15:ser>
            </c15:filteredBubbleSeries>
            <c15:filteredBubbleSeries>
              <c15:ser>
                <c:idx val="47"/>
                <c:order val="46"/>
                <c:tx>
                  <c:v>46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4.8279803246259689E-2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66E-4B31-A874-E7B9B169F67E}"/>
                  </c:ext>
                </c:extLst>
              </c15:ser>
            </c15:filteredBubbleSeries>
            <c15:filteredBubbleSeries>
              <c15:ser>
                <c:idx val="48"/>
                <c:order val="47"/>
                <c:tx>
                  <c:v>47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4.8279803246259689E-2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66E-4B31-A874-E7B9B169F67E}"/>
                  </c:ext>
                </c:extLst>
              </c15:ser>
            </c15:filteredBubbleSeries>
            <c15:filteredBubbleSeries>
              <c15:ser>
                <c:idx val="49"/>
                <c:order val="48"/>
                <c:tx>
                  <c:v>48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4.9260232597589493E-2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66E-4B31-A874-E7B9B169F67E}"/>
                  </c:ext>
                </c:extLst>
              </c15:ser>
            </c15:filteredBubbleSeries>
            <c15:filteredBubbleSeries>
              <c15:ser>
                <c:idx val="50"/>
                <c:order val="49"/>
                <c:tx>
                  <c:v>49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4.7958869487047195E-2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66E-4B31-A874-E7B9B169F67E}"/>
                  </c:ext>
                </c:extLst>
              </c15:ser>
            </c15:filteredBubbleSeries>
            <c15:filteredBubbleSeries>
              <c15:ser>
                <c:idx val="51"/>
                <c:order val="50"/>
                <c:tx>
                  <c:v>50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5.2695110440254211E-2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66E-4B31-A874-E7B9B169F67E}"/>
                  </c:ext>
                </c:extLst>
              </c15:ser>
            </c15:filteredBubbleSeries>
            <c15:filteredBubbleSeries>
              <c15:ser>
                <c:idx val="52"/>
                <c:order val="51"/>
                <c:tx>
                  <c:v>51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5.2739962935447693E-2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66E-4B31-A874-E7B9B169F67E}"/>
                  </c:ext>
                </c:extLst>
              </c15:ser>
            </c15:filteredBubbleSeries>
            <c15:filteredBubbleSeries>
              <c15:ser>
                <c:idx val="53"/>
                <c:order val="52"/>
                <c:tx>
                  <c:v>52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5.8412514626979828E-2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66E-4B31-A874-E7B9B169F67E}"/>
                  </c:ext>
                </c:extLst>
              </c15:ser>
            </c15:filteredBubbleSeries>
            <c15:filteredBubbleSeries>
              <c15:ser>
                <c:idx val="54"/>
                <c:order val="53"/>
                <c:tx>
                  <c:v>53</c:v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6.5444730222225189E-2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66E-4B31-A874-E7B9B169F67E}"/>
                  </c:ext>
                </c:extLst>
              </c15:ser>
            </c15:filteredBubbleSeries>
            <c15:filteredBubbleSeries>
              <c15:ser>
                <c:idx val="55"/>
                <c:order val="54"/>
                <c:tx>
                  <c:v>54</c:v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5.3999999999999999E-2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66E-4B31-A874-E7B9B169F67E}"/>
                  </c:ext>
                </c:extLst>
              </c15:ser>
            </c15:filteredBubbleSeries>
            <c15:filteredBubbleSeries>
              <c15:ser>
                <c:idx val="56"/>
                <c:order val="55"/>
                <c:tx>
                  <c:v>55</c:v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66E-4B31-A874-E7B9B169F67E}"/>
                  </c:ext>
                </c:extLst>
              </c15:ser>
            </c15:filteredBubbleSeries>
            <c15:filteredBubbleSeries>
              <c15:ser>
                <c:idx val="57"/>
                <c:order val="56"/>
                <c:tx>
                  <c:v>56</c:v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3.5999999999999997E-2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66E-4B31-A874-E7B9B169F67E}"/>
                  </c:ext>
                </c:extLst>
              </c15:ser>
            </c15:filteredBubbleSeries>
            <c15:filteredBubbleSeries>
              <c15:ser>
                <c:idx val="58"/>
                <c:order val="57"/>
                <c:tx>
                  <c:v>57</c:v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5.2999999999999999E-2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66E-4B31-A874-E7B9B169F67E}"/>
                  </c:ext>
                </c:extLst>
              </c15:ser>
            </c15:filteredBubbleSeries>
            <c15:filteredBubbleSeries>
              <c15:ser>
                <c:idx val="59"/>
                <c:order val="58"/>
                <c:tx>
                  <c:v>58</c:v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66E-4B31-A874-E7B9B169F67E}"/>
                  </c:ext>
                </c:extLst>
              </c15:ser>
            </c15:filteredBubbleSeries>
            <c15:filteredBubbleSeries>
              <c15:ser>
                <c:idx val="60"/>
                <c:order val="59"/>
                <c:tx>
                  <c:v>59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6.3E-2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66E-4B31-A874-E7B9B169F67E}"/>
                  </c:ext>
                </c:extLst>
              </c15:ser>
            </c15:filteredBubbleSeries>
            <c15:filteredBubbleSeries>
              <c15:ser>
                <c:idx val="61"/>
                <c:order val="60"/>
                <c:tx>
                  <c:v>60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5.2999999999999999E-2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66E-4B31-A874-E7B9B169F67E}"/>
                  </c:ext>
                </c:extLst>
              </c15:ser>
            </c15:filteredBubbleSeries>
            <c15:filteredBubbleSeries>
              <c15:ser>
                <c:idx val="62"/>
                <c:order val="61"/>
                <c:tx>
                  <c:v>61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66E-4B31-A874-E7B9B169F67E}"/>
                  </c:ext>
                </c:extLst>
              </c15:ser>
            </c15:filteredBubbleSeries>
            <c15:filteredBubbleSeries>
              <c15:ser>
                <c:idx val="63"/>
                <c:order val="62"/>
                <c:tx>
                  <c:v>62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6.17174431681633E-2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5.1999999999999998E-2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66E-4B31-A874-E7B9B169F67E}"/>
                  </c:ext>
                </c:extLst>
              </c15:ser>
            </c15:filteredBubbleSeries>
            <c15:filteredBubbleSeries>
              <c15:ser>
                <c:idx val="64"/>
                <c:order val="63"/>
                <c:tx>
                  <c:v>63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TABLA!$AD$63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4.5126523822546005E-2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TABLA!$AE$63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4.9000000000000002E-2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66E-4B31-A874-E7B9B169F67E}"/>
                  </c:ext>
                </c:extLst>
              </c15:ser>
            </c15:filteredBubbleSeries>
          </c:ext>
        </c:extLst>
      </c:bubbleChart>
      <c:valAx>
        <c:axId val="434296168"/>
        <c:scaling>
          <c:orientation val="minMax"/>
          <c:max val="9.0000000000000024E-2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7880112894104887"/>
              <c:y val="0.930973531737637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3232"/>
        <c:crosses val="autoZero"/>
        <c:crossBetween val="midCat"/>
      </c:valAx>
      <c:valAx>
        <c:axId val="434283232"/>
        <c:scaling>
          <c:orientation val="minMax"/>
          <c:max val="9.0000000000000024E-2"/>
          <c:min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 i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96168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COLA FINAL - PLANTA DE COBRE (%Mo)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6414991148163508"/>
          <c:y val="7.2122926998252294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17063136784236"/>
          <c:y val="0.10845538756088634"/>
          <c:w val="0.84590828110728267"/>
          <c:h val="0.73142103462326413"/>
        </c:manualLayout>
      </c:layout>
      <c:bubbleChart>
        <c:varyColors val="0"/>
        <c:ser>
          <c:idx val="0"/>
          <c:order val="0"/>
          <c:tx>
            <c:strRef>
              <c:f>TABLA!$AL$3</c:f>
              <c:strCache>
                <c:ptCount val="1"/>
                <c:pt idx="0">
                  <c:v>T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TABLA!$AK$4:$AK$63</c:f>
              <c:numCache>
                <c:formatCode>0.000</c:formatCode>
                <c:ptCount val="60"/>
                <c:pt idx="0">
                  <c:v>6.6227056086063385E-3</c:v>
                </c:pt>
                <c:pt idx="1">
                  <c:v>6.8858852609992027E-3</c:v>
                </c:pt>
                <c:pt idx="2">
                  <c:v>3.438678802922368E-3</c:v>
                </c:pt>
                <c:pt idx="3">
                  <c:v>3.438678802922368E-3</c:v>
                </c:pt>
                <c:pt idx="4">
                  <c:v>3.662097966298461E-3</c:v>
                </c:pt>
                <c:pt idx="5">
                  <c:v>7.5074052438139915E-3</c:v>
                </c:pt>
                <c:pt idx="6">
                  <c:v>7.7576441690325737E-3</c:v>
                </c:pt>
                <c:pt idx="7">
                  <c:v>8.3280261605978012E-3</c:v>
                </c:pt>
                <c:pt idx="8">
                  <c:v>9.1239567846059799E-3</c:v>
                </c:pt>
                <c:pt idx="9">
                  <c:v>7.0773507468402386E-3</c:v>
                </c:pt>
                <c:pt idx="10">
                  <c:v>4.9933972768485546E-3</c:v>
                </c:pt>
                <c:pt idx="11">
                  <c:v>4.9688247963786125E-3</c:v>
                </c:pt>
                <c:pt idx="12">
                  <c:v>4.8410291783511639E-3</c:v>
                </c:pt>
                <c:pt idx="13">
                  <c:v>4.6929623931646347E-3</c:v>
                </c:pt>
                <c:pt idx="14">
                  <c:v>5.1071378402411938E-3</c:v>
                </c:pt>
                <c:pt idx="15">
                  <c:v>5.7759997434914112E-3</c:v>
                </c:pt>
                <c:pt idx="16">
                  <c:v>6.0481196269392967E-3</c:v>
                </c:pt>
                <c:pt idx="17">
                  <c:v>6.0481196269392967E-3</c:v>
                </c:pt>
                <c:pt idx="18">
                  <c:v>6.0471352189779282E-3</c:v>
                </c:pt>
                <c:pt idx="19">
                  <c:v>6.0328668914735317E-3</c:v>
                </c:pt>
                <c:pt idx="20">
                  <c:v>6.1585265211760998E-3</c:v>
                </c:pt>
                <c:pt idx="21">
                  <c:v>6.0805738903582096E-3</c:v>
                </c:pt>
                <c:pt idx="22">
                  <c:v>5.8166664093732834E-3</c:v>
                </c:pt>
                <c:pt idx="23">
                  <c:v>5.8533637784421444E-3</c:v>
                </c:pt>
                <c:pt idx="24">
                  <c:v>5.8762929402291775E-3</c:v>
                </c:pt>
                <c:pt idx="25">
                  <c:v>5.9555773623287678E-3</c:v>
                </c:pt>
                <c:pt idx="26">
                  <c:v>5.9555773623287678E-3</c:v>
                </c:pt>
                <c:pt idx="27">
                  <c:v>7.0704706013202667E-3</c:v>
                </c:pt>
                <c:pt idx="28">
                  <c:v>6.2847882509231567E-3</c:v>
                </c:pt>
                <c:pt idx="29">
                  <c:v>5.8496575802564621E-3</c:v>
                </c:pt>
                <c:pt idx="30">
                  <c:v>4.6094655990600586E-3</c:v>
                </c:pt>
                <c:pt idx="31">
                  <c:v>4.3897973373532295E-3</c:v>
                </c:pt>
                <c:pt idx="32">
                  <c:v>5.1697702147066593E-3</c:v>
                </c:pt>
                <c:pt idx="33">
                  <c:v>5.4571120999753475E-3</c:v>
                </c:pt>
                <c:pt idx="34">
                  <c:v>5.1274113357067108E-3</c:v>
                </c:pt>
                <c:pt idx="35">
                  <c:v>4.8520802520215511E-3</c:v>
                </c:pt>
                <c:pt idx="36">
                  <c:v>4.4990410096943378E-3</c:v>
                </c:pt>
                <c:pt idx="37">
                  <c:v>5.2151018753647804E-3</c:v>
                </c:pt>
                <c:pt idx="38">
                  <c:v>5.0686276517808437E-3</c:v>
                </c:pt>
                <c:pt idx="39">
                  <c:v>4.6232151798903942E-3</c:v>
                </c:pt>
                <c:pt idx="40">
                  <c:v>4.381291102617979E-3</c:v>
                </c:pt>
                <c:pt idx="41">
                  <c:v>4.7700437717139721E-3</c:v>
                </c:pt>
                <c:pt idx="42">
                  <c:v>3.8191855419427156E-3</c:v>
                </c:pt>
                <c:pt idx="43">
                  <c:v>3.8191855419427156E-3</c:v>
                </c:pt>
                <c:pt idx="44">
                  <c:v>4.5977793633937836E-3</c:v>
                </c:pt>
                <c:pt idx="45">
                  <c:v>6.5962597727775574E-3</c:v>
                </c:pt>
                <c:pt idx="46">
                  <c:v>7.822331041097641E-3</c:v>
                </c:pt>
                <c:pt idx="47">
                  <c:v>7.6515157707035542E-3</c:v>
                </c:pt>
                <c:pt idx="48">
                  <c:v>8.9856330305337906E-3</c:v>
                </c:pt>
                <c:pt idx="49">
                  <c:v>1.1116042733192444E-2</c:v>
                </c:pt>
                <c:pt idx="50">
                  <c:v>1.0092724114656448E-2</c:v>
                </c:pt>
                <c:pt idx="51">
                  <c:v>1.0092724114656448E-2</c:v>
                </c:pt>
                <c:pt idx="52">
                  <c:v>1.0092724114656448E-2</c:v>
                </c:pt>
                <c:pt idx="53">
                  <c:v>1.0092724114656448E-2</c:v>
                </c:pt>
                <c:pt idx="54">
                  <c:v>1.0092724114656448E-2</c:v>
                </c:pt>
                <c:pt idx="55">
                  <c:v>1.0092724114656448E-2</c:v>
                </c:pt>
                <c:pt idx="56">
                  <c:v>1.0092724114656448E-2</c:v>
                </c:pt>
                <c:pt idx="57">
                  <c:v>1.0092724114656448E-2</c:v>
                </c:pt>
                <c:pt idx="58">
                  <c:v>1.0092724114656448E-2</c:v>
                </c:pt>
                <c:pt idx="59">
                  <c:v>1.0805998928844929E-2</c:v>
                </c:pt>
              </c:numCache>
            </c:numRef>
          </c:xVal>
          <c:yVal>
            <c:numRef>
              <c:f>TABLA!$AL$4:$AL$63</c:f>
              <c:numCache>
                <c:formatCode>0.000</c:formatCode>
                <c:ptCount val="60"/>
                <c:pt idx="0">
                  <c:v>7.0000000000000001E-3</c:v>
                </c:pt>
                <c:pt idx="1">
                  <c:v>6.0000000000000001E-3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1.2999999999999999E-2</c:v>
                </c:pt>
                <c:pt idx="5">
                  <c:v>1.2E-2</c:v>
                </c:pt>
                <c:pt idx="6">
                  <c:v>8.0000000000000002E-3</c:v>
                </c:pt>
                <c:pt idx="7">
                  <c:v>1.0999999999999999E-2</c:v>
                </c:pt>
                <c:pt idx="8">
                  <c:v>1.2999999999999999E-2</c:v>
                </c:pt>
                <c:pt idx="9">
                  <c:v>7.0000000000000001E-3</c:v>
                </c:pt>
                <c:pt idx="10">
                  <c:v>4.0000000000000001E-3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2E-3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7.0000000000000001E-3</c:v>
                </c:pt>
                <c:pt idx="19">
                  <c:v>7.0000000000000001E-3</c:v>
                </c:pt>
                <c:pt idx="20">
                  <c:v>6.0000000000000001E-3</c:v>
                </c:pt>
                <c:pt idx="21">
                  <c:v>7.0000000000000001E-3</c:v>
                </c:pt>
                <c:pt idx="22">
                  <c:v>7.0000000000000001E-3</c:v>
                </c:pt>
                <c:pt idx="23">
                  <c:v>6.0000000000000001E-3</c:v>
                </c:pt>
                <c:pt idx="24">
                  <c:v>7.0000000000000001E-3</c:v>
                </c:pt>
                <c:pt idx="25">
                  <c:v>7.0000000000000001E-3</c:v>
                </c:pt>
                <c:pt idx="26">
                  <c:v>7.0000000000000001E-3</c:v>
                </c:pt>
                <c:pt idx="27">
                  <c:v>7.0000000000000001E-3</c:v>
                </c:pt>
                <c:pt idx="28">
                  <c:v>5.0000000000000001E-3</c:v>
                </c:pt>
                <c:pt idx="29">
                  <c:v>4.0000000000000001E-3</c:v>
                </c:pt>
                <c:pt idx="30">
                  <c:v>3.0000000000000001E-3</c:v>
                </c:pt>
                <c:pt idx="31">
                  <c:v>4.0000000000000001E-3</c:v>
                </c:pt>
                <c:pt idx="32">
                  <c:v>4.0000000000000001E-3</c:v>
                </c:pt>
                <c:pt idx="33">
                  <c:v>7.0000000000000001E-3</c:v>
                </c:pt>
                <c:pt idx="34">
                  <c:v>6.0000000000000001E-3</c:v>
                </c:pt>
                <c:pt idx="35">
                  <c:v>0</c:v>
                </c:pt>
                <c:pt idx="36">
                  <c:v>8.0000000000000002E-3</c:v>
                </c:pt>
                <c:pt idx="37">
                  <c:v>1.2E-2</c:v>
                </c:pt>
                <c:pt idx="38">
                  <c:v>8.0000000000000002E-3</c:v>
                </c:pt>
                <c:pt idx="39">
                  <c:v>5.0000000000000001E-3</c:v>
                </c:pt>
                <c:pt idx="40">
                  <c:v>6.0000000000000001E-3</c:v>
                </c:pt>
                <c:pt idx="41">
                  <c:v>7.0000000000000001E-3</c:v>
                </c:pt>
                <c:pt idx="42">
                  <c:v>5.0000000000000001E-3</c:v>
                </c:pt>
                <c:pt idx="43">
                  <c:v>7.0000000000000001E-3</c:v>
                </c:pt>
                <c:pt idx="44">
                  <c:v>4.0000000000000001E-3</c:v>
                </c:pt>
                <c:pt idx="45">
                  <c:v>1.0999999999999999E-2</c:v>
                </c:pt>
                <c:pt idx="46">
                  <c:v>1.2E-2</c:v>
                </c:pt>
                <c:pt idx="47">
                  <c:v>1.0999999999999999E-2</c:v>
                </c:pt>
                <c:pt idx="48">
                  <c:v>1.9E-2</c:v>
                </c:pt>
                <c:pt idx="49">
                  <c:v>8.9999999999999993E-3</c:v>
                </c:pt>
                <c:pt idx="50">
                  <c:v>1.4E-2</c:v>
                </c:pt>
                <c:pt idx="51">
                  <c:v>1.4E-2</c:v>
                </c:pt>
                <c:pt idx="52">
                  <c:v>1.4999999999999999E-2</c:v>
                </c:pt>
                <c:pt idx="53">
                  <c:v>8.9999999999999993E-3</c:v>
                </c:pt>
                <c:pt idx="54">
                  <c:v>1.2E-2</c:v>
                </c:pt>
                <c:pt idx="55">
                  <c:v>1.0999999999999999E-2</c:v>
                </c:pt>
                <c:pt idx="56">
                  <c:v>1.7000000000000001E-2</c:v>
                </c:pt>
                <c:pt idx="57">
                  <c:v>1.4E-2</c:v>
                </c:pt>
                <c:pt idx="58">
                  <c:v>1.4E-2</c:v>
                </c:pt>
                <c:pt idx="59">
                  <c:v>1.4999999999999999E-2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5C9A-4F69-8A6B-1E0515BC15D4}"/>
            </c:ext>
          </c:extLst>
        </c:ser>
        <c:ser>
          <c:idx val="1"/>
          <c:order val="1"/>
          <c:tx>
            <c:strRef>
              <c:f>Calculos!$T$5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tx1">
                    <a:alpha val="52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Calculos!$S$6:$S$29</c:f>
              <c:numCache>
                <c:formatCode>0.000</c:formatCode>
                <c:ptCount val="24"/>
                <c:pt idx="0">
                  <c:v>1.2000000000000001E-3</c:v>
                </c:pt>
                <c:pt idx="1">
                  <c:v>2.1386363636363638E-3</c:v>
                </c:pt>
                <c:pt idx="2">
                  <c:v>3.0772727272727275E-3</c:v>
                </c:pt>
                <c:pt idx="3">
                  <c:v>4.0159090909090908E-3</c:v>
                </c:pt>
                <c:pt idx="4">
                  <c:v>4.9545454545454545E-3</c:v>
                </c:pt>
                <c:pt idx="5">
                  <c:v>5.8931818181818182E-3</c:v>
                </c:pt>
                <c:pt idx="6">
                  <c:v>6.831818181818182E-3</c:v>
                </c:pt>
                <c:pt idx="7">
                  <c:v>7.7704545454545457E-3</c:v>
                </c:pt>
                <c:pt idx="8">
                  <c:v>8.7090909090909094E-3</c:v>
                </c:pt>
                <c:pt idx="9">
                  <c:v>9.6477272727272731E-3</c:v>
                </c:pt>
                <c:pt idx="10">
                  <c:v>1.0586363636363637E-2</c:v>
                </c:pt>
                <c:pt idx="11">
                  <c:v>1.1525000000000001E-2</c:v>
                </c:pt>
                <c:pt idx="12">
                  <c:v>1.2463636363636364E-2</c:v>
                </c:pt>
                <c:pt idx="13">
                  <c:v>1.3402272727272728E-2</c:v>
                </c:pt>
                <c:pt idx="14">
                  <c:v>1.4340909090909092E-2</c:v>
                </c:pt>
                <c:pt idx="15">
                  <c:v>1.5279545454545455E-2</c:v>
                </c:pt>
                <c:pt idx="16">
                  <c:v>1.6218181818181819E-2</c:v>
                </c:pt>
                <c:pt idx="17">
                  <c:v>1.7156818181818183E-2</c:v>
                </c:pt>
                <c:pt idx="18">
                  <c:v>1.8095454545454547E-2</c:v>
                </c:pt>
                <c:pt idx="19">
                  <c:v>1.903409090909091E-2</c:v>
                </c:pt>
                <c:pt idx="20">
                  <c:v>1.9972727272727274E-2</c:v>
                </c:pt>
                <c:pt idx="21">
                  <c:v>2.0911363636363638E-2</c:v>
                </c:pt>
                <c:pt idx="22">
                  <c:v>0</c:v>
                </c:pt>
                <c:pt idx="23">
                  <c:v>0.02</c:v>
                </c:pt>
              </c:numCache>
            </c:numRef>
          </c:xVal>
          <c:yVal>
            <c:numRef>
              <c:f>Calculos!$T$6:$T$29</c:f>
              <c:numCache>
                <c:formatCode>0.000</c:formatCode>
                <c:ptCount val="24"/>
                <c:pt idx="0">
                  <c:v>1.2000000000000001E-3</c:v>
                </c:pt>
                <c:pt idx="1">
                  <c:v>2.1386363636363638E-3</c:v>
                </c:pt>
                <c:pt idx="2">
                  <c:v>3.0772727272727275E-3</c:v>
                </c:pt>
                <c:pt idx="3">
                  <c:v>4.0159090909090908E-3</c:v>
                </c:pt>
                <c:pt idx="4">
                  <c:v>4.9545454545454545E-3</c:v>
                </c:pt>
                <c:pt idx="5">
                  <c:v>5.8931818181818182E-3</c:v>
                </c:pt>
                <c:pt idx="6">
                  <c:v>6.831818181818182E-3</c:v>
                </c:pt>
                <c:pt idx="7">
                  <c:v>7.7704545454545457E-3</c:v>
                </c:pt>
                <c:pt idx="8">
                  <c:v>8.7090909090909094E-3</c:v>
                </c:pt>
                <c:pt idx="9">
                  <c:v>9.6477272727272731E-3</c:v>
                </c:pt>
                <c:pt idx="10">
                  <c:v>1.0586363636363637E-2</c:v>
                </c:pt>
                <c:pt idx="11">
                  <c:v>1.1525000000000001E-2</c:v>
                </c:pt>
                <c:pt idx="12">
                  <c:v>1.2463636363636364E-2</c:v>
                </c:pt>
                <c:pt idx="13">
                  <c:v>1.3402272727272728E-2</c:v>
                </c:pt>
                <c:pt idx="14">
                  <c:v>1.4340909090909092E-2</c:v>
                </c:pt>
                <c:pt idx="15">
                  <c:v>1.5279545454545455E-2</c:v>
                </c:pt>
                <c:pt idx="16">
                  <c:v>1.6218181818181819E-2</c:v>
                </c:pt>
                <c:pt idx="17">
                  <c:v>1.7156818181818183E-2</c:v>
                </c:pt>
                <c:pt idx="18">
                  <c:v>1.8095454545454547E-2</c:v>
                </c:pt>
                <c:pt idx="19">
                  <c:v>1.903409090909091E-2</c:v>
                </c:pt>
                <c:pt idx="20">
                  <c:v>1.9972727272727274E-2</c:v>
                </c:pt>
                <c:pt idx="21">
                  <c:v>2.0911363636363638E-2</c:v>
                </c:pt>
                <c:pt idx="22">
                  <c:v>0</c:v>
                </c:pt>
                <c:pt idx="23">
                  <c:v>0.02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5C9A-4F69-8A6B-1E0515BC15D4}"/>
            </c:ext>
          </c:extLst>
        </c:ser>
        <c:ser>
          <c:idx val="2"/>
          <c:order val="2"/>
          <c:tx>
            <c:strRef>
              <c:f>Calculos!$U$4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Calculos!$U$6:$U$29</c:f>
              <c:numCache>
                <c:formatCode>0.000</c:formatCode>
                <c:ptCount val="24"/>
                <c:pt idx="0">
                  <c:v>-1.0111363636363642E-3</c:v>
                </c:pt>
                <c:pt idx="1">
                  <c:v>-7.2500000000000515E-5</c:v>
                </c:pt>
                <c:pt idx="2">
                  <c:v>8.661363636363632E-4</c:v>
                </c:pt>
                <c:pt idx="3">
                  <c:v>1.8047727272727265E-3</c:v>
                </c:pt>
                <c:pt idx="4">
                  <c:v>2.7434090909090902E-3</c:v>
                </c:pt>
                <c:pt idx="5">
                  <c:v>3.6820454545454539E-3</c:v>
                </c:pt>
                <c:pt idx="6">
                  <c:v>4.6206818181818172E-3</c:v>
                </c:pt>
                <c:pt idx="7">
                  <c:v>5.5593181818181809E-3</c:v>
                </c:pt>
                <c:pt idx="8">
                  <c:v>6.4979545454545446E-3</c:v>
                </c:pt>
                <c:pt idx="9">
                  <c:v>7.4365909090909083E-3</c:v>
                </c:pt>
                <c:pt idx="10">
                  <c:v>8.375227272727272E-3</c:v>
                </c:pt>
                <c:pt idx="11">
                  <c:v>9.3138636363636357E-3</c:v>
                </c:pt>
                <c:pt idx="12">
                  <c:v>1.0252499999999999E-2</c:v>
                </c:pt>
                <c:pt idx="13">
                  <c:v>1.1191136363636363E-2</c:v>
                </c:pt>
                <c:pt idx="14">
                  <c:v>1.2129772727272727E-2</c:v>
                </c:pt>
                <c:pt idx="15">
                  <c:v>1.3068409090909091E-2</c:v>
                </c:pt>
                <c:pt idx="16">
                  <c:v>1.4007045454545454E-2</c:v>
                </c:pt>
                <c:pt idx="17">
                  <c:v>1.4945681818181818E-2</c:v>
                </c:pt>
                <c:pt idx="18">
                  <c:v>1.5884318181818183E-2</c:v>
                </c:pt>
                <c:pt idx="19">
                  <c:v>1.6822954545454547E-2</c:v>
                </c:pt>
                <c:pt idx="20">
                  <c:v>1.7761590909090911E-2</c:v>
                </c:pt>
                <c:pt idx="21">
                  <c:v>1.8700227272727275E-2</c:v>
                </c:pt>
                <c:pt idx="22">
                  <c:v>-2.2111363636363643E-3</c:v>
                </c:pt>
                <c:pt idx="23">
                  <c:v>1.7788863636363637E-2</c:v>
                </c:pt>
              </c:numCache>
            </c:numRef>
          </c:xVal>
          <c:yVal>
            <c:numRef>
              <c:f>Calculos!$V$6:$V$29</c:f>
              <c:numCache>
                <c:formatCode>0.000</c:formatCode>
                <c:ptCount val="24"/>
                <c:pt idx="0">
                  <c:v>1.2000000000000001E-3</c:v>
                </c:pt>
                <c:pt idx="1">
                  <c:v>2.1386363636363638E-3</c:v>
                </c:pt>
                <c:pt idx="2">
                  <c:v>3.0772727272727275E-3</c:v>
                </c:pt>
                <c:pt idx="3">
                  <c:v>4.0159090909090908E-3</c:v>
                </c:pt>
                <c:pt idx="4">
                  <c:v>4.9545454545454545E-3</c:v>
                </c:pt>
                <c:pt idx="5">
                  <c:v>5.8931818181818182E-3</c:v>
                </c:pt>
                <c:pt idx="6">
                  <c:v>6.831818181818182E-3</c:v>
                </c:pt>
                <c:pt idx="7">
                  <c:v>7.7704545454545457E-3</c:v>
                </c:pt>
                <c:pt idx="8">
                  <c:v>8.7090909090909094E-3</c:v>
                </c:pt>
                <c:pt idx="9">
                  <c:v>9.6477272727272731E-3</c:v>
                </c:pt>
                <c:pt idx="10">
                  <c:v>1.0586363636363637E-2</c:v>
                </c:pt>
                <c:pt idx="11">
                  <c:v>1.1525000000000001E-2</c:v>
                </c:pt>
                <c:pt idx="12">
                  <c:v>1.2463636363636364E-2</c:v>
                </c:pt>
                <c:pt idx="13">
                  <c:v>1.3402272727272728E-2</c:v>
                </c:pt>
                <c:pt idx="14">
                  <c:v>1.4340909090909092E-2</c:v>
                </c:pt>
                <c:pt idx="15">
                  <c:v>1.5279545454545455E-2</c:v>
                </c:pt>
                <c:pt idx="16">
                  <c:v>1.6218181818181819E-2</c:v>
                </c:pt>
                <c:pt idx="17">
                  <c:v>1.7156818181818183E-2</c:v>
                </c:pt>
                <c:pt idx="18">
                  <c:v>1.8095454545454547E-2</c:v>
                </c:pt>
                <c:pt idx="19">
                  <c:v>1.903409090909091E-2</c:v>
                </c:pt>
                <c:pt idx="20">
                  <c:v>1.9972727272727274E-2</c:v>
                </c:pt>
                <c:pt idx="21">
                  <c:v>2.0911363636363638E-2</c:v>
                </c:pt>
                <c:pt idx="22">
                  <c:v>0</c:v>
                </c:pt>
                <c:pt idx="23">
                  <c:v>0.02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5C9A-4F69-8A6B-1E0515BC15D4}"/>
            </c:ext>
          </c:extLst>
        </c:ser>
        <c:ser>
          <c:idx val="3"/>
          <c:order val="3"/>
          <c:tx>
            <c:strRef>
              <c:f>Calculos!$W$4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Calculos!$W$6:$W$29</c:f>
              <c:numCache>
                <c:formatCode>0.000</c:formatCode>
                <c:ptCount val="24"/>
                <c:pt idx="0">
                  <c:v>3.4111363636363645E-3</c:v>
                </c:pt>
                <c:pt idx="1">
                  <c:v>4.3497727272727282E-3</c:v>
                </c:pt>
                <c:pt idx="2">
                  <c:v>5.2884090909090919E-3</c:v>
                </c:pt>
                <c:pt idx="3">
                  <c:v>6.2270454545454556E-3</c:v>
                </c:pt>
                <c:pt idx="4">
                  <c:v>7.1656818181818193E-3</c:v>
                </c:pt>
                <c:pt idx="5">
                  <c:v>8.104318181818183E-3</c:v>
                </c:pt>
                <c:pt idx="6">
                  <c:v>9.0429545454545467E-3</c:v>
                </c:pt>
                <c:pt idx="7">
                  <c:v>9.9815909090909104E-3</c:v>
                </c:pt>
                <c:pt idx="8">
                  <c:v>1.0920227272727274E-2</c:v>
                </c:pt>
                <c:pt idx="9">
                  <c:v>1.1858863636363638E-2</c:v>
                </c:pt>
                <c:pt idx="10">
                  <c:v>1.2797500000000002E-2</c:v>
                </c:pt>
                <c:pt idx="11">
                  <c:v>1.3736136363636365E-2</c:v>
                </c:pt>
                <c:pt idx="12">
                  <c:v>1.4674772727272729E-2</c:v>
                </c:pt>
                <c:pt idx="13">
                  <c:v>1.5613409090909093E-2</c:v>
                </c:pt>
                <c:pt idx="14">
                  <c:v>1.6552045454545455E-2</c:v>
                </c:pt>
                <c:pt idx="15">
                  <c:v>1.7490681818181818E-2</c:v>
                </c:pt>
                <c:pt idx="16">
                  <c:v>1.8429318181818182E-2</c:v>
                </c:pt>
                <c:pt idx="17">
                  <c:v>1.9367954545454546E-2</c:v>
                </c:pt>
                <c:pt idx="18">
                  <c:v>2.030659090909091E-2</c:v>
                </c:pt>
                <c:pt idx="19">
                  <c:v>2.1245227272727273E-2</c:v>
                </c:pt>
                <c:pt idx="20">
                  <c:v>2.2183863636363637E-2</c:v>
                </c:pt>
                <c:pt idx="21">
                  <c:v>2.3122500000000001E-2</c:v>
                </c:pt>
                <c:pt idx="22">
                  <c:v>2.2111363636363643E-3</c:v>
                </c:pt>
                <c:pt idx="23">
                  <c:v>2.2211136363636363E-2</c:v>
                </c:pt>
              </c:numCache>
            </c:numRef>
          </c:xVal>
          <c:yVal>
            <c:numRef>
              <c:f>Calculos!$X$6:$X$29</c:f>
              <c:numCache>
                <c:formatCode>0.000</c:formatCode>
                <c:ptCount val="24"/>
                <c:pt idx="0">
                  <c:v>1.2000000000000001E-3</c:v>
                </c:pt>
                <c:pt idx="1">
                  <c:v>2.1386363636363638E-3</c:v>
                </c:pt>
                <c:pt idx="2">
                  <c:v>3.0772727272727275E-3</c:v>
                </c:pt>
                <c:pt idx="3">
                  <c:v>4.0159090909090908E-3</c:v>
                </c:pt>
                <c:pt idx="4">
                  <c:v>4.9545454545454545E-3</c:v>
                </c:pt>
                <c:pt idx="5">
                  <c:v>5.8931818181818182E-3</c:v>
                </c:pt>
                <c:pt idx="6">
                  <c:v>6.831818181818182E-3</c:v>
                </c:pt>
                <c:pt idx="7">
                  <c:v>7.7704545454545457E-3</c:v>
                </c:pt>
                <c:pt idx="8">
                  <c:v>8.7090909090909094E-3</c:v>
                </c:pt>
                <c:pt idx="9">
                  <c:v>9.6477272727272731E-3</c:v>
                </c:pt>
                <c:pt idx="10">
                  <c:v>1.0586363636363637E-2</c:v>
                </c:pt>
                <c:pt idx="11">
                  <c:v>1.1525000000000001E-2</c:v>
                </c:pt>
                <c:pt idx="12">
                  <c:v>1.2463636363636364E-2</c:v>
                </c:pt>
                <c:pt idx="13">
                  <c:v>1.3402272727272728E-2</c:v>
                </c:pt>
                <c:pt idx="14">
                  <c:v>1.4340909090909092E-2</c:v>
                </c:pt>
                <c:pt idx="15">
                  <c:v>1.5279545454545455E-2</c:v>
                </c:pt>
                <c:pt idx="16">
                  <c:v>1.6218181818181819E-2</c:v>
                </c:pt>
                <c:pt idx="17">
                  <c:v>1.7156818181818183E-2</c:v>
                </c:pt>
                <c:pt idx="18">
                  <c:v>1.8095454545454547E-2</c:v>
                </c:pt>
                <c:pt idx="19">
                  <c:v>1.903409090909091E-2</c:v>
                </c:pt>
                <c:pt idx="20">
                  <c:v>1.9972727272727274E-2</c:v>
                </c:pt>
                <c:pt idx="21">
                  <c:v>2.0911363636363638E-2</c:v>
                </c:pt>
                <c:pt idx="22">
                  <c:v>0</c:v>
                </c:pt>
                <c:pt idx="23">
                  <c:v>0.02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5C9A-4F69-8A6B-1E0515BC15D4}"/>
            </c:ext>
          </c:extLst>
        </c:ser>
        <c:ser>
          <c:idx val="4"/>
          <c:order val="4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TABLA!$AK$64</c:f>
              <c:numCache>
                <c:formatCode>0.000</c:formatCode>
                <c:ptCount val="1"/>
                <c:pt idx="0">
                  <c:v>1.1307978071272373E-2</c:v>
                </c:pt>
              </c:numCache>
            </c:numRef>
          </c:xVal>
          <c:yVal>
            <c:numRef>
              <c:f>TABLA!$AL$64</c:f>
              <c:numCache>
                <c:formatCode>0.000</c:formatCode>
                <c:ptCount val="1"/>
                <c:pt idx="0">
                  <c:v>7.0000000000000001E-3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87CD-47E1-9CD2-0BCEA60C7661}"/>
            </c:ext>
          </c:extLst>
        </c:ser>
        <c:ser>
          <c:idx val="5"/>
          <c:order val="5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TABLA!$AK$65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TABLA!$AL$65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87CD-47E1-9CD2-0BCEA60C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34289896"/>
        <c:axId val="434285192"/>
        <c:extLst>
          <c:ext xmlns:c15="http://schemas.microsoft.com/office/drawing/2012/chart" uri="{02D57815-91ED-43cb-92C2-25804820EDAC}">
            <c15:filteredBubbleSeries>
              <c15:ser>
                <c:idx val="6"/>
                <c:order val="6"/>
                <c:tx>
                  <c:v>5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>
                      <c:ext uri="{02D57815-91ED-43cb-92C2-25804820EDAC}">
                        <c15:formulaRef>
                          <c15:sqref>TABLA!$AK$5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6.8858852609992027E-3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TABLA!$AL$5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>
                  <c:ext xmlns:c16="http://schemas.microsoft.com/office/drawing/2014/chart" uri="{C3380CC4-5D6E-409C-BE32-E72D297353CC}">
                    <c16:uniqueId val="{00000005-87CD-47E1-9CD2-0BCEA60C7661}"/>
                  </c:ext>
                </c:extLst>
              </c15:ser>
            </c15:filteredBubbleSeries>
            <c15:filteredBubbleSeries>
              <c15:ser>
                <c:idx val="7"/>
                <c:order val="7"/>
                <c:tx>
                  <c:v>6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3.438678802922368E-3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7CD-47E1-9CD2-0BCEA60C7661}"/>
                  </c:ext>
                </c:extLst>
              </c15:ser>
            </c15:filteredBubbleSeries>
            <c15:filteredBubbleSeries>
              <c15:ser>
                <c:idx val="8"/>
                <c:order val="8"/>
                <c:tx>
                  <c:v>7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3.438678802922368E-3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7CD-47E1-9CD2-0BCEA60C7661}"/>
                  </c:ext>
                </c:extLst>
              </c15:ser>
            </c15:filteredBubbleSeries>
            <c15:filteredBubbleSeries>
              <c15:ser>
                <c:idx val="9"/>
                <c:order val="9"/>
                <c:tx>
                  <c:v>8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3.662097966298461E-3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7CD-47E1-9CD2-0BCEA60C7661}"/>
                  </c:ext>
                </c:extLst>
              </c15:ser>
            </c15:filteredBubbleSeries>
            <c15:filteredBubbleSeries>
              <c15:ser>
                <c:idx val="10"/>
                <c:order val="10"/>
                <c:tx>
                  <c:v>9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7.5074052438139915E-3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7CD-47E1-9CD2-0BCEA60C7661}"/>
                  </c:ext>
                </c:extLst>
              </c15:ser>
            </c15:filteredBubbleSeries>
            <c15:filteredBubbleSeries>
              <c15:ser>
                <c:idx val="11"/>
                <c:order val="11"/>
                <c:tx>
                  <c:v>10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7.7576441690325737E-3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8.0000000000000002E-3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7CD-47E1-9CD2-0BCEA60C7661}"/>
                  </c:ext>
                </c:extLst>
              </c15:ser>
            </c15:filteredBubbleSeries>
            <c15:filteredBubbleSeries>
              <c15:ser>
                <c:idx val="12"/>
                <c:order val="12"/>
                <c:tx>
                  <c:v>11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8.3280261605978012E-3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7CD-47E1-9CD2-0BCEA60C7661}"/>
                  </c:ext>
                </c:extLst>
              </c15:ser>
            </c15:filteredBubbleSeries>
            <c15:filteredBubbleSeries>
              <c15:ser>
                <c:idx val="13"/>
                <c:order val="13"/>
                <c:tx>
                  <c:v>12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9.1239567846059799E-3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7CD-47E1-9CD2-0BCEA60C7661}"/>
                  </c:ext>
                </c:extLst>
              </c15:ser>
            </c15:filteredBubbleSeries>
            <c15:filteredBubbleSeries>
              <c15:ser>
                <c:idx val="14"/>
                <c:order val="14"/>
                <c:tx>
                  <c:v>13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7.0773507468402386E-3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7CD-47E1-9CD2-0BCEA60C7661}"/>
                  </c:ext>
                </c:extLst>
              </c15:ser>
            </c15:filteredBubbleSeries>
            <c15:filteredBubbleSeries>
              <c15:ser>
                <c:idx val="15"/>
                <c:order val="15"/>
                <c:tx>
                  <c:v>14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4.9933972768485546E-3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7CD-47E1-9CD2-0BCEA60C7661}"/>
                  </c:ext>
                </c:extLst>
              </c15:ser>
            </c15:filteredBubbleSeries>
            <c15:filteredBubbleSeries>
              <c15:ser>
                <c:idx val="16"/>
                <c:order val="16"/>
                <c:tx>
                  <c:v>15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4.9688247963786125E-3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7CD-47E1-9CD2-0BCEA60C7661}"/>
                  </c:ext>
                </c:extLst>
              </c15:ser>
            </c15:filteredBubbleSeries>
            <c15:filteredBubbleSeries>
              <c15:ser>
                <c:idx val="17"/>
                <c:order val="17"/>
                <c:tx>
                  <c:v>16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4.8410291783511639E-3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7CD-47E1-9CD2-0BCEA60C7661}"/>
                  </c:ext>
                </c:extLst>
              </c15:ser>
            </c15:filteredBubbleSeries>
            <c15:filteredBubbleSeries>
              <c15:ser>
                <c:idx val="18"/>
                <c:order val="18"/>
                <c:tx>
                  <c:v>17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Pt>
                  <c:idx val="0"/>
                  <c:invertIfNegative val="0"/>
                  <c:bubble3D val="1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87CD-47E1-9CD2-0BCEA60C766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4.6929623931646347E-3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7CD-47E1-9CD2-0BCEA60C7661}"/>
                  </c:ext>
                </c:extLst>
              </c15:ser>
            </c15:filteredBubbleSeries>
            <c15:filteredBubbleSeries>
              <c15:ser>
                <c:idx val="19"/>
                <c:order val="19"/>
                <c:tx>
                  <c:v>18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5.1071378402411938E-3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7CD-47E1-9CD2-0BCEA60C7661}"/>
                  </c:ext>
                </c:extLst>
              </c15:ser>
            </c15:filteredBubbleSeries>
            <c15:filteredBubbleSeries>
              <c15:ser>
                <c:idx val="20"/>
                <c:order val="20"/>
                <c:tx>
                  <c:v>19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5.7759997434914112E-3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7CD-47E1-9CD2-0BCEA60C7661}"/>
                  </c:ext>
                </c:extLst>
              </c15:ser>
            </c15:filteredBubbleSeries>
            <c15:filteredBubbleSeries>
              <c15:ser>
                <c:idx val="21"/>
                <c:order val="21"/>
                <c:tx>
                  <c:v>20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6.0481196269392967E-3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7CD-47E1-9CD2-0BCEA60C7661}"/>
                  </c:ext>
                </c:extLst>
              </c15:ser>
            </c15:filteredBubbleSeries>
            <c15:filteredBubbleSeries>
              <c15:ser>
                <c:idx val="22"/>
                <c:order val="22"/>
                <c:tx>
                  <c:v>21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6.0481196269392967E-3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7CD-47E1-9CD2-0BCEA60C7661}"/>
                  </c:ext>
                </c:extLst>
              </c15:ser>
            </c15:filteredBubbleSeries>
            <c15:filteredBubbleSeries>
              <c15:ser>
                <c:idx val="23"/>
                <c:order val="23"/>
                <c:tx>
                  <c:v>22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6.0471352189779282E-3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7CD-47E1-9CD2-0BCEA60C7661}"/>
                  </c:ext>
                </c:extLst>
              </c15:ser>
            </c15:filteredBubbleSeries>
            <c15:filteredBubbleSeries>
              <c15:ser>
                <c:idx val="24"/>
                <c:order val="24"/>
                <c:tx>
                  <c:v>23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6.0328668914735317E-3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7CD-47E1-9CD2-0BCEA60C7661}"/>
                  </c:ext>
                </c:extLst>
              </c15:ser>
            </c15:filteredBubbleSeries>
            <c15:filteredBubbleSeries>
              <c15:ser>
                <c:idx val="25"/>
                <c:order val="25"/>
                <c:tx>
                  <c:v>24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6.1585265211760998E-3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7CD-47E1-9CD2-0BCEA60C7661}"/>
                  </c:ext>
                </c:extLst>
              </c15:ser>
            </c15:filteredBubbleSeries>
            <c15:filteredBubbleSeries>
              <c15:ser>
                <c:idx val="26"/>
                <c:order val="26"/>
                <c:tx>
                  <c:v>25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6.0805738903582096E-3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7CD-47E1-9CD2-0BCEA60C7661}"/>
                  </c:ext>
                </c:extLst>
              </c15:ser>
            </c15:filteredBubbleSeries>
            <c15:filteredBubbleSeries>
              <c15:ser>
                <c:idx val="27"/>
                <c:order val="27"/>
                <c:tx>
                  <c:v>26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5.8166664093732834E-3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7CD-47E1-9CD2-0BCEA60C7661}"/>
                  </c:ext>
                </c:extLst>
              </c15:ser>
            </c15:filteredBubbleSeries>
            <c15:filteredBubbleSeries>
              <c15:ser>
                <c:idx val="28"/>
                <c:order val="28"/>
                <c:tx>
                  <c:v>27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5.8533637784421444E-3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7CD-47E1-9CD2-0BCEA60C7661}"/>
                  </c:ext>
                </c:extLst>
              </c15:ser>
            </c15:filteredBubbleSeries>
            <c15:filteredBubbleSeries>
              <c15:ser>
                <c:idx val="29"/>
                <c:order val="29"/>
                <c:tx>
                  <c:v>28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5.8762929402291775E-3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7CD-47E1-9CD2-0BCEA60C7661}"/>
                  </c:ext>
                </c:extLst>
              </c15:ser>
            </c15:filteredBubbleSeries>
            <c15:filteredBubbleSeries>
              <c15:ser>
                <c:idx val="30"/>
                <c:order val="30"/>
                <c:tx>
                  <c:v>29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5.9555773623287678E-3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7CD-47E1-9CD2-0BCEA60C7661}"/>
                  </c:ext>
                </c:extLst>
              </c15:ser>
            </c15:filteredBubbleSeries>
            <c15:filteredBubbleSeries>
              <c15:ser>
                <c:idx val="31"/>
                <c:order val="31"/>
                <c:tx>
                  <c:v>30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5.9555773623287678E-3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7CD-47E1-9CD2-0BCEA60C7661}"/>
                  </c:ext>
                </c:extLst>
              </c15:ser>
            </c15:filteredBubbleSeries>
            <c15:filteredBubbleSeries>
              <c15:ser>
                <c:idx val="32"/>
                <c:order val="32"/>
                <c:tx>
                  <c:v>31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7.0704706013202667E-3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7CD-47E1-9CD2-0BCEA60C7661}"/>
                  </c:ext>
                </c:extLst>
              </c15:ser>
            </c15:filteredBubbleSeries>
            <c15:filteredBubbleSeries>
              <c15:ser>
                <c:idx val="33"/>
                <c:order val="33"/>
                <c:tx>
                  <c:v>32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6.2847882509231567E-3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7CD-47E1-9CD2-0BCEA60C7661}"/>
                  </c:ext>
                </c:extLst>
              </c15:ser>
            </c15:filteredBubbleSeries>
            <c15:filteredBubbleSeries>
              <c15:ser>
                <c:idx val="34"/>
                <c:order val="34"/>
                <c:tx>
                  <c:v>33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5.8496575802564621E-3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7CD-47E1-9CD2-0BCEA60C7661}"/>
                  </c:ext>
                </c:extLst>
              </c15:ser>
            </c15:filteredBubbleSeries>
            <c15:filteredBubbleSeries>
              <c15:ser>
                <c:idx val="35"/>
                <c:order val="35"/>
                <c:tx>
                  <c:v>34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4.6094655990600586E-3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7CD-47E1-9CD2-0BCEA60C7661}"/>
                  </c:ext>
                </c:extLst>
              </c15:ser>
            </c15:filteredBubbleSeries>
            <c15:filteredBubbleSeries>
              <c15:ser>
                <c:idx val="36"/>
                <c:order val="36"/>
                <c:tx>
                  <c:v>35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4.3897973373532295E-3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7CD-47E1-9CD2-0BCEA60C7661}"/>
                  </c:ext>
                </c:extLst>
              </c15:ser>
            </c15:filteredBubbleSeries>
            <c15:filteredBubbleSeries>
              <c15:ser>
                <c:idx val="37"/>
                <c:order val="37"/>
                <c:tx>
                  <c:v>36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5.1697702147066593E-3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7CD-47E1-9CD2-0BCEA60C7661}"/>
                  </c:ext>
                </c:extLst>
              </c15:ser>
            </c15:filteredBubbleSeries>
            <c15:filteredBubbleSeries>
              <c15:ser>
                <c:idx val="38"/>
                <c:order val="38"/>
                <c:tx>
                  <c:v>37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5.4571120999753475E-3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7CD-47E1-9CD2-0BCEA60C7661}"/>
                  </c:ext>
                </c:extLst>
              </c15:ser>
            </c15:filteredBubbleSeries>
            <c15:filteredBubbleSeries>
              <c15:ser>
                <c:idx val="39"/>
                <c:order val="39"/>
                <c:tx>
                  <c:v>38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5.1274113357067108E-3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7CD-47E1-9CD2-0BCEA60C7661}"/>
                  </c:ext>
                </c:extLst>
              </c15:ser>
            </c15:filteredBubbleSeries>
            <c15:filteredBubbleSeries>
              <c15:ser>
                <c:idx val="40"/>
                <c:order val="40"/>
                <c:tx>
                  <c:v>39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4.8520802520215511E-3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7CD-47E1-9CD2-0BCEA60C7661}"/>
                  </c:ext>
                </c:extLst>
              </c15:ser>
            </c15:filteredBubbleSeries>
            <c15:filteredBubbleSeries>
              <c15:ser>
                <c:idx val="41"/>
                <c:order val="41"/>
                <c:tx>
                  <c:v>40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4.4990410096943378E-3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8.0000000000000002E-3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7CD-47E1-9CD2-0BCEA60C7661}"/>
                  </c:ext>
                </c:extLst>
              </c15:ser>
            </c15:filteredBubbleSeries>
            <c15:filteredBubbleSeries>
              <c15:ser>
                <c:idx val="42"/>
                <c:order val="42"/>
                <c:tx>
                  <c:v>41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5.2151018753647804E-3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7CD-47E1-9CD2-0BCEA60C7661}"/>
                  </c:ext>
                </c:extLst>
              </c15:ser>
            </c15:filteredBubbleSeries>
            <c15:filteredBubbleSeries>
              <c15:ser>
                <c:idx val="43"/>
                <c:order val="43"/>
                <c:tx>
                  <c:v>42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5.0686276517808437E-3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8.0000000000000002E-3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7CD-47E1-9CD2-0BCEA60C7661}"/>
                  </c:ext>
                </c:extLst>
              </c15:ser>
            </c15:filteredBubbleSeries>
            <c15:filteredBubbleSeries>
              <c15:ser>
                <c:idx val="44"/>
                <c:order val="44"/>
                <c:tx>
                  <c:v>43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4.6232151798903942E-3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7CD-47E1-9CD2-0BCEA60C7661}"/>
                  </c:ext>
                </c:extLst>
              </c15:ser>
            </c15:filteredBubbleSeries>
            <c15:filteredBubbleSeries>
              <c15:ser>
                <c:idx val="45"/>
                <c:order val="45"/>
                <c:tx>
                  <c:v>44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4.381291102617979E-3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7CD-47E1-9CD2-0BCEA60C7661}"/>
                  </c:ext>
                </c:extLst>
              </c15:ser>
            </c15:filteredBubbleSeries>
            <c15:filteredBubbleSeries>
              <c15:ser>
                <c:idx val="46"/>
                <c:order val="46"/>
                <c:tx>
                  <c:v>45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4.7700437717139721E-3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7CD-47E1-9CD2-0BCEA60C7661}"/>
                  </c:ext>
                </c:extLst>
              </c15:ser>
            </c15:filteredBubbleSeries>
            <c15:filteredBubbleSeries>
              <c15:ser>
                <c:idx val="47"/>
                <c:order val="47"/>
                <c:tx>
                  <c:v>46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3.8191855419427156E-3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5.0000000000000001E-3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7CD-47E1-9CD2-0BCEA60C7661}"/>
                  </c:ext>
                </c:extLst>
              </c15:ser>
            </c15:filteredBubbleSeries>
            <c15:filteredBubbleSeries>
              <c15:ser>
                <c:idx val="48"/>
                <c:order val="48"/>
                <c:tx>
                  <c:v>47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3.8191855419427156E-3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7CD-47E1-9CD2-0BCEA60C7661}"/>
                  </c:ext>
                </c:extLst>
              </c15:ser>
            </c15:filteredBubbleSeries>
            <c15:filteredBubbleSeries>
              <c15:ser>
                <c:idx val="49"/>
                <c:order val="49"/>
                <c:tx>
                  <c:v>48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4.5977793633937836E-3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4.0000000000000001E-3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7CD-47E1-9CD2-0BCEA60C7661}"/>
                  </c:ext>
                </c:extLst>
              </c15:ser>
            </c15:filteredBubbleSeries>
            <c15:filteredBubbleSeries>
              <c15:ser>
                <c:idx val="50"/>
                <c:order val="50"/>
                <c:tx>
                  <c:v>49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6.5962597727775574E-3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7CD-47E1-9CD2-0BCEA60C7661}"/>
                  </c:ext>
                </c:extLst>
              </c15:ser>
            </c15:filteredBubbleSeries>
            <c15:filteredBubbleSeries>
              <c15:ser>
                <c:idx val="51"/>
                <c:order val="51"/>
                <c:tx>
                  <c:v>50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7.822331041097641E-3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7CD-47E1-9CD2-0BCEA60C7661}"/>
                  </c:ext>
                </c:extLst>
              </c15:ser>
            </c15:filteredBubbleSeries>
            <c15:filteredBubbleSeries>
              <c15:ser>
                <c:idx val="52"/>
                <c:order val="52"/>
                <c:tx>
                  <c:v>51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7.6515157707035542E-3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7CD-47E1-9CD2-0BCEA60C7661}"/>
                  </c:ext>
                </c:extLst>
              </c15:ser>
            </c15:filteredBubbleSeries>
            <c15:filteredBubbleSeries>
              <c15:ser>
                <c:idx val="53"/>
                <c:order val="53"/>
                <c:tx>
                  <c:v>52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8.9856330305337906E-3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7CD-47E1-9CD2-0BCEA60C7661}"/>
                  </c:ext>
                </c:extLst>
              </c15:ser>
            </c15:filteredBubbleSeries>
            <c15:filteredBubbleSeries>
              <c15:ser>
                <c:idx val="54"/>
                <c:order val="54"/>
                <c:tx>
                  <c:v>53</c:v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1.1116042733192444E-2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8.9999999999999993E-3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7CD-47E1-9CD2-0BCEA60C7661}"/>
                  </c:ext>
                </c:extLst>
              </c15:ser>
            </c15:filteredBubbleSeries>
            <c15:filteredBubbleSeries>
              <c15:ser>
                <c:idx val="55"/>
                <c:order val="55"/>
                <c:tx>
                  <c:v>54</c:v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7CD-47E1-9CD2-0BCEA60C7661}"/>
                  </c:ext>
                </c:extLst>
              </c15:ser>
            </c15:filteredBubbleSeries>
            <c15:filteredBubbleSeries>
              <c15:ser>
                <c:idx val="56"/>
                <c:order val="56"/>
                <c:tx>
                  <c:v>55</c:v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7CD-47E1-9CD2-0BCEA60C7661}"/>
                  </c:ext>
                </c:extLst>
              </c15:ser>
            </c15:filteredBubbleSeries>
            <c15:filteredBubbleSeries>
              <c15:ser>
                <c:idx val="57"/>
                <c:order val="57"/>
                <c:tx>
                  <c:v>56</c:v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7CD-47E1-9CD2-0BCEA60C7661}"/>
                  </c:ext>
                </c:extLst>
              </c15:ser>
            </c15:filteredBubbleSeries>
            <c15:filteredBubbleSeries>
              <c15:ser>
                <c:idx val="58"/>
                <c:order val="58"/>
                <c:tx>
                  <c:v>57</c:v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8.9999999999999993E-3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7CD-47E1-9CD2-0BCEA60C7661}"/>
                  </c:ext>
                </c:extLst>
              </c15:ser>
            </c15:filteredBubbleSeries>
            <c15:filteredBubbleSeries>
              <c15:ser>
                <c:idx val="59"/>
                <c:order val="59"/>
                <c:tx>
                  <c:v>58</c:v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7CD-47E1-9CD2-0BCEA60C7661}"/>
                  </c:ext>
                </c:extLst>
              </c15:ser>
            </c15:filteredBubbleSeries>
            <c15:filteredBubbleSeries>
              <c15:ser>
                <c:idx val="60"/>
                <c:order val="60"/>
                <c:tx>
                  <c:v>59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7CD-47E1-9CD2-0BCEA60C7661}"/>
                  </c:ext>
                </c:extLst>
              </c15:ser>
            </c15:filteredBubbleSeries>
            <c15:filteredBubbleSeries>
              <c15:ser>
                <c:idx val="61"/>
                <c:order val="61"/>
                <c:tx>
                  <c:v>60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1.7000000000000001E-2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7CD-47E1-9CD2-0BCEA60C7661}"/>
                  </c:ext>
                </c:extLst>
              </c15:ser>
            </c15:filteredBubbleSeries>
            <c15:filteredBubbleSeries>
              <c15:ser>
                <c:idx val="62"/>
                <c:order val="62"/>
                <c:tx>
                  <c:v>61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7CD-47E1-9CD2-0BCEA60C7661}"/>
                  </c:ext>
                </c:extLst>
              </c15:ser>
            </c15:filteredBubbleSeries>
            <c15:filteredBubbleSeries>
              <c15:ser>
                <c:idx val="63"/>
                <c:order val="63"/>
                <c:tx>
                  <c:v>62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1.0092724114656448E-2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7CD-47E1-9CD2-0BCEA60C7661}"/>
                  </c:ext>
                </c:extLst>
              </c15:ser>
            </c15:filteredBubbleSeries>
            <c15:filteredBubbleSeries>
              <c15:ser>
                <c:idx val="64"/>
                <c:order val="64"/>
                <c:tx>
                  <c:v>63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TABLA!$AK$63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1.0805998928844929E-2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TABLA!$AL$63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1.4999999999999999E-2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7CD-47E1-9CD2-0BCEA60C7661}"/>
                  </c:ext>
                </c:extLst>
              </c15:ser>
            </c15:filteredBubbleSeries>
          </c:ext>
        </c:extLst>
      </c:bubbleChart>
      <c:valAx>
        <c:axId val="434289896"/>
        <c:scaling>
          <c:orientation val="minMax"/>
          <c:max val="1.8000000000000002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942150632375542"/>
              <c:y val="0.949004263487200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5192"/>
        <c:crosses val="autoZero"/>
        <c:crossBetween val="midCat"/>
      </c:valAx>
      <c:valAx>
        <c:axId val="434285192"/>
        <c:scaling>
          <c:orientation val="minMax"/>
          <c:max val="1.8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9896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CONCENTRADO FINAL - PLANTA DE COBRE (%Cu)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8898041976827448"/>
          <c:y val="1.0818435977858835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84331039940739"/>
          <c:y val="0.10845521133594159"/>
          <c:w val="0.82975712710339689"/>
          <c:h val="0.73142111088584538"/>
        </c:manualLayout>
      </c:layout>
      <c:bubbleChart>
        <c:varyColors val="0"/>
        <c:ser>
          <c:idx val="0"/>
          <c:order val="0"/>
          <c:tx>
            <c:strRef>
              <c:f>TABLA!$AX$3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TABLA!$AW$4:$AW$63</c:f>
              <c:numCache>
                <c:formatCode>0.000</c:formatCode>
                <c:ptCount val="60"/>
                <c:pt idx="0">
                  <c:v>21.580696105957031</c:v>
                </c:pt>
                <c:pt idx="1">
                  <c:v>23.905122756958008</c:v>
                </c:pt>
                <c:pt idx="2">
                  <c:v>23.07972526550293</c:v>
                </c:pt>
                <c:pt idx="3">
                  <c:v>23.07972526550293</c:v>
                </c:pt>
                <c:pt idx="4">
                  <c:v>22.874965667724609</c:v>
                </c:pt>
                <c:pt idx="5">
                  <c:v>24.080657958984375</c:v>
                </c:pt>
                <c:pt idx="6">
                  <c:v>23.181087493896484</c:v>
                </c:pt>
                <c:pt idx="7">
                  <c:v>19.589813232421875</c:v>
                </c:pt>
                <c:pt idx="8">
                  <c:v>24.089685440063477</c:v>
                </c:pt>
                <c:pt idx="9">
                  <c:v>24.968690872192383</c:v>
                </c:pt>
                <c:pt idx="10">
                  <c:v>22.765670776367188</c:v>
                </c:pt>
                <c:pt idx="11">
                  <c:v>21.698329925537109</c:v>
                </c:pt>
                <c:pt idx="12">
                  <c:v>22.739021301269531</c:v>
                </c:pt>
                <c:pt idx="13">
                  <c:v>23.446987152099609</c:v>
                </c:pt>
                <c:pt idx="14">
                  <c:v>22.019834518432617</c:v>
                </c:pt>
                <c:pt idx="15">
                  <c:v>22.019834518432617</c:v>
                </c:pt>
                <c:pt idx="16">
                  <c:v>22.019834518432617</c:v>
                </c:pt>
                <c:pt idx="17">
                  <c:v>22.019834518432617</c:v>
                </c:pt>
                <c:pt idx="18">
                  <c:v>23.598623275756836</c:v>
                </c:pt>
                <c:pt idx="19">
                  <c:v>23.708185195922852</c:v>
                </c:pt>
                <c:pt idx="20">
                  <c:v>22.722810745239258</c:v>
                </c:pt>
                <c:pt idx="21">
                  <c:v>24.091524124145508</c:v>
                </c:pt>
                <c:pt idx="22">
                  <c:v>22.786581039428711</c:v>
                </c:pt>
                <c:pt idx="23">
                  <c:v>24.452625274658203</c:v>
                </c:pt>
                <c:pt idx="24">
                  <c:v>23.015262603759766</c:v>
                </c:pt>
                <c:pt idx="25">
                  <c:v>23.015262603759766</c:v>
                </c:pt>
                <c:pt idx="26">
                  <c:v>23.015262603759766</c:v>
                </c:pt>
                <c:pt idx="27">
                  <c:v>23.015262603759766</c:v>
                </c:pt>
                <c:pt idx="28">
                  <c:v>23.015262603759766</c:v>
                </c:pt>
                <c:pt idx="29">
                  <c:v>23.015262603759766</c:v>
                </c:pt>
                <c:pt idx="30">
                  <c:v>23.015262603759766</c:v>
                </c:pt>
                <c:pt idx="31">
                  <c:v>23.015262603759766</c:v>
                </c:pt>
                <c:pt idx="32">
                  <c:v>23.015262603759766</c:v>
                </c:pt>
                <c:pt idx="33">
                  <c:v>26.153593063354492</c:v>
                </c:pt>
                <c:pt idx="34">
                  <c:v>25.166622161865234</c:v>
                </c:pt>
                <c:pt idx="35">
                  <c:v>23.135202407836914</c:v>
                </c:pt>
                <c:pt idx="36">
                  <c:v>23.102602005004883</c:v>
                </c:pt>
                <c:pt idx="37">
                  <c:v>24.377904891967773</c:v>
                </c:pt>
                <c:pt idx="38">
                  <c:v>25.557792663574219</c:v>
                </c:pt>
                <c:pt idx="39">
                  <c:v>23.321441650390625</c:v>
                </c:pt>
                <c:pt idx="40">
                  <c:v>21.977792739868164</c:v>
                </c:pt>
                <c:pt idx="41">
                  <c:v>23.486249923706055</c:v>
                </c:pt>
                <c:pt idx="42">
                  <c:v>20.749732971191406</c:v>
                </c:pt>
                <c:pt idx="43">
                  <c:v>20.749732971191406</c:v>
                </c:pt>
                <c:pt idx="44">
                  <c:v>19.81092643737793</c:v>
                </c:pt>
                <c:pt idx="45">
                  <c:v>22.557380676269531</c:v>
                </c:pt>
                <c:pt idx="46">
                  <c:v>20.495904922485352</c:v>
                </c:pt>
                <c:pt idx="47">
                  <c:v>21.923906326293945</c:v>
                </c:pt>
                <c:pt idx="48">
                  <c:v>25.237625122070313</c:v>
                </c:pt>
                <c:pt idx="49">
                  <c:v>24.58636474609375</c:v>
                </c:pt>
                <c:pt idx="50">
                  <c:v>22.322566986083984</c:v>
                </c:pt>
                <c:pt idx="51">
                  <c:v>23.369316101074219</c:v>
                </c:pt>
                <c:pt idx="52">
                  <c:v>23.859102249145508</c:v>
                </c:pt>
                <c:pt idx="53">
                  <c:v>24.94134521484375</c:v>
                </c:pt>
                <c:pt idx="54">
                  <c:v>27.135526657104492</c:v>
                </c:pt>
                <c:pt idx="55">
                  <c:v>26.558300018310547</c:v>
                </c:pt>
                <c:pt idx="56">
                  <c:v>25.224943161010742</c:v>
                </c:pt>
                <c:pt idx="57">
                  <c:v>24.710926055908203</c:v>
                </c:pt>
                <c:pt idx="58">
                  <c:v>23.989170074462891</c:v>
                </c:pt>
                <c:pt idx="59">
                  <c:v>24.021186828613281</c:v>
                </c:pt>
              </c:numCache>
            </c:numRef>
          </c:xVal>
          <c:yVal>
            <c:numRef>
              <c:f>TABLA!$AX$4:$AX$63</c:f>
              <c:numCache>
                <c:formatCode>0.000</c:formatCode>
                <c:ptCount val="60"/>
                <c:pt idx="0">
                  <c:v>26.169</c:v>
                </c:pt>
                <c:pt idx="1">
                  <c:v>21.931999999999999</c:v>
                </c:pt>
                <c:pt idx="2">
                  <c:v>25.474</c:v>
                </c:pt>
                <c:pt idx="3">
                  <c:v>24.879000000000001</c:v>
                </c:pt>
                <c:pt idx="4">
                  <c:v>21.806000000000001</c:v>
                </c:pt>
                <c:pt idx="5">
                  <c:v>22.686</c:v>
                </c:pt>
                <c:pt idx="6">
                  <c:v>23.88</c:v>
                </c:pt>
                <c:pt idx="7">
                  <c:v>25.175999999999998</c:v>
                </c:pt>
                <c:pt idx="8">
                  <c:v>24.532</c:v>
                </c:pt>
                <c:pt idx="9">
                  <c:v>22.896999999999998</c:v>
                </c:pt>
                <c:pt idx="10">
                  <c:v>24.384</c:v>
                </c:pt>
                <c:pt idx="11">
                  <c:v>23.292999999999999</c:v>
                </c:pt>
                <c:pt idx="12">
                  <c:v>24.228000000000002</c:v>
                </c:pt>
                <c:pt idx="13">
                  <c:v>22.599</c:v>
                </c:pt>
                <c:pt idx="14">
                  <c:v>22.984999999999999</c:v>
                </c:pt>
                <c:pt idx="15">
                  <c:v>23.789000000000001</c:v>
                </c:pt>
                <c:pt idx="16">
                  <c:v>24.324000000000002</c:v>
                </c:pt>
                <c:pt idx="17">
                  <c:v>24.975000000000001</c:v>
                </c:pt>
                <c:pt idx="18">
                  <c:v>22.885000000000002</c:v>
                </c:pt>
                <c:pt idx="19">
                  <c:v>24.776</c:v>
                </c:pt>
                <c:pt idx="20">
                  <c:v>21.143999999999998</c:v>
                </c:pt>
                <c:pt idx="21">
                  <c:v>24.331</c:v>
                </c:pt>
                <c:pt idx="22">
                  <c:v>23.065000000000001</c:v>
                </c:pt>
                <c:pt idx="23">
                  <c:v>24.725999999999999</c:v>
                </c:pt>
                <c:pt idx="24">
                  <c:v>18.288</c:v>
                </c:pt>
                <c:pt idx="25">
                  <c:v>26.913</c:v>
                </c:pt>
                <c:pt idx="26">
                  <c:v>21.335999999999999</c:v>
                </c:pt>
                <c:pt idx="27">
                  <c:v>26.716000000000001</c:v>
                </c:pt>
                <c:pt idx="28">
                  <c:v>21.856000000000002</c:v>
                </c:pt>
                <c:pt idx="29">
                  <c:v>23.388000000000002</c:v>
                </c:pt>
                <c:pt idx="30">
                  <c:v>23.382999999999999</c:v>
                </c:pt>
                <c:pt idx="31">
                  <c:v>21.791</c:v>
                </c:pt>
                <c:pt idx="32">
                  <c:v>24.725999999999999</c:v>
                </c:pt>
                <c:pt idx="33">
                  <c:v>23.681000000000001</c:v>
                </c:pt>
                <c:pt idx="34">
                  <c:v>23.864000000000001</c:v>
                </c:pt>
                <c:pt idx="35">
                  <c:v>0</c:v>
                </c:pt>
                <c:pt idx="36">
                  <c:v>23.084</c:v>
                </c:pt>
                <c:pt idx="37">
                  <c:v>24.762</c:v>
                </c:pt>
                <c:pt idx="38">
                  <c:v>24.184999999999999</c:v>
                </c:pt>
                <c:pt idx="39">
                  <c:v>25.35</c:v>
                </c:pt>
                <c:pt idx="40">
                  <c:v>25.373000000000001</c:v>
                </c:pt>
                <c:pt idx="41">
                  <c:v>19.899999999999999</c:v>
                </c:pt>
                <c:pt idx="42">
                  <c:v>20.795999999999999</c:v>
                </c:pt>
                <c:pt idx="43">
                  <c:v>20.297999999999998</c:v>
                </c:pt>
                <c:pt idx="44">
                  <c:v>22.686</c:v>
                </c:pt>
                <c:pt idx="45">
                  <c:v>21.774000000000001</c:v>
                </c:pt>
                <c:pt idx="46">
                  <c:v>22.885000000000002</c:v>
                </c:pt>
                <c:pt idx="47">
                  <c:v>22.972000000000001</c:v>
                </c:pt>
                <c:pt idx="48">
                  <c:v>24.975000000000001</c:v>
                </c:pt>
                <c:pt idx="49">
                  <c:v>25.276</c:v>
                </c:pt>
                <c:pt idx="50">
                  <c:v>23.321999999999999</c:v>
                </c:pt>
                <c:pt idx="51">
                  <c:v>26.672000000000001</c:v>
                </c:pt>
                <c:pt idx="52">
                  <c:v>23.248999999999999</c:v>
                </c:pt>
                <c:pt idx="53">
                  <c:v>26.018999999999998</c:v>
                </c:pt>
                <c:pt idx="54">
                  <c:v>28.291</c:v>
                </c:pt>
                <c:pt idx="55">
                  <c:v>26.468</c:v>
                </c:pt>
                <c:pt idx="56">
                  <c:v>24.695</c:v>
                </c:pt>
                <c:pt idx="57">
                  <c:v>25.768999999999998</c:v>
                </c:pt>
                <c:pt idx="58">
                  <c:v>24.577000000000002</c:v>
                </c:pt>
                <c:pt idx="59">
                  <c:v>24.97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FCB0-4570-B7E8-952C0AC9E3FE}"/>
            </c:ext>
          </c:extLst>
        </c:ser>
        <c:ser>
          <c:idx val="1"/>
          <c:order val="1"/>
          <c:tx>
            <c:strRef>
              <c:f>Calculos!$Z$5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Calculos!$Y$6:$Y$29</c:f>
              <c:numCache>
                <c:formatCode>0.000</c:formatCode>
                <c:ptCount val="24"/>
                <c:pt idx="0">
                  <c:v>17.3736</c:v>
                </c:pt>
                <c:pt idx="1">
                  <c:v>18.191334090909091</c:v>
                </c:pt>
                <c:pt idx="2">
                  <c:v>19.009068181818183</c:v>
                </c:pt>
                <c:pt idx="3">
                  <c:v>19.826802272727274</c:v>
                </c:pt>
                <c:pt idx="4">
                  <c:v>20.644536363636366</c:v>
                </c:pt>
                <c:pt idx="5">
                  <c:v>21.462270454545457</c:v>
                </c:pt>
                <c:pt idx="6">
                  <c:v>22.280004545454549</c:v>
                </c:pt>
                <c:pt idx="7">
                  <c:v>23.097738636363641</c:v>
                </c:pt>
                <c:pt idx="8">
                  <c:v>23.915472727272732</c:v>
                </c:pt>
                <c:pt idx="9">
                  <c:v>24.733206818181824</c:v>
                </c:pt>
                <c:pt idx="10">
                  <c:v>25.550940909090915</c:v>
                </c:pt>
                <c:pt idx="11">
                  <c:v>26.368675000000007</c:v>
                </c:pt>
                <c:pt idx="12">
                  <c:v>27.186409090909098</c:v>
                </c:pt>
                <c:pt idx="13">
                  <c:v>28.00414318181819</c:v>
                </c:pt>
                <c:pt idx="14">
                  <c:v>28.821877272727281</c:v>
                </c:pt>
                <c:pt idx="15">
                  <c:v>29.639611363636373</c:v>
                </c:pt>
                <c:pt idx="16">
                  <c:v>30.457345454545464</c:v>
                </c:pt>
                <c:pt idx="17">
                  <c:v>31.275079545454556</c:v>
                </c:pt>
                <c:pt idx="18">
                  <c:v>32.092813636363644</c:v>
                </c:pt>
                <c:pt idx="19">
                  <c:v>32.910547727272736</c:v>
                </c:pt>
                <c:pt idx="20">
                  <c:v>33.728281818181827</c:v>
                </c:pt>
                <c:pt idx="21">
                  <c:v>34.546015909090919</c:v>
                </c:pt>
                <c:pt idx="22">
                  <c:v>20</c:v>
                </c:pt>
                <c:pt idx="23">
                  <c:v>35</c:v>
                </c:pt>
              </c:numCache>
            </c:numRef>
          </c:xVal>
          <c:yVal>
            <c:numRef>
              <c:f>Calculos!$Z$6:$Z$29</c:f>
              <c:numCache>
                <c:formatCode>0.000</c:formatCode>
                <c:ptCount val="24"/>
                <c:pt idx="0">
                  <c:v>17.3736</c:v>
                </c:pt>
                <c:pt idx="1">
                  <c:v>18.191334090909091</c:v>
                </c:pt>
                <c:pt idx="2">
                  <c:v>19.009068181818183</c:v>
                </c:pt>
                <c:pt idx="3">
                  <c:v>19.826802272727274</c:v>
                </c:pt>
                <c:pt idx="4">
                  <c:v>20.644536363636366</c:v>
                </c:pt>
                <c:pt idx="5">
                  <c:v>21.462270454545457</c:v>
                </c:pt>
                <c:pt idx="6">
                  <c:v>22.280004545454549</c:v>
                </c:pt>
                <c:pt idx="7">
                  <c:v>23.097738636363641</c:v>
                </c:pt>
                <c:pt idx="8">
                  <c:v>23.915472727272732</c:v>
                </c:pt>
                <c:pt idx="9">
                  <c:v>24.733206818181824</c:v>
                </c:pt>
                <c:pt idx="10">
                  <c:v>25.550940909090915</c:v>
                </c:pt>
                <c:pt idx="11">
                  <c:v>26.368675000000007</c:v>
                </c:pt>
                <c:pt idx="12">
                  <c:v>27.186409090909098</c:v>
                </c:pt>
                <c:pt idx="13">
                  <c:v>28.00414318181819</c:v>
                </c:pt>
                <c:pt idx="14">
                  <c:v>28.821877272727281</c:v>
                </c:pt>
                <c:pt idx="15">
                  <c:v>29.639611363636373</c:v>
                </c:pt>
                <c:pt idx="16">
                  <c:v>30.457345454545464</c:v>
                </c:pt>
                <c:pt idx="17">
                  <c:v>31.275079545454556</c:v>
                </c:pt>
                <c:pt idx="18">
                  <c:v>32.092813636363644</c:v>
                </c:pt>
                <c:pt idx="19">
                  <c:v>32.910547727272736</c:v>
                </c:pt>
                <c:pt idx="20">
                  <c:v>33.728281818181827</c:v>
                </c:pt>
                <c:pt idx="21">
                  <c:v>34.546015909090919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FCB0-4570-B7E8-952C0AC9E3FE}"/>
            </c:ext>
          </c:extLst>
        </c:ser>
        <c:ser>
          <c:idx val="2"/>
          <c:order val="2"/>
          <c:tx>
            <c:strRef>
              <c:f>Calculos!$AA$4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Calculos!$AA$6:$AA$29</c:f>
              <c:numCache>
                <c:formatCode>0.000</c:formatCode>
                <c:ptCount val="24"/>
                <c:pt idx="0">
                  <c:v>15.816011522727273</c:v>
                </c:pt>
                <c:pt idx="1">
                  <c:v>16.633745613636364</c:v>
                </c:pt>
                <c:pt idx="2">
                  <c:v>17.451479704545456</c:v>
                </c:pt>
                <c:pt idx="3">
                  <c:v>18.269213795454547</c:v>
                </c:pt>
                <c:pt idx="4">
                  <c:v>19.086947886363639</c:v>
                </c:pt>
                <c:pt idx="5">
                  <c:v>19.90468197727273</c:v>
                </c:pt>
                <c:pt idx="6">
                  <c:v>20.722416068181822</c:v>
                </c:pt>
                <c:pt idx="7">
                  <c:v>21.540150159090913</c:v>
                </c:pt>
                <c:pt idx="8">
                  <c:v>22.357884250000005</c:v>
                </c:pt>
                <c:pt idx="9">
                  <c:v>23.175618340909097</c:v>
                </c:pt>
                <c:pt idx="10">
                  <c:v>23.993352431818188</c:v>
                </c:pt>
                <c:pt idx="11">
                  <c:v>24.81108652272728</c:v>
                </c:pt>
                <c:pt idx="12">
                  <c:v>25.628820613636371</c:v>
                </c:pt>
                <c:pt idx="13">
                  <c:v>26.446554704545463</c:v>
                </c:pt>
                <c:pt idx="14">
                  <c:v>27.264288795454554</c:v>
                </c:pt>
                <c:pt idx="15">
                  <c:v>28.082022886363646</c:v>
                </c:pt>
                <c:pt idx="16">
                  <c:v>28.899756977272737</c:v>
                </c:pt>
                <c:pt idx="17">
                  <c:v>29.717491068181829</c:v>
                </c:pt>
                <c:pt idx="18">
                  <c:v>30.535225159090917</c:v>
                </c:pt>
                <c:pt idx="19">
                  <c:v>31.352959250000008</c:v>
                </c:pt>
                <c:pt idx="20">
                  <c:v>32.170693340909096</c:v>
                </c:pt>
                <c:pt idx="21">
                  <c:v>32.988427431818188</c:v>
                </c:pt>
                <c:pt idx="22">
                  <c:v>18.442411522727273</c:v>
                </c:pt>
                <c:pt idx="23">
                  <c:v>33.442411522727269</c:v>
                </c:pt>
              </c:numCache>
            </c:numRef>
          </c:xVal>
          <c:yVal>
            <c:numRef>
              <c:f>Calculos!$AB$6:$AB$29</c:f>
              <c:numCache>
                <c:formatCode>0.000</c:formatCode>
                <c:ptCount val="24"/>
                <c:pt idx="0">
                  <c:v>17.3736</c:v>
                </c:pt>
                <c:pt idx="1">
                  <c:v>18.191334090909091</c:v>
                </c:pt>
                <c:pt idx="2">
                  <c:v>19.009068181818183</c:v>
                </c:pt>
                <c:pt idx="3">
                  <c:v>19.826802272727274</c:v>
                </c:pt>
                <c:pt idx="4">
                  <c:v>20.644536363636366</c:v>
                </c:pt>
                <c:pt idx="5">
                  <c:v>21.462270454545457</c:v>
                </c:pt>
                <c:pt idx="6">
                  <c:v>22.280004545454549</c:v>
                </c:pt>
                <c:pt idx="7">
                  <c:v>23.097738636363641</c:v>
                </c:pt>
                <c:pt idx="8">
                  <c:v>23.915472727272732</c:v>
                </c:pt>
                <c:pt idx="9">
                  <c:v>24.733206818181824</c:v>
                </c:pt>
                <c:pt idx="10">
                  <c:v>25.550940909090915</c:v>
                </c:pt>
                <c:pt idx="11">
                  <c:v>26.368675000000007</c:v>
                </c:pt>
                <c:pt idx="12">
                  <c:v>27.186409090909098</c:v>
                </c:pt>
                <c:pt idx="13">
                  <c:v>28.00414318181819</c:v>
                </c:pt>
                <c:pt idx="14">
                  <c:v>28.821877272727281</c:v>
                </c:pt>
                <c:pt idx="15">
                  <c:v>29.639611363636373</c:v>
                </c:pt>
                <c:pt idx="16">
                  <c:v>30.457345454545464</c:v>
                </c:pt>
                <c:pt idx="17">
                  <c:v>31.275079545454556</c:v>
                </c:pt>
                <c:pt idx="18">
                  <c:v>32.092813636363644</c:v>
                </c:pt>
                <c:pt idx="19">
                  <c:v>32.910547727272736</c:v>
                </c:pt>
                <c:pt idx="20">
                  <c:v>33.728281818181827</c:v>
                </c:pt>
                <c:pt idx="21">
                  <c:v>34.546015909090919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FCB0-4570-B7E8-952C0AC9E3FE}"/>
            </c:ext>
          </c:extLst>
        </c:ser>
        <c:ser>
          <c:idx val="3"/>
          <c:order val="3"/>
          <c:tx>
            <c:strRef>
              <c:f>Calculos!$AC$4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Calculos!$AC$6:$AC$29</c:f>
              <c:numCache>
                <c:formatCode>0.000</c:formatCode>
                <c:ptCount val="24"/>
                <c:pt idx="0">
                  <c:v>18.931188477272727</c:v>
                </c:pt>
                <c:pt idx="1">
                  <c:v>19.748922568181818</c:v>
                </c:pt>
                <c:pt idx="2">
                  <c:v>20.56665665909091</c:v>
                </c:pt>
                <c:pt idx="3">
                  <c:v>21.384390750000001</c:v>
                </c:pt>
                <c:pt idx="4">
                  <c:v>22.202124840909093</c:v>
                </c:pt>
                <c:pt idx="5">
                  <c:v>23.019858931818185</c:v>
                </c:pt>
                <c:pt idx="6">
                  <c:v>23.837593022727276</c:v>
                </c:pt>
                <c:pt idx="7">
                  <c:v>24.655327113636368</c:v>
                </c:pt>
                <c:pt idx="8">
                  <c:v>25.473061204545459</c:v>
                </c:pt>
                <c:pt idx="9">
                  <c:v>26.290795295454551</c:v>
                </c:pt>
                <c:pt idx="10">
                  <c:v>27.108529386363642</c:v>
                </c:pt>
                <c:pt idx="11">
                  <c:v>27.926263477272734</c:v>
                </c:pt>
                <c:pt idx="12">
                  <c:v>28.743997568181825</c:v>
                </c:pt>
                <c:pt idx="13">
                  <c:v>29.561731659090917</c:v>
                </c:pt>
                <c:pt idx="14">
                  <c:v>30.379465750000008</c:v>
                </c:pt>
                <c:pt idx="15">
                  <c:v>31.1971998409091</c:v>
                </c:pt>
                <c:pt idx="16">
                  <c:v>32.014933931818192</c:v>
                </c:pt>
                <c:pt idx="17">
                  <c:v>32.832668022727283</c:v>
                </c:pt>
                <c:pt idx="18">
                  <c:v>33.650402113636375</c:v>
                </c:pt>
                <c:pt idx="19">
                  <c:v>34.468136204545466</c:v>
                </c:pt>
                <c:pt idx="20">
                  <c:v>35.285870295454558</c:v>
                </c:pt>
                <c:pt idx="21">
                  <c:v>36.103604386363649</c:v>
                </c:pt>
                <c:pt idx="22">
                  <c:v>21.557588477272727</c:v>
                </c:pt>
                <c:pt idx="23">
                  <c:v>36.557588477272731</c:v>
                </c:pt>
              </c:numCache>
            </c:numRef>
          </c:xVal>
          <c:yVal>
            <c:numRef>
              <c:f>Calculos!$AD$6:$AD$29</c:f>
              <c:numCache>
                <c:formatCode>0.000</c:formatCode>
                <c:ptCount val="24"/>
                <c:pt idx="0">
                  <c:v>17.3736</c:v>
                </c:pt>
                <c:pt idx="1">
                  <c:v>18.191334090909091</c:v>
                </c:pt>
                <c:pt idx="2">
                  <c:v>19.009068181818183</c:v>
                </c:pt>
                <c:pt idx="3">
                  <c:v>19.826802272727274</c:v>
                </c:pt>
                <c:pt idx="4">
                  <c:v>20.644536363636366</c:v>
                </c:pt>
                <c:pt idx="5">
                  <c:v>21.462270454545457</c:v>
                </c:pt>
                <c:pt idx="6">
                  <c:v>22.280004545454549</c:v>
                </c:pt>
                <c:pt idx="7">
                  <c:v>23.097738636363641</c:v>
                </c:pt>
                <c:pt idx="8">
                  <c:v>23.915472727272732</c:v>
                </c:pt>
                <c:pt idx="9">
                  <c:v>24.733206818181824</c:v>
                </c:pt>
                <c:pt idx="10">
                  <c:v>25.550940909090915</c:v>
                </c:pt>
                <c:pt idx="11">
                  <c:v>26.368675000000007</c:v>
                </c:pt>
                <c:pt idx="12">
                  <c:v>27.186409090909098</c:v>
                </c:pt>
                <c:pt idx="13">
                  <c:v>28.00414318181819</c:v>
                </c:pt>
                <c:pt idx="14">
                  <c:v>28.821877272727281</c:v>
                </c:pt>
                <c:pt idx="15">
                  <c:v>29.639611363636373</c:v>
                </c:pt>
                <c:pt idx="16">
                  <c:v>30.457345454545464</c:v>
                </c:pt>
                <c:pt idx="17">
                  <c:v>31.275079545454556</c:v>
                </c:pt>
                <c:pt idx="18">
                  <c:v>32.092813636363644</c:v>
                </c:pt>
                <c:pt idx="19">
                  <c:v>32.910547727272736</c:v>
                </c:pt>
                <c:pt idx="20">
                  <c:v>33.728281818181827</c:v>
                </c:pt>
                <c:pt idx="21">
                  <c:v>34.546015909090919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FCB0-4570-B7E8-952C0AC9E3FE}"/>
            </c:ext>
          </c:extLst>
        </c:ser>
        <c:ser>
          <c:idx val="4"/>
          <c:order val="4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TABLA!$AW$64</c:f>
              <c:numCache>
                <c:formatCode>0.000</c:formatCode>
                <c:ptCount val="1"/>
                <c:pt idx="0">
                  <c:v>22.85106086730957</c:v>
                </c:pt>
              </c:numCache>
            </c:numRef>
          </c:xVal>
          <c:yVal>
            <c:numRef>
              <c:f>TABLA!$AX$64</c:f>
              <c:numCache>
                <c:formatCode>0.000</c:formatCode>
                <c:ptCount val="1"/>
                <c:pt idx="0">
                  <c:v>23.077999999999999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4F4A-4680-8CFA-CC485DA5017F}"/>
            </c:ext>
          </c:extLst>
        </c:ser>
        <c:ser>
          <c:idx val="5"/>
          <c:order val="5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TABLA!$AW$65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TABLA!$AX$65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4F4A-4680-8CFA-CC485DA50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34296560"/>
        <c:axId val="434296952"/>
        <c:extLst>
          <c:ext xmlns:c15="http://schemas.microsoft.com/office/drawing/2012/chart" uri="{02D57815-91ED-43cb-92C2-25804820EDAC}">
            <c15:filteredBubbleSeries>
              <c15:ser>
                <c:idx val="6"/>
                <c:order val="6"/>
                <c:tx>
                  <c:v>5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>
                      <c:ext uri="{02D57815-91ED-43cb-92C2-25804820EDAC}">
                        <c15:formulaRef>
                          <c15:sqref>TABLA!$AW$5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23.905122756958008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TABLA!$AX$5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21.931999999999999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>
                  <c:ext xmlns:c16="http://schemas.microsoft.com/office/drawing/2014/chart" uri="{C3380CC4-5D6E-409C-BE32-E72D297353CC}">
                    <c16:uniqueId val="{00000005-4F4A-4680-8CFA-CC485DA5017F}"/>
                  </c:ext>
                </c:extLst>
              </c15:ser>
            </c15:filteredBubbleSeries>
            <c15:filteredBubbleSeries>
              <c15:ser>
                <c:idx val="7"/>
                <c:order val="7"/>
                <c:tx>
                  <c:v>6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23.07972526550293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25.474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F4A-4680-8CFA-CC485DA5017F}"/>
                  </c:ext>
                </c:extLst>
              </c15:ser>
            </c15:filteredBubbleSeries>
            <c15:filteredBubbleSeries>
              <c15:ser>
                <c:idx val="8"/>
                <c:order val="8"/>
                <c:tx>
                  <c:v>7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23.07972526550293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24.879000000000001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F4A-4680-8CFA-CC485DA5017F}"/>
                  </c:ext>
                </c:extLst>
              </c15:ser>
            </c15:filteredBubbleSeries>
            <c15:filteredBubbleSeries>
              <c15:ser>
                <c:idx val="9"/>
                <c:order val="9"/>
                <c:tx>
                  <c:v>8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22.874965667724609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21.806000000000001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F4A-4680-8CFA-CC485DA5017F}"/>
                  </c:ext>
                </c:extLst>
              </c15:ser>
            </c15:filteredBubbleSeries>
            <c15:filteredBubbleSeries>
              <c15:ser>
                <c:idx val="10"/>
                <c:order val="10"/>
                <c:tx>
                  <c:v>9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24.080657958984375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22.686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F4A-4680-8CFA-CC485DA5017F}"/>
                  </c:ext>
                </c:extLst>
              </c15:ser>
            </c15:filteredBubbleSeries>
            <c15:filteredBubbleSeries>
              <c15:ser>
                <c:idx val="11"/>
                <c:order val="11"/>
                <c:tx>
                  <c:v>10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23.181087493896484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23.88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F4A-4680-8CFA-CC485DA5017F}"/>
                  </c:ext>
                </c:extLst>
              </c15:ser>
            </c15:filteredBubbleSeries>
            <c15:filteredBubbleSeries>
              <c15:ser>
                <c:idx val="12"/>
                <c:order val="12"/>
                <c:tx>
                  <c:v>11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19.589813232421875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25.175999999999998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F4A-4680-8CFA-CC485DA5017F}"/>
                  </c:ext>
                </c:extLst>
              </c15:ser>
            </c15:filteredBubbleSeries>
            <c15:filteredBubbleSeries>
              <c15:ser>
                <c:idx val="13"/>
                <c:order val="13"/>
                <c:tx>
                  <c:v>12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24.089685440063477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24.532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F4A-4680-8CFA-CC485DA5017F}"/>
                  </c:ext>
                </c:extLst>
              </c15:ser>
            </c15:filteredBubbleSeries>
            <c15:filteredBubbleSeries>
              <c15:ser>
                <c:idx val="14"/>
                <c:order val="14"/>
                <c:tx>
                  <c:v>13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24.968690872192383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22.896999999999998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F4A-4680-8CFA-CC485DA5017F}"/>
                  </c:ext>
                </c:extLst>
              </c15:ser>
            </c15:filteredBubbleSeries>
            <c15:filteredBubbleSeries>
              <c15:ser>
                <c:idx val="15"/>
                <c:order val="15"/>
                <c:tx>
                  <c:v>14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22.765670776367188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24.384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F4A-4680-8CFA-CC485DA5017F}"/>
                  </c:ext>
                </c:extLst>
              </c15:ser>
            </c15:filteredBubbleSeries>
            <c15:filteredBubbleSeries>
              <c15:ser>
                <c:idx val="16"/>
                <c:order val="16"/>
                <c:tx>
                  <c:v>15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21.698329925537109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23.292999999999999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F4A-4680-8CFA-CC485DA5017F}"/>
                  </c:ext>
                </c:extLst>
              </c15:ser>
            </c15:filteredBubbleSeries>
            <c15:filteredBubbleSeries>
              <c15:ser>
                <c:idx val="17"/>
                <c:order val="17"/>
                <c:tx>
                  <c:v>16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22.739021301269531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24.228000000000002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F4A-4680-8CFA-CC485DA5017F}"/>
                  </c:ext>
                </c:extLst>
              </c15:ser>
            </c15:filteredBubbleSeries>
            <c15:filteredBubbleSeries>
              <c15:ser>
                <c:idx val="18"/>
                <c:order val="18"/>
                <c:tx>
                  <c:v>17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23.446987152099609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22.599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F4A-4680-8CFA-CC485DA5017F}"/>
                  </c:ext>
                </c:extLst>
              </c15:ser>
            </c15:filteredBubbleSeries>
            <c15:filteredBubbleSeries>
              <c15:ser>
                <c:idx val="19"/>
                <c:order val="19"/>
                <c:tx>
                  <c:v>18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22.019834518432617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22.984999999999999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F4A-4680-8CFA-CC485DA5017F}"/>
                  </c:ext>
                </c:extLst>
              </c15:ser>
            </c15:filteredBubbleSeries>
            <c15:filteredBubbleSeries>
              <c15:ser>
                <c:idx val="20"/>
                <c:order val="20"/>
                <c:tx>
                  <c:v>19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22.019834518432617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23.789000000000001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F4A-4680-8CFA-CC485DA5017F}"/>
                  </c:ext>
                </c:extLst>
              </c15:ser>
            </c15:filteredBubbleSeries>
            <c15:filteredBubbleSeries>
              <c15:ser>
                <c:idx val="21"/>
                <c:order val="21"/>
                <c:tx>
                  <c:v>20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22.019834518432617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24.324000000000002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F4A-4680-8CFA-CC485DA5017F}"/>
                  </c:ext>
                </c:extLst>
              </c15:ser>
            </c15:filteredBubbleSeries>
            <c15:filteredBubbleSeries>
              <c15:ser>
                <c:idx val="22"/>
                <c:order val="22"/>
                <c:tx>
                  <c:v>21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22.019834518432617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24.975000000000001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F4A-4680-8CFA-CC485DA5017F}"/>
                  </c:ext>
                </c:extLst>
              </c15:ser>
            </c15:filteredBubbleSeries>
            <c15:filteredBubbleSeries>
              <c15:ser>
                <c:idx val="23"/>
                <c:order val="23"/>
                <c:tx>
                  <c:v>22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23.598623275756836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22.885000000000002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F4A-4680-8CFA-CC485DA5017F}"/>
                  </c:ext>
                </c:extLst>
              </c15:ser>
            </c15:filteredBubbleSeries>
            <c15:filteredBubbleSeries>
              <c15:ser>
                <c:idx val="24"/>
                <c:order val="24"/>
                <c:tx>
                  <c:v>23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23.708185195922852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24.776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F4A-4680-8CFA-CC485DA5017F}"/>
                  </c:ext>
                </c:extLst>
              </c15:ser>
            </c15:filteredBubbleSeries>
            <c15:filteredBubbleSeries>
              <c15:ser>
                <c:idx val="25"/>
                <c:order val="25"/>
                <c:tx>
                  <c:v>24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22.722810745239258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21.143999999999998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F4A-4680-8CFA-CC485DA5017F}"/>
                  </c:ext>
                </c:extLst>
              </c15:ser>
            </c15:filteredBubbleSeries>
            <c15:filteredBubbleSeries>
              <c15:ser>
                <c:idx val="26"/>
                <c:order val="26"/>
                <c:tx>
                  <c:v>25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24.091524124145508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24.331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F4A-4680-8CFA-CC485DA5017F}"/>
                  </c:ext>
                </c:extLst>
              </c15:ser>
            </c15:filteredBubbleSeries>
            <c15:filteredBubbleSeries>
              <c15:ser>
                <c:idx val="27"/>
                <c:order val="27"/>
                <c:tx>
                  <c:v>26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22.786581039428711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23.065000000000001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F4A-4680-8CFA-CC485DA5017F}"/>
                  </c:ext>
                </c:extLst>
              </c15:ser>
            </c15:filteredBubbleSeries>
            <c15:filteredBubbleSeries>
              <c15:ser>
                <c:idx val="28"/>
                <c:order val="28"/>
                <c:tx>
                  <c:v>27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24.452625274658203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24.725999999999999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F4A-4680-8CFA-CC485DA5017F}"/>
                  </c:ext>
                </c:extLst>
              </c15:ser>
            </c15:filteredBubbleSeries>
            <c15:filteredBubbleSeries>
              <c15:ser>
                <c:idx val="29"/>
                <c:order val="29"/>
                <c:tx>
                  <c:v>28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18.288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F4A-4680-8CFA-CC485DA5017F}"/>
                  </c:ext>
                </c:extLst>
              </c15:ser>
            </c15:filteredBubbleSeries>
            <c15:filteredBubbleSeries>
              <c15:ser>
                <c:idx val="30"/>
                <c:order val="30"/>
                <c:tx>
                  <c:v>29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26.913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F4A-4680-8CFA-CC485DA5017F}"/>
                  </c:ext>
                </c:extLst>
              </c15:ser>
            </c15:filteredBubbleSeries>
            <c15:filteredBubbleSeries>
              <c15:ser>
                <c:idx val="31"/>
                <c:order val="31"/>
                <c:tx>
                  <c:v>30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21.335999999999999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F4A-4680-8CFA-CC485DA5017F}"/>
                  </c:ext>
                </c:extLst>
              </c15:ser>
            </c15:filteredBubbleSeries>
            <c15:filteredBubbleSeries>
              <c15:ser>
                <c:idx val="32"/>
                <c:order val="32"/>
                <c:tx>
                  <c:v>31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26.716000000000001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F4A-4680-8CFA-CC485DA5017F}"/>
                  </c:ext>
                </c:extLst>
              </c15:ser>
            </c15:filteredBubbleSeries>
            <c15:filteredBubbleSeries>
              <c15:ser>
                <c:idx val="33"/>
                <c:order val="33"/>
                <c:tx>
                  <c:v>32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21.856000000000002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F4A-4680-8CFA-CC485DA5017F}"/>
                  </c:ext>
                </c:extLst>
              </c15:ser>
            </c15:filteredBubbleSeries>
            <c15:filteredBubbleSeries>
              <c15:ser>
                <c:idx val="34"/>
                <c:order val="34"/>
                <c:tx>
                  <c:v>33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23.388000000000002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F4A-4680-8CFA-CC485DA5017F}"/>
                  </c:ext>
                </c:extLst>
              </c15:ser>
            </c15:filteredBubbleSeries>
            <c15:filteredBubbleSeries>
              <c15:ser>
                <c:idx val="35"/>
                <c:order val="35"/>
                <c:tx>
                  <c:v>34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23.382999999999999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F4A-4680-8CFA-CC485DA5017F}"/>
                  </c:ext>
                </c:extLst>
              </c15:ser>
            </c15:filteredBubbleSeries>
            <c15:filteredBubbleSeries>
              <c15:ser>
                <c:idx val="36"/>
                <c:order val="36"/>
                <c:tx>
                  <c:v>35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21.791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F4A-4680-8CFA-CC485DA5017F}"/>
                  </c:ext>
                </c:extLst>
              </c15:ser>
            </c15:filteredBubbleSeries>
            <c15:filteredBubbleSeries>
              <c15:ser>
                <c:idx val="37"/>
                <c:order val="37"/>
                <c:tx>
                  <c:v>36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23.015262603759766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24.725999999999999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F4A-4680-8CFA-CC485DA5017F}"/>
                  </c:ext>
                </c:extLst>
              </c15:ser>
            </c15:filteredBubbleSeries>
            <c15:filteredBubbleSeries>
              <c15:ser>
                <c:idx val="38"/>
                <c:order val="38"/>
                <c:tx>
                  <c:v>37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26.153593063354492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23.681000000000001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F4A-4680-8CFA-CC485DA5017F}"/>
                  </c:ext>
                </c:extLst>
              </c15:ser>
            </c15:filteredBubbleSeries>
            <c15:filteredBubbleSeries>
              <c15:ser>
                <c:idx val="39"/>
                <c:order val="39"/>
                <c:tx>
                  <c:v>38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25.166622161865234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23.864000000000001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F4A-4680-8CFA-CC485DA5017F}"/>
                  </c:ext>
                </c:extLst>
              </c15:ser>
            </c15:filteredBubbleSeries>
            <c15:filteredBubbleSeries>
              <c15:ser>
                <c:idx val="40"/>
                <c:order val="40"/>
                <c:tx>
                  <c:v>39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23.135202407836914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F4A-4680-8CFA-CC485DA5017F}"/>
                  </c:ext>
                </c:extLst>
              </c15:ser>
            </c15:filteredBubbleSeries>
            <c15:filteredBubbleSeries>
              <c15:ser>
                <c:idx val="41"/>
                <c:order val="41"/>
                <c:tx>
                  <c:v>40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23.102602005004883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23.084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F4A-4680-8CFA-CC485DA5017F}"/>
                  </c:ext>
                </c:extLst>
              </c15:ser>
            </c15:filteredBubbleSeries>
            <c15:filteredBubbleSeries>
              <c15:ser>
                <c:idx val="42"/>
                <c:order val="42"/>
                <c:tx>
                  <c:v>41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24.377904891967773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24.762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F4A-4680-8CFA-CC485DA5017F}"/>
                  </c:ext>
                </c:extLst>
              </c15:ser>
            </c15:filteredBubbleSeries>
            <c15:filteredBubbleSeries>
              <c15:ser>
                <c:idx val="43"/>
                <c:order val="43"/>
                <c:tx>
                  <c:v>42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25.557792663574219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24.184999999999999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F4A-4680-8CFA-CC485DA5017F}"/>
                  </c:ext>
                </c:extLst>
              </c15:ser>
            </c15:filteredBubbleSeries>
            <c15:filteredBubbleSeries>
              <c15:ser>
                <c:idx val="44"/>
                <c:order val="44"/>
                <c:tx>
                  <c:v>43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23.321441650390625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25.35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F4A-4680-8CFA-CC485DA5017F}"/>
                  </c:ext>
                </c:extLst>
              </c15:ser>
            </c15:filteredBubbleSeries>
            <c15:filteredBubbleSeries>
              <c15:ser>
                <c:idx val="45"/>
                <c:order val="45"/>
                <c:tx>
                  <c:v>44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21.977792739868164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25.373000000000001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F4A-4680-8CFA-CC485DA5017F}"/>
                  </c:ext>
                </c:extLst>
              </c15:ser>
            </c15:filteredBubbleSeries>
            <c15:filteredBubbleSeries>
              <c15:ser>
                <c:idx val="46"/>
                <c:order val="46"/>
                <c:tx>
                  <c:v>45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23.486249923706055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19.899999999999999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F4A-4680-8CFA-CC485DA5017F}"/>
                  </c:ext>
                </c:extLst>
              </c15:ser>
            </c15:filteredBubbleSeries>
            <c15:filteredBubbleSeries>
              <c15:ser>
                <c:idx val="47"/>
                <c:order val="47"/>
                <c:tx>
                  <c:v>46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20.749732971191406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20.795999999999999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F4A-4680-8CFA-CC485DA5017F}"/>
                  </c:ext>
                </c:extLst>
              </c15:ser>
            </c15:filteredBubbleSeries>
            <c15:filteredBubbleSeries>
              <c15:ser>
                <c:idx val="48"/>
                <c:order val="48"/>
                <c:tx>
                  <c:v>47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20.749732971191406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20.297999999999998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F4A-4680-8CFA-CC485DA5017F}"/>
                  </c:ext>
                </c:extLst>
              </c15:ser>
            </c15:filteredBubbleSeries>
            <c15:filteredBubbleSeries>
              <c15:ser>
                <c:idx val="49"/>
                <c:order val="49"/>
                <c:tx>
                  <c:v>48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19.81092643737793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22.686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F4A-4680-8CFA-CC485DA5017F}"/>
                  </c:ext>
                </c:extLst>
              </c15:ser>
            </c15:filteredBubbleSeries>
            <c15:filteredBubbleSeries>
              <c15:ser>
                <c:idx val="50"/>
                <c:order val="50"/>
                <c:tx>
                  <c:v>49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22.557380676269531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21.774000000000001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F4A-4680-8CFA-CC485DA5017F}"/>
                  </c:ext>
                </c:extLst>
              </c15:ser>
            </c15:filteredBubbleSeries>
            <c15:filteredBubbleSeries>
              <c15:ser>
                <c:idx val="51"/>
                <c:order val="51"/>
                <c:tx>
                  <c:v>50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20.495904922485352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22.885000000000002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F4A-4680-8CFA-CC485DA5017F}"/>
                  </c:ext>
                </c:extLst>
              </c15:ser>
            </c15:filteredBubbleSeries>
            <c15:filteredBubbleSeries>
              <c15:ser>
                <c:idx val="52"/>
                <c:order val="52"/>
                <c:tx>
                  <c:v>51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21.923906326293945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22.972000000000001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F4A-4680-8CFA-CC485DA5017F}"/>
                  </c:ext>
                </c:extLst>
              </c15:ser>
            </c15:filteredBubbleSeries>
            <c15:filteredBubbleSeries>
              <c15:ser>
                <c:idx val="53"/>
                <c:order val="53"/>
                <c:tx>
                  <c:v>52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25.237625122070313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24.975000000000001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F4A-4680-8CFA-CC485DA5017F}"/>
                  </c:ext>
                </c:extLst>
              </c15:ser>
            </c15:filteredBubbleSeries>
            <c15:filteredBubbleSeries>
              <c15:ser>
                <c:idx val="54"/>
                <c:order val="54"/>
                <c:tx>
                  <c:v>53</c:v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24.58636474609375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25.276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F4A-4680-8CFA-CC485DA5017F}"/>
                  </c:ext>
                </c:extLst>
              </c15:ser>
            </c15:filteredBubbleSeries>
            <c15:filteredBubbleSeries>
              <c15:ser>
                <c:idx val="55"/>
                <c:order val="55"/>
                <c:tx>
                  <c:v>54</c:v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22.322566986083984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23.321999999999999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F4A-4680-8CFA-CC485DA5017F}"/>
                  </c:ext>
                </c:extLst>
              </c15:ser>
            </c15:filteredBubbleSeries>
            <c15:filteredBubbleSeries>
              <c15:ser>
                <c:idx val="56"/>
                <c:order val="56"/>
                <c:tx>
                  <c:v>55</c:v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23.369316101074219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26.672000000000001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F4A-4680-8CFA-CC485DA5017F}"/>
                  </c:ext>
                </c:extLst>
              </c15:ser>
            </c15:filteredBubbleSeries>
            <c15:filteredBubbleSeries>
              <c15:ser>
                <c:idx val="57"/>
                <c:order val="57"/>
                <c:tx>
                  <c:v>56</c:v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23.859102249145508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23.248999999999999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F4A-4680-8CFA-CC485DA5017F}"/>
                  </c:ext>
                </c:extLst>
              </c15:ser>
            </c15:filteredBubbleSeries>
            <c15:filteredBubbleSeries>
              <c15:ser>
                <c:idx val="58"/>
                <c:order val="58"/>
                <c:tx>
                  <c:v>57</c:v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24.94134521484375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26.018999999999998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F4A-4680-8CFA-CC485DA5017F}"/>
                  </c:ext>
                </c:extLst>
              </c15:ser>
            </c15:filteredBubbleSeries>
            <c15:filteredBubbleSeries>
              <c15:ser>
                <c:idx val="59"/>
                <c:order val="59"/>
                <c:tx>
                  <c:v>58</c:v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27.135526657104492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28.291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F4A-4680-8CFA-CC485DA5017F}"/>
                  </c:ext>
                </c:extLst>
              </c15:ser>
            </c15:filteredBubbleSeries>
            <c15:filteredBubbleSeries>
              <c15:ser>
                <c:idx val="60"/>
                <c:order val="60"/>
                <c:tx>
                  <c:v>59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26.558300018310547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26.468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4F4A-4680-8CFA-CC485DA5017F}"/>
                  </c:ext>
                </c:extLst>
              </c15:ser>
            </c15:filteredBubbleSeries>
            <c15:filteredBubbleSeries>
              <c15:ser>
                <c:idx val="61"/>
                <c:order val="61"/>
                <c:tx>
                  <c:v>60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25.224943161010742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24.695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F4A-4680-8CFA-CC485DA5017F}"/>
                  </c:ext>
                </c:extLst>
              </c15:ser>
            </c15:filteredBubbleSeries>
            <c15:filteredBubbleSeries>
              <c15:ser>
                <c:idx val="62"/>
                <c:order val="62"/>
                <c:tx>
                  <c:v>61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24.710926055908203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25.768999999999998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F4A-4680-8CFA-CC485DA5017F}"/>
                  </c:ext>
                </c:extLst>
              </c15:ser>
            </c15:filteredBubbleSeries>
            <c15:filteredBubbleSeries>
              <c15:ser>
                <c:idx val="63"/>
                <c:order val="63"/>
                <c:tx>
                  <c:v>62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23.989170074462891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24.577000000000002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F4A-4680-8CFA-CC485DA5017F}"/>
                  </c:ext>
                </c:extLst>
              </c15:ser>
            </c15:filteredBubbleSeries>
            <c15:filteredBubbleSeries>
              <c15:ser>
                <c:idx val="64"/>
                <c:order val="64"/>
                <c:tx>
                  <c:v>63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TABLA!$AW$63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24.021186828613281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TABLA!$AX$63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24.97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F4A-4680-8CFA-CC485DA5017F}"/>
                  </c:ext>
                </c:extLst>
              </c15:ser>
            </c15:filteredBubbleSeries>
          </c:ext>
        </c:extLst>
      </c:bubbleChart>
      <c:valAx>
        <c:axId val="434296560"/>
        <c:scaling>
          <c:orientation val="minMax"/>
          <c:max val="30"/>
          <c:min val="21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966620269094513"/>
              <c:y val="0.945398132641407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96952"/>
        <c:crosses val="autoZero"/>
        <c:crossBetween val="midCat"/>
      </c:valAx>
      <c:valAx>
        <c:axId val="434296952"/>
        <c:scaling>
          <c:orientation val="minMax"/>
          <c:max val="30"/>
          <c:min val="21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96560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CONCENTRADO FINAL - PLANTA DE COBRE (%Mo)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0993175623795"/>
          <c:y val="7.2122906519058901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70148403375023"/>
          <c:y val="0.10845534970846407"/>
          <c:w val="0.84317370744023656"/>
          <c:h val="0.73142111088584538"/>
        </c:manualLayout>
      </c:layout>
      <c:bubbleChart>
        <c:varyColors val="0"/>
        <c:ser>
          <c:idx val="0"/>
          <c:order val="0"/>
          <c:tx>
            <c:strRef>
              <c:f>TABLA!$BE$3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TABLA!$BD$4:$BD$63</c:f>
              <c:numCache>
                <c:formatCode>0.000</c:formatCode>
                <c:ptCount val="60"/>
                <c:pt idx="0">
                  <c:v>1.0875203609466553</c:v>
                </c:pt>
                <c:pt idx="1">
                  <c:v>1.8896942138671875</c:v>
                </c:pt>
                <c:pt idx="2">
                  <c:v>3.2183988094329834</c:v>
                </c:pt>
                <c:pt idx="3">
                  <c:v>3.2183988094329834</c:v>
                </c:pt>
                <c:pt idx="4">
                  <c:v>2.5889632701873779</c:v>
                </c:pt>
                <c:pt idx="5">
                  <c:v>3.0138378143310547</c:v>
                </c:pt>
                <c:pt idx="6">
                  <c:v>1.770626425743103</c:v>
                </c:pt>
                <c:pt idx="7">
                  <c:v>1.9188697338104248</c:v>
                </c:pt>
                <c:pt idx="8">
                  <c:v>2.4945509433746338</c:v>
                </c:pt>
                <c:pt idx="9">
                  <c:v>1.9619637727737427</c:v>
                </c:pt>
                <c:pt idx="10">
                  <c:v>0.81273084878921509</c:v>
                </c:pt>
                <c:pt idx="11">
                  <c:v>0.56563651561737061</c:v>
                </c:pt>
                <c:pt idx="12">
                  <c:v>0.65406531095504761</c:v>
                </c:pt>
                <c:pt idx="13">
                  <c:v>0.85263621807098389</c:v>
                </c:pt>
                <c:pt idx="14">
                  <c:v>0.6122165322303772</c:v>
                </c:pt>
                <c:pt idx="15">
                  <c:v>0.6122165322303772</c:v>
                </c:pt>
                <c:pt idx="16">
                  <c:v>0.6122165322303772</c:v>
                </c:pt>
                <c:pt idx="17">
                  <c:v>0.6122165322303772</c:v>
                </c:pt>
                <c:pt idx="18">
                  <c:v>1.9800312519073486</c:v>
                </c:pt>
                <c:pt idx="19">
                  <c:v>1.8469420671463013</c:v>
                </c:pt>
                <c:pt idx="20">
                  <c:v>2.5230238437652588</c:v>
                </c:pt>
                <c:pt idx="21">
                  <c:v>2.1168584823608398</c:v>
                </c:pt>
                <c:pt idx="22">
                  <c:v>1.7113618850708008</c:v>
                </c:pt>
                <c:pt idx="23">
                  <c:v>1.4849699735641479</c:v>
                </c:pt>
                <c:pt idx="24">
                  <c:v>1.4501559734344482</c:v>
                </c:pt>
                <c:pt idx="25">
                  <c:v>1.4501559734344482</c:v>
                </c:pt>
                <c:pt idx="26">
                  <c:v>1.4501559734344482</c:v>
                </c:pt>
                <c:pt idx="27">
                  <c:v>1.4501559734344482</c:v>
                </c:pt>
                <c:pt idx="28">
                  <c:v>1.4501559734344482</c:v>
                </c:pt>
                <c:pt idx="29">
                  <c:v>1.4501559734344482</c:v>
                </c:pt>
                <c:pt idx="30">
                  <c:v>1.4501559734344482</c:v>
                </c:pt>
                <c:pt idx="31">
                  <c:v>1.4501559734344482</c:v>
                </c:pt>
                <c:pt idx="32">
                  <c:v>1.4501559734344482</c:v>
                </c:pt>
                <c:pt idx="33">
                  <c:v>1.8572525978088379</c:v>
                </c:pt>
                <c:pt idx="34">
                  <c:v>1.893884539604187</c:v>
                </c:pt>
                <c:pt idx="35">
                  <c:v>1.7489078044891357</c:v>
                </c:pt>
                <c:pt idx="36">
                  <c:v>2.3694190979003906</c:v>
                </c:pt>
                <c:pt idx="37">
                  <c:v>2.65802001953125</c:v>
                </c:pt>
                <c:pt idx="38">
                  <c:v>2.3231534957885742</c:v>
                </c:pt>
                <c:pt idx="39">
                  <c:v>1.7807154655456543</c:v>
                </c:pt>
                <c:pt idx="40">
                  <c:v>1.8171306848526001</c:v>
                </c:pt>
                <c:pt idx="41">
                  <c:v>1.6388206481933594</c:v>
                </c:pt>
                <c:pt idx="42">
                  <c:v>1.2933531999588013</c:v>
                </c:pt>
                <c:pt idx="43">
                  <c:v>1.2933531999588013</c:v>
                </c:pt>
                <c:pt idx="44">
                  <c:v>1.9880478382110596</c:v>
                </c:pt>
                <c:pt idx="45">
                  <c:v>1.7497682571411133</c:v>
                </c:pt>
                <c:pt idx="46">
                  <c:v>3.0950853824615479</c:v>
                </c:pt>
                <c:pt idx="47">
                  <c:v>2.9916768074035645</c:v>
                </c:pt>
                <c:pt idx="48">
                  <c:v>3.0219612121582031</c:v>
                </c:pt>
                <c:pt idx="49">
                  <c:v>2.3146829605102539</c:v>
                </c:pt>
                <c:pt idx="50">
                  <c:v>3.0827581882476807</c:v>
                </c:pt>
                <c:pt idx="51">
                  <c:v>3.2293510437011719</c:v>
                </c:pt>
                <c:pt idx="52">
                  <c:v>4.3261613845825195</c:v>
                </c:pt>
                <c:pt idx="53">
                  <c:v>2.7876472473144531</c:v>
                </c:pt>
                <c:pt idx="54">
                  <c:v>2.0547170639038086</c:v>
                </c:pt>
                <c:pt idx="55">
                  <c:v>1.9102345705032349</c:v>
                </c:pt>
                <c:pt idx="56">
                  <c:v>1.9583030939102173</c:v>
                </c:pt>
                <c:pt idx="57">
                  <c:v>2.5906531810760498</c:v>
                </c:pt>
                <c:pt idx="58">
                  <c:v>3.0815331935882568</c:v>
                </c:pt>
                <c:pt idx="59">
                  <c:v>2.2631101608276367</c:v>
                </c:pt>
              </c:numCache>
            </c:numRef>
          </c:xVal>
          <c:yVal>
            <c:numRef>
              <c:f>TABLA!$BE$4:$BE$63</c:f>
              <c:numCache>
                <c:formatCode>0.000</c:formatCode>
                <c:ptCount val="60"/>
                <c:pt idx="0">
                  <c:v>1.706</c:v>
                </c:pt>
                <c:pt idx="1">
                  <c:v>1.631</c:v>
                </c:pt>
                <c:pt idx="2">
                  <c:v>2.851</c:v>
                </c:pt>
                <c:pt idx="3">
                  <c:v>2.198</c:v>
                </c:pt>
                <c:pt idx="4">
                  <c:v>3.4420000000000002</c:v>
                </c:pt>
                <c:pt idx="5">
                  <c:v>3.9129999999999998</c:v>
                </c:pt>
                <c:pt idx="6">
                  <c:v>2.1230000000000002</c:v>
                </c:pt>
                <c:pt idx="7">
                  <c:v>2.1680000000000001</c:v>
                </c:pt>
                <c:pt idx="8">
                  <c:v>2.1459999999999999</c:v>
                </c:pt>
                <c:pt idx="9">
                  <c:v>1.8540000000000001</c:v>
                </c:pt>
                <c:pt idx="10">
                  <c:v>0.754</c:v>
                </c:pt>
                <c:pt idx="11">
                  <c:v>0.68600000000000005</c:v>
                </c:pt>
                <c:pt idx="12">
                  <c:v>0.67800000000000005</c:v>
                </c:pt>
                <c:pt idx="13">
                  <c:v>0.97499999999999998</c:v>
                </c:pt>
                <c:pt idx="14">
                  <c:v>0.69499999999999995</c:v>
                </c:pt>
                <c:pt idx="15">
                  <c:v>0.746</c:v>
                </c:pt>
                <c:pt idx="16">
                  <c:v>1.4670000000000001</c:v>
                </c:pt>
                <c:pt idx="17">
                  <c:v>1.4730000000000001</c:v>
                </c:pt>
                <c:pt idx="18">
                  <c:v>2.68</c:v>
                </c:pt>
                <c:pt idx="19">
                  <c:v>1.6240000000000001</c:v>
                </c:pt>
                <c:pt idx="20">
                  <c:v>2.9460000000000002</c:v>
                </c:pt>
                <c:pt idx="21">
                  <c:v>1.764</c:v>
                </c:pt>
                <c:pt idx="22">
                  <c:v>1.617</c:v>
                </c:pt>
                <c:pt idx="23">
                  <c:v>1.4370000000000001</c:v>
                </c:pt>
                <c:pt idx="24">
                  <c:v>1.5609999999999999</c:v>
                </c:pt>
                <c:pt idx="25">
                  <c:v>2.29</c:v>
                </c:pt>
                <c:pt idx="26">
                  <c:v>1.7749999999999999</c:v>
                </c:pt>
                <c:pt idx="27">
                  <c:v>1.6779999999999999</c:v>
                </c:pt>
                <c:pt idx="28">
                  <c:v>2.3109999999999999</c:v>
                </c:pt>
                <c:pt idx="29">
                  <c:v>1.841</c:v>
                </c:pt>
                <c:pt idx="30">
                  <c:v>0.89400000000000002</c:v>
                </c:pt>
                <c:pt idx="31">
                  <c:v>1.2869999999999999</c:v>
                </c:pt>
                <c:pt idx="32">
                  <c:v>1.101</c:v>
                </c:pt>
                <c:pt idx="33">
                  <c:v>1.9059999999999999</c:v>
                </c:pt>
                <c:pt idx="34">
                  <c:v>1.8069999999999999</c:v>
                </c:pt>
                <c:pt idx="35">
                  <c:v>0</c:v>
                </c:pt>
                <c:pt idx="36">
                  <c:v>1.97</c:v>
                </c:pt>
                <c:pt idx="37">
                  <c:v>2.9470000000000001</c:v>
                </c:pt>
                <c:pt idx="38">
                  <c:v>2.61</c:v>
                </c:pt>
                <c:pt idx="39">
                  <c:v>1.585</c:v>
                </c:pt>
                <c:pt idx="40">
                  <c:v>1.788</c:v>
                </c:pt>
                <c:pt idx="41">
                  <c:v>1.83</c:v>
                </c:pt>
                <c:pt idx="42">
                  <c:v>1.59</c:v>
                </c:pt>
                <c:pt idx="43">
                  <c:v>1.8759999999999999</c:v>
                </c:pt>
                <c:pt idx="44">
                  <c:v>1.7490000000000001</c:v>
                </c:pt>
                <c:pt idx="45">
                  <c:v>2.16</c:v>
                </c:pt>
                <c:pt idx="46">
                  <c:v>2.927</c:v>
                </c:pt>
                <c:pt idx="47">
                  <c:v>2.488</c:v>
                </c:pt>
                <c:pt idx="48">
                  <c:v>2.383</c:v>
                </c:pt>
                <c:pt idx="49">
                  <c:v>2.198</c:v>
                </c:pt>
                <c:pt idx="50">
                  <c:v>3.17</c:v>
                </c:pt>
                <c:pt idx="51">
                  <c:v>2.8050000000000002</c:v>
                </c:pt>
                <c:pt idx="52">
                  <c:v>4.569</c:v>
                </c:pt>
                <c:pt idx="53">
                  <c:v>2.3180000000000001</c:v>
                </c:pt>
                <c:pt idx="54">
                  <c:v>2.9260000000000002</c:v>
                </c:pt>
                <c:pt idx="55">
                  <c:v>2.081</c:v>
                </c:pt>
                <c:pt idx="56">
                  <c:v>2.645</c:v>
                </c:pt>
                <c:pt idx="57">
                  <c:v>2.6469999999999998</c:v>
                </c:pt>
                <c:pt idx="58">
                  <c:v>3.649</c:v>
                </c:pt>
                <c:pt idx="59">
                  <c:v>2.3460000000000001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272E-4646-AEA2-0ACC6F0A9351}"/>
            </c:ext>
          </c:extLst>
        </c:ser>
        <c:ser>
          <c:idx val="1"/>
          <c:order val="1"/>
          <c:tx>
            <c:strRef>
              <c:f>Calculos!$AF$5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Calculos!$AE$6:$AE$29</c:f>
              <c:numCache>
                <c:formatCode>0.000</c:formatCode>
                <c:ptCount val="24"/>
                <c:pt idx="0">
                  <c:v>0.64410000000000001</c:v>
                </c:pt>
                <c:pt idx="1">
                  <c:v>0.87442500000000001</c:v>
                </c:pt>
                <c:pt idx="2">
                  <c:v>1.1047500000000001</c:v>
                </c:pt>
                <c:pt idx="3">
                  <c:v>1.3350750000000002</c:v>
                </c:pt>
                <c:pt idx="4">
                  <c:v>1.5654000000000003</c:v>
                </c:pt>
                <c:pt idx="5">
                  <c:v>1.7957250000000005</c:v>
                </c:pt>
                <c:pt idx="6">
                  <c:v>2.0260500000000006</c:v>
                </c:pt>
                <c:pt idx="7">
                  <c:v>2.2563750000000007</c:v>
                </c:pt>
                <c:pt idx="8">
                  <c:v>2.4867000000000008</c:v>
                </c:pt>
                <c:pt idx="9">
                  <c:v>2.7170250000000009</c:v>
                </c:pt>
                <c:pt idx="10">
                  <c:v>2.947350000000001</c:v>
                </c:pt>
                <c:pt idx="11">
                  <c:v>3.1776750000000011</c:v>
                </c:pt>
                <c:pt idx="12">
                  <c:v>3.4080000000000013</c:v>
                </c:pt>
                <c:pt idx="13">
                  <c:v>3.6383250000000014</c:v>
                </c:pt>
                <c:pt idx="14">
                  <c:v>3.8686500000000015</c:v>
                </c:pt>
                <c:pt idx="15">
                  <c:v>4.0989750000000011</c:v>
                </c:pt>
                <c:pt idx="16">
                  <c:v>4.3293000000000008</c:v>
                </c:pt>
                <c:pt idx="17">
                  <c:v>4.5596250000000005</c:v>
                </c:pt>
                <c:pt idx="18">
                  <c:v>4.7899500000000002</c:v>
                </c:pt>
                <c:pt idx="19">
                  <c:v>5.0202749999999998</c:v>
                </c:pt>
                <c:pt idx="20">
                  <c:v>5.2505999999999995</c:v>
                </c:pt>
                <c:pt idx="21">
                  <c:v>5.4809249999999992</c:v>
                </c:pt>
                <c:pt idx="22">
                  <c:v>0</c:v>
                </c:pt>
                <c:pt idx="23">
                  <c:v>2.5</c:v>
                </c:pt>
              </c:numCache>
            </c:numRef>
          </c:xVal>
          <c:yVal>
            <c:numRef>
              <c:f>Calculos!$AF$6:$AF$29</c:f>
              <c:numCache>
                <c:formatCode>0.000</c:formatCode>
                <c:ptCount val="24"/>
                <c:pt idx="0">
                  <c:v>0.64410000000000001</c:v>
                </c:pt>
                <c:pt idx="1">
                  <c:v>0.87442500000000001</c:v>
                </c:pt>
                <c:pt idx="2">
                  <c:v>1.1047500000000001</c:v>
                </c:pt>
                <c:pt idx="3">
                  <c:v>1.3350750000000002</c:v>
                </c:pt>
                <c:pt idx="4">
                  <c:v>1.5654000000000003</c:v>
                </c:pt>
                <c:pt idx="5">
                  <c:v>1.7957250000000005</c:v>
                </c:pt>
                <c:pt idx="6">
                  <c:v>2.0260500000000006</c:v>
                </c:pt>
                <c:pt idx="7">
                  <c:v>2.2563750000000007</c:v>
                </c:pt>
                <c:pt idx="8">
                  <c:v>2.4867000000000008</c:v>
                </c:pt>
                <c:pt idx="9">
                  <c:v>2.7170250000000009</c:v>
                </c:pt>
                <c:pt idx="10">
                  <c:v>2.947350000000001</c:v>
                </c:pt>
                <c:pt idx="11">
                  <c:v>3.1776750000000011</c:v>
                </c:pt>
                <c:pt idx="12">
                  <c:v>3.4080000000000013</c:v>
                </c:pt>
                <c:pt idx="13">
                  <c:v>3.6383250000000014</c:v>
                </c:pt>
                <c:pt idx="14">
                  <c:v>3.8686500000000015</c:v>
                </c:pt>
                <c:pt idx="15">
                  <c:v>4.0989750000000011</c:v>
                </c:pt>
                <c:pt idx="16">
                  <c:v>4.3293000000000008</c:v>
                </c:pt>
                <c:pt idx="17">
                  <c:v>4.5596250000000005</c:v>
                </c:pt>
                <c:pt idx="18">
                  <c:v>4.7899500000000002</c:v>
                </c:pt>
                <c:pt idx="19">
                  <c:v>5.0202749999999998</c:v>
                </c:pt>
                <c:pt idx="20">
                  <c:v>5.2505999999999995</c:v>
                </c:pt>
                <c:pt idx="21">
                  <c:v>5.4809249999999992</c:v>
                </c:pt>
                <c:pt idx="22">
                  <c:v>0</c:v>
                </c:pt>
                <c:pt idx="23">
                  <c:v>2.5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272E-4646-AEA2-0ACC6F0A9351}"/>
            </c:ext>
          </c:extLst>
        </c:ser>
        <c:ser>
          <c:idx val="2"/>
          <c:order val="2"/>
          <c:tx>
            <c:strRef>
              <c:f>Calculos!$AG$4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Calculos!$AG$6:$AG$29</c:f>
              <c:numCache>
                <c:formatCode>0.000</c:formatCode>
                <c:ptCount val="24"/>
                <c:pt idx="0">
                  <c:v>0.46034925000000004</c:v>
                </c:pt>
                <c:pt idx="1">
                  <c:v>0.69067425000000005</c:v>
                </c:pt>
                <c:pt idx="2">
                  <c:v>0.92099925000000016</c:v>
                </c:pt>
                <c:pt idx="3">
                  <c:v>1.1513242500000003</c:v>
                </c:pt>
                <c:pt idx="4">
                  <c:v>1.3816492500000004</c:v>
                </c:pt>
                <c:pt idx="5">
                  <c:v>1.6119742500000005</c:v>
                </c:pt>
                <c:pt idx="6">
                  <c:v>1.8422992500000006</c:v>
                </c:pt>
                <c:pt idx="7">
                  <c:v>2.0726242500000005</c:v>
                </c:pt>
                <c:pt idx="8">
                  <c:v>2.3029492500000006</c:v>
                </c:pt>
                <c:pt idx="9">
                  <c:v>2.5332742500000007</c:v>
                </c:pt>
                <c:pt idx="10">
                  <c:v>2.7635992500000008</c:v>
                </c:pt>
                <c:pt idx="11">
                  <c:v>2.993924250000001</c:v>
                </c:pt>
                <c:pt idx="12">
                  <c:v>3.2242492500000011</c:v>
                </c:pt>
                <c:pt idx="13">
                  <c:v>3.4545742500000012</c:v>
                </c:pt>
                <c:pt idx="14">
                  <c:v>3.6848992500000013</c:v>
                </c:pt>
                <c:pt idx="15">
                  <c:v>3.915224250000001</c:v>
                </c:pt>
                <c:pt idx="16">
                  <c:v>4.1455492500000011</c:v>
                </c:pt>
                <c:pt idx="17">
                  <c:v>4.3758742500000007</c:v>
                </c:pt>
                <c:pt idx="18">
                  <c:v>4.6061992500000004</c:v>
                </c:pt>
                <c:pt idx="19">
                  <c:v>4.8365242500000001</c:v>
                </c:pt>
                <c:pt idx="20">
                  <c:v>5.0668492499999997</c:v>
                </c:pt>
                <c:pt idx="21">
                  <c:v>5.2971742499999994</c:v>
                </c:pt>
                <c:pt idx="22">
                  <c:v>-0.18375074999999999</c:v>
                </c:pt>
                <c:pt idx="23">
                  <c:v>2.3162492499999998</c:v>
                </c:pt>
              </c:numCache>
            </c:numRef>
          </c:xVal>
          <c:yVal>
            <c:numRef>
              <c:f>Calculos!$AH$6:$AH$29</c:f>
              <c:numCache>
                <c:formatCode>0.000</c:formatCode>
                <c:ptCount val="24"/>
                <c:pt idx="0">
                  <c:v>0.64410000000000001</c:v>
                </c:pt>
                <c:pt idx="1">
                  <c:v>0.87442500000000001</c:v>
                </c:pt>
                <c:pt idx="2">
                  <c:v>1.1047500000000001</c:v>
                </c:pt>
                <c:pt idx="3">
                  <c:v>1.3350750000000002</c:v>
                </c:pt>
                <c:pt idx="4">
                  <c:v>1.5654000000000003</c:v>
                </c:pt>
                <c:pt idx="5">
                  <c:v>1.7957250000000005</c:v>
                </c:pt>
                <c:pt idx="6">
                  <c:v>2.0260500000000006</c:v>
                </c:pt>
                <c:pt idx="7">
                  <c:v>2.2563750000000007</c:v>
                </c:pt>
                <c:pt idx="8">
                  <c:v>2.4867000000000008</c:v>
                </c:pt>
                <c:pt idx="9">
                  <c:v>2.7170250000000009</c:v>
                </c:pt>
                <c:pt idx="10">
                  <c:v>2.947350000000001</c:v>
                </c:pt>
                <c:pt idx="11">
                  <c:v>3.1776750000000011</c:v>
                </c:pt>
                <c:pt idx="12">
                  <c:v>3.4080000000000013</c:v>
                </c:pt>
                <c:pt idx="13">
                  <c:v>3.6383250000000014</c:v>
                </c:pt>
                <c:pt idx="14">
                  <c:v>3.8686500000000015</c:v>
                </c:pt>
                <c:pt idx="15">
                  <c:v>4.0989750000000011</c:v>
                </c:pt>
                <c:pt idx="16">
                  <c:v>4.3293000000000008</c:v>
                </c:pt>
                <c:pt idx="17">
                  <c:v>4.5596250000000005</c:v>
                </c:pt>
                <c:pt idx="18">
                  <c:v>4.7899500000000002</c:v>
                </c:pt>
                <c:pt idx="19">
                  <c:v>5.0202749999999998</c:v>
                </c:pt>
                <c:pt idx="20">
                  <c:v>5.2505999999999995</c:v>
                </c:pt>
                <c:pt idx="21">
                  <c:v>5.4809249999999992</c:v>
                </c:pt>
                <c:pt idx="22">
                  <c:v>0</c:v>
                </c:pt>
                <c:pt idx="23">
                  <c:v>2.5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272E-4646-AEA2-0ACC6F0A9351}"/>
            </c:ext>
          </c:extLst>
        </c:ser>
        <c:ser>
          <c:idx val="3"/>
          <c:order val="3"/>
          <c:tx>
            <c:strRef>
              <c:f>Calculos!$AI$4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Calculos!$AI$6:$AI$29</c:f>
              <c:numCache>
                <c:formatCode>0.000</c:formatCode>
                <c:ptCount val="24"/>
                <c:pt idx="0">
                  <c:v>0.82785074999999997</c:v>
                </c:pt>
                <c:pt idx="1">
                  <c:v>1.05817575</c:v>
                </c:pt>
                <c:pt idx="2">
                  <c:v>1.2885007500000001</c:v>
                </c:pt>
                <c:pt idx="3">
                  <c:v>1.5188257500000002</c:v>
                </c:pt>
                <c:pt idx="4">
                  <c:v>1.7491507500000003</c:v>
                </c:pt>
                <c:pt idx="5">
                  <c:v>1.9794757500000004</c:v>
                </c:pt>
                <c:pt idx="6">
                  <c:v>2.2098007500000008</c:v>
                </c:pt>
                <c:pt idx="7">
                  <c:v>2.4401257500000009</c:v>
                </c:pt>
                <c:pt idx="8">
                  <c:v>2.670450750000001</c:v>
                </c:pt>
                <c:pt idx="9">
                  <c:v>2.9007757500000011</c:v>
                </c:pt>
                <c:pt idx="10">
                  <c:v>3.1311007500000012</c:v>
                </c:pt>
                <c:pt idx="11">
                  <c:v>3.3614257500000013</c:v>
                </c:pt>
                <c:pt idx="12">
                  <c:v>3.5917507500000014</c:v>
                </c:pt>
                <c:pt idx="13">
                  <c:v>3.8220757500000015</c:v>
                </c:pt>
                <c:pt idx="14">
                  <c:v>4.0524007500000012</c:v>
                </c:pt>
                <c:pt idx="15">
                  <c:v>4.2827257500000009</c:v>
                </c:pt>
                <c:pt idx="16">
                  <c:v>4.5130507500000006</c:v>
                </c:pt>
                <c:pt idx="17">
                  <c:v>4.7433757500000002</c:v>
                </c:pt>
                <c:pt idx="18">
                  <c:v>4.9737007499999999</c:v>
                </c:pt>
                <c:pt idx="19">
                  <c:v>5.2040257499999996</c:v>
                </c:pt>
                <c:pt idx="20">
                  <c:v>5.4343507499999992</c:v>
                </c:pt>
                <c:pt idx="21">
                  <c:v>5.6646757499999989</c:v>
                </c:pt>
                <c:pt idx="22">
                  <c:v>0.18375074999999999</c:v>
                </c:pt>
                <c:pt idx="23">
                  <c:v>2.6837507500000002</c:v>
                </c:pt>
              </c:numCache>
            </c:numRef>
          </c:xVal>
          <c:yVal>
            <c:numRef>
              <c:f>Calculos!$AJ$6:$AJ$29</c:f>
              <c:numCache>
                <c:formatCode>0.000</c:formatCode>
                <c:ptCount val="24"/>
                <c:pt idx="0">
                  <c:v>0.64410000000000001</c:v>
                </c:pt>
                <c:pt idx="1">
                  <c:v>0.87442500000000001</c:v>
                </c:pt>
                <c:pt idx="2">
                  <c:v>1.1047500000000001</c:v>
                </c:pt>
                <c:pt idx="3">
                  <c:v>1.3350750000000002</c:v>
                </c:pt>
                <c:pt idx="4">
                  <c:v>1.5654000000000003</c:v>
                </c:pt>
                <c:pt idx="5">
                  <c:v>1.7957250000000005</c:v>
                </c:pt>
                <c:pt idx="6">
                  <c:v>2.0260500000000006</c:v>
                </c:pt>
                <c:pt idx="7">
                  <c:v>2.2563750000000007</c:v>
                </c:pt>
                <c:pt idx="8">
                  <c:v>2.4867000000000008</c:v>
                </c:pt>
                <c:pt idx="9">
                  <c:v>2.7170250000000009</c:v>
                </c:pt>
                <c:pt idx="10">
                  <c:v>2.947350000000001</c:v>
                </c:pt>
                <c:pt idx="11">
                  <c:v>3.1776750000000011</c:v>
                </c:pt>
                <c:pt idx="12">
                  <c:v>3.4080000000000013</c:v>
                </c:pt>
                <c:pt idx="13">
                  <c:v>3.6383250000000014</c:v>
                </c:pt>
                <c:pt idx="14">
                  <c:v>3.8686500000000015</c:v>
                </c:pt>
                <c:pt idx="15">
                  <c:v>4.0989750000000011</c:v>
                </c:pt>
                <c:pt idx="16">
                  <c:v>4.3293000000000008</c:v>
                </c:pt>
                <c:pt idx="17">
                  <c:v>4.5596250000000005</c:v>
                </c:pt>
                <c:pt idx="18">
                  <c:v>4.7899500000000002</c:v>
                </c:pt>
                <c:pt idx="19">
                  <c:v>5.0202749999999998</c:v>
                </c:pt>
                <c:pt idx="20">
                  <c:v>5.2505999999999995</c:v>
                </c:pt>
                <c:pt idx="21">
                  <c:v>5.4809249999999992</c:v>
                </c:pt>
                <c:pt idx="22">
                  <c:v>0</c:v>
                </c:pt>
                <c:pt idx="23">
                  <c:v>2.5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272E-4646-AEA2-0ACC6F0A9351}"/>
            </c:ext>
          </c:extLst>
        </c:ser>
        <c:ser>
          <c:idx val="4"/>
          <c:order val="4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TABLA!$BD$64</c:f>
              <c:numCache>
                <c:formatCode>0.000</c:formatCode>
                <c:ptCount val="1"/>
                <c:pt idx="0">
                  <c:v>1.6234313249588013</c:v>
                </c:pt>
              </c:numCache>
            </c:numRef>
          </c:xVal>
          <c:yVal>
            <c:numRef>
              <c:f>TABLA!$BE$64</c:f>
              <c:numCache>
                <c:formatCode>0.000</c:formatCode>
                <c:ptCount val="1"/>
                <c:pt idx="0">
                  <c:v>1.899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2CA6-484F-AF3F-CE0D55AD7D31}"/>
            </c:ext>
          </c:extLst>
        </c:ser>
        <c:ser>
          <c:idx val="5"/>
          <c:order val="5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TABLA!$BD$65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TABLA!$BE$65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2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2CA6-484F-AF3F-CE0D55AD7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434289112"/>
        <c:axId val="434295776"/>
        <c:extLst>
          <c:ext xmlns:c15="http://schemas.microsoft.com/office/drawing/2012/chart" uri="{02D57815-91ED-43cb-92C2-25804820EDAC}">
            <c15:filteredBubbleSeries>
              <c15:ser>
                <c:idx val="6"/>
                <c:order val="6"/>
                <c:tx>
                  <c:v>5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>
                      <c:ext uri="{02D57815-91ED-43cb-92C2-25804820EDAC}">
                        <c15:formulaRef>
                          <c15:sqref>TABLA!$BD$5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1.8896942138671875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TABLA!$BE$5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1.631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>
                  <c:ext xmlns:c16="http://schemas.microsoft.com/office/drawing/2014/chart" uri="{C3380CC4-5D6E-409C-BE32-E72D297353CC}">
                    <c16:uniqueId val="{00000005-2CA6-484F-AF3F-CE0D55AD7D31}"/>
                  </c:ext>
                </c:extLst>
              </c15:ser>
            </c15:filteredBubbleSeries>
            <c15:filteredBubbleSeries>
              <c15:ser>
                <c:idx val="7"/>
                <c:order val="7"/>
                <c:tx>
                  <c:v>6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3.2183988094329834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2.851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CA6-484F-AF3F-CE0D55AD7D31}"/>
                  </c:ext>
                </c:extLst>
              </c15:ser>
            </c15:filteredBubbleSeries>
            <c15:filteredBubbleSeries>
              <c15:ser>
                <c:idx val="8"/>
                <c:order val="8"/>
                <c:tx>
                  <c:v>7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3.2183988094329834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CA6-484F-AF3F-CE0D55AD7D31}"/>
                  </c:ext>
                </c:extLst>
              </c15:ser>
            </c15:filteredBubbleSeries>
            <c15:filteredBubbleSeries>
              <c15:ser>
                <c:idx val="9"/>
                <c:order val="9"/>
                <c:tx>
                  <c:v>8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2.5889632701873779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3.4420000000000002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A6-484F-AF3F-CE0D55AD7D31}"/>
                  </c:ext>
                </c:extLst>
              </c15:ser>
            </c15:filteredBubbleSeries>
            <c15:filteredBubbleSeries>
              <c15:ser>
                <c:idx val="10"/>
                <c:order val="10"/>
                <c:tx>
                  <c:v>9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3.0138378143310547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3.9129999999999998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CA6-484F-AF3F-CE0D55AD7D31}"/>
                  </c:ext>
                </c:extLst>
              </c15:ser>
            </c15:filteredBubbleSeries>
            <c15:filteredBubbleSeries>
              <c15:ser>
                <c:idx val="11"/>
                <c:order val="11"/>
                <c:tx>
                  <c:v>10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1.770626425743103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2.1230000000000002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CA6-484F-AF3F-CE0D55AD7D31}"/>
                  </c:ext>
                </c:extLst>
              </c15:ser>
            </c15:filteredBubbleSeries>
            <c15:filteredBubbleSeries>
              <c15:ser>
                <c:idx val="12"/>
                <c:order val="12"/>
                <c:tx>
                  <c:v>11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1.9188697338104248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2.1680000000000001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CA6-484F-AF3F-CE0D55AD7D31}"/>
                  </c:ext>
                </c:extLst>
              </c15:ser>
            </c15:filteredBubbleSeries>
            <c15:filteredBubbleSeries>
              <c15:ser>
                <c:idx val="13"/>
                <c:order val="13"/>
                <c:tx>
                  <c:v>12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2.4945509433746338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2.1459999999999999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CA6-484F-AF3F-CE0D55AD7D31}"/>
                  </c:ext>
                </c:extLst>
              </c15:ser>
            </c15:filteredBubbleSeries>
            <c15:filteredBubbleSeries>
              <c15:ser>
                <c:idx val="14"/>
                <c:order val="14"/>
                <c:tx>
                  <c:v>13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Pt>
                  <c:idx val="0"/>
                  <c:invertIfNegative val="0"/>
                  <c:bubble3D val="1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2CA6-484F-AF3F-CE0D55AD7D3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1.9619637727737427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1.8540000000000001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CA6-484F-AF3F-CE0D55AD7D31}"/>
                  </c:ext>
                </c:extLst>
              </c15:ser>
            </c15:filteredBubbleSeries>
            <c15:filteredBubbleSeries>
              <c15:ser>
                <c:idx val="15"/>
                <c:order val="15"/>
                <c:tx>
                  <c:v>14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0.81273084878921509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0.754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CA6-484F-AF3F-CE0D55AD7D31}"/>
                  </c:ext>
                </c:extLst>
              </c15:ser>
            </c15:filteredBubbleSeries>
            <c15:filteredBubbleSeries>
              <c15:ser>
                <c:idx val="16"/>
                <c:order val="16"/>
                <c:tx>
                  <c:v>15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0.56563651561737061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0.68600000000000005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CA6-484F-AF3F-CE0D55AD7D31}"/>
                  </c:ext>
                </c:extLst>
              </c15:ser>
            </c15:filteredBubbleSeries>
            <c15:filteredBubbleSeries>
              <c15:ser>
                <c:idx val="17"/>
                <c:order val="17"/>
                <c:tx>
                  <c:v>16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0.65406531095504761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0.67800000000000005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CA6-484F-AF3F-CE0D55AD7D31}"/>
                  </c:ext>
                </c:extLst>
              </c15:ser>
            </c15:filteredBubbleSeries>
            <c15:filteredBubbleSeries>
              <c15:ser>
                <c:idx val="18"/>
                <c:order val="18"/>
                <c:tx>
                  <c:v>17</c:v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0.85263621807098389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0.97499999999999998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CA6-484F-AF3F-CE0D55AD7D31}"/>
                  </c:ext>
                </c:extLst>
              </c15:ser>
            </c15:filteredBubbleSeries>
            <c15:filteredBubbleSeries>
              <c15:ser>
                <c:idx val="19"/>
                <c:order val="19"/>
                <c:tx>
                  <c:v>18</c:v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0.6122165322303772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0.69499999999999995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CA6-484F-AF3F-CE0D55AD7D31}"/>
                  </c:ext>
                </c:extLst>
              </c15:ser>
            </c15:filteredBubbleSeries>
            <c15:filteredBubbleSeries>
              <c15:ser>
                <c:idx val="20"/>
                <c:order val="20"/>
                <c:tx>
                  <c:v>19</c:v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0.6122165322303772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TABLA!$BE$19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0.746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CA6-484F-AF3F-CE0D55AD7D31}"/>
                  </c:ext>
                </c:extLst>
              </c15:ser>
            </c15:filteredBubbleSeries>
            <c15:filteredBubbleSeries>
              <c15:ser>
                <c:idx val="21"/>
                <c:order val="21"/>
                <c:tx>
                  <c:v>20</c:v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0.6122165322303772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1.4670000000000001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CA6-484F-AF3F-CE0D55AD7D31}"/>
                  </c:ext>
                </c:extLst>
              </c15:ser>
            </c15:filteredBubbleSeries>
            <c15:filteredBubbleSeries>
              <c15:ser>
                <c:idx val="22"/>
                <c:order val="22"/>
                <c:tx>
                  <c:v>21</c:v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0.6122165322303772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1.4730000000000001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CA6-484F-AF3F-CE0D55AD7D31}"/>
                  </c:ext>
                </c:extLst>
              </c15:ser>
            </c15:filteredBubbleSeries>
            <c15:filteredBubbleSeries>
              <c15:ser>
                <c:idx val="23"/>
                <c:order val="23"/>
                <c:tx>
                  <c:v>22</c:v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1.9800312519073486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2.68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CA6-484F-AF3F-CE0D55AD7D31}"/>
                  </c:ext>
                </c:extLst>
              </c15:ser>
            </c15:filteredBubbleSeries>
            <c15:filteredBubbleSeries>
              <c15:ser>
                <c:idx val="24"/>
                <c:order val="24"/>
                <c:tx>
                  <c:v>23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1.8469420671463013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1.6240000000000001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CA6-484F-AF3F-CE0D55AD7D31}"/>
                  </c:ext>
                </c:extLst>
              </c15:ser>
            </c15:filteredBubbleSeries>
            <c15:filteredBubbleSeries>
              <c15:ser>
                <c:idx val="25"/>
                <c:order val="25"/>
                <c:tx>
                  <c:v>24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2.5230238437652588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2.9460000000000002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CA6-484F-AF3F-CE0D55AD7D31}"/>
                  </c:ext>
                </c:extLst>
              </c15:ser>
            </c15:filteredBubbleSeries>
            <c15:filteredBubbleSeries>
              <c15:ser>
                <c:idx val="26"/>
                <c:order val="26"/>
                <c:tx>
                  <c:v>25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2.1168584823608398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1.764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CA6-484F-AF3F-CE0D55AD7D31}"/>
                  </c:ext>
                </c:extLst>
              </c15:ser>
            </c15:filteredBubbleSeries>
            <c15:filteredBubbleSeries>
              <c15:ser>
                <c:idx val="27"/>
                <c:order val="27"/>
                <c:tx>
                  <c:v>26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1.7113618850708008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1.617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CA6-484F-AF3F-CE0D55AD7D31}"/>
                  </c:ext>
                </c:extLst>
              </c15:ser>
            </c15:filteredBubbleSeries>
            <c15:filteredBubbleSeries>
              <c15:ser>
                <c:idx val="28"/>
                <c:order val="28"/>
                <c:tx>
                  <c:v>27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1.4849699735641479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1.4370000000000001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CA6-484F-AF3F-CE0D55AD7D31}"/>
                  </c:ext>
                </c:extLst>
              </c15:ser>
            </c15:filteredBubbleSeries>
            <c15:filteredBubbleSeries>
              <c15:ser>
                <c:idx val="29"/>
                <c:order val="29"/>
                <c:tx>
                  <c:v>28</c:v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1.5609999999999999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CA6-484F-AF3F-CE0D55AD7D31}"/>
                  </c:ext>
                </c:extLst>
              </c15:ser>
            </c15:filteredBubbleSeries>
            <c15:filteredBubbleSeries>
              <c15:ser>
                <c:idx val="30"/>
                <c:order val="30"/>
                <c:tx>
                  <c:v>29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TABLA!$BE$29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2.29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CA6-484F-AF3F-CE0D55AD7D31}"/>
                  </c:ext>
                </c:extLst>
              </c15:ser>
            </c15:filteredBubbleSeries>
            <c15:filteredBubbleSeries>
              <c15:ser>
                <c:idx val="31"/>
                <c:order val="31"/>
                <c:tx>
                  <c:v>30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1.7749999999999999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CA6-484F-AF3F-CE0D55AD7D31}"/>
                  </c:ext>
                </c:extLst>
              </c15:ser>
            </c15:filteredBubbleSeries>
            <c15:filteredBubbleSeries>
              <c15:ser>
                <c:idx val="32"/>
                <c:order val="32"/>
                <c:tx>
                  <c:v>31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1.6779999999999999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CA6-484F-AF3F-CE0D55AD7D31}"/>
                  </c:ext>
                </c:extLst>
              </c15:ser>
            </c15:filteredBubbleSeries>
            <c15:filteredBubbleSeries>
              <c15:ser>
                <c:idx val="33"/>
                <c:order val="33"/>
                <c:tx>
                  <c:v>32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2.3109999999999999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CA6-484F-AF3F-CE0D55AD7D31}"/>
                  </c:ext>
                </c:extLst>
              </c15:ser>
            </c15:filteredBubbleSeries>
            <c15:filteredBubbleSeries>
              <c15:ser>
                <c:idx val="34"/>
                <c:order val="34"/>
                <c:tx>
                  <c:v>33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1.841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CA6-484F-AF3F-CE0D55AD7D31}"/>
                  </c:ext>
                </c:extLst>
              </c15:ser>
            </c15:filteredBubbleSeries>
            <c15:filteredBubbleSeries>
              <c15:ser>
                <c:idx val="35"/>
                <c:order val="35"/>
                <c:tx>
                  <c:v>34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0.89400000000000002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CA6-484F-AF3F-CE0D55AD7D31}"/>
                  </c:ext>
                </c:extLst>
              </c15:ser>
            </c15:filteredBubbleSeries>
            <c15:filteredBubbleSeries>
              <c15:ser>
                <c:idx val="36"/>
                <c:order val="36"/>
                <c:tx>
                  <c:v>35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1.2869999999999999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CA6-484F-AF3F-CE0D55AD7D31}"/>
                  </c:ext>
                </c:extLst>
              </c15:ser>
            </c15:filteredBubbleSeries>
            <c15:filteredBubbleSeries>
              <c15:ser>
                <c:idx val="37"/>
                <c:order val="37"/>
                <c:tx>
                  <c:v>36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1.4501559734344482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1.101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CA6-484F-AF3F-CE0D55AD7D31}"/>
                  </c:ext>
                </c:extLst>
              </c15:ser>
            </c15:filteredBubbleSeries>
            <c15:filteredBubbleSeries>
              <c15:ser>
                <c:idx val="38"/>
                <c:order val="38"/>
                <c:tx>
                  <c:v>37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1.8572525978088379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1.9059999999999999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CA6-484F-AF3F-CE0D55AD7D31}"/>
                  </c:ext>
                </c:extLst>
              </c15:ser>
            </c15:filteredBubbleSeries>
            <c15:filteredBubbleSeries>
              <c15:ser>
                <c:idx val="39"/>
                <c:order val="39"/>
                <c:tx>
                  <c:v>38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1.893884539604187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1.8069999999999999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CA6-484F-AF3F-CE0D55AD7D31}"/>
                  </c:ext>
                </c:extLst>
              </c15:ser>
            </c15:filteredBubbleSeries>
            <c15:filteredBubbleSeries>
              <c15:ser>
                <c:idx val="40"/>
                <c:order val="40"/>
                <c:tx>
                  <c:v>39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1.7489078044891357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TABLA!$BE$39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0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CA6-484F-AF3F-CE0D55AD7D31}"/>
                  </c:ext>
                </c:extLst>
              </c15:ser>
            </c15:filteredBubbleSeries>
            <c15:filteredBubbleSeries>
              <c15:ser>
                <c:idx val="41"/>
                <c:order val="41"/>
                <c:tx>
                  <c:v>40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2.3694190979003906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1.97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CA6-484F-AF3F-CE0D55AD7D31}"/>
                  </c:ext>
                </c:extLst>
              </c15:ser>
            </c15:filteredBubbleSeries>
            <c15:filteredBubbleSeries>
              <c15:ser>
                <c:idx val="42"/>
                <c:order val="42"/>
                <c:tx>
                  <c:v>41</c:v>
                </c:tx>
                <c:spPr>
                  <a:gradFill rotWithShape="1">
                    <a:gsLst>
                      <a:gs pos="0">
                        <a:schemeClr val="accent1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2.65802001953125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2.9470000000000001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CA6-484F-AF3F-CE0D55AD7D31}"/>
                  </c:ext>
                </c:extLst>
              </c15:ser>
            </c15:filteredBubbleSeries>
            <c15:filteredBubbleSeries>
              <c15:ser>
                <c:idx val="43"/>
                <c:order val="43"/>
                <c:tx>
                  <c:v>42</c:v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2.3231534957885742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2.61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CA6-484F-AF3F-CE0D55AD7D31}"/>
                  </c:ext>
                </c:extLst>
              </c15:ser>
            </c15:filteredBubbleSeries>
            <c15:filteredBubbleSeries>
              <c15:ser>
                <c:idx val="44"/>
                <c:order val="44"/>
                <c:tx>
                  <c:v>43</c:v>
                </c:tx>
                <c:spPr>
                  <a:gradFill rotWithShape="1">
                    <a:gsLst>
                      <a:gs pos="0">
                        <a:schemeClr val="accent3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1.7807154655456543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1.585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CA6-484F-AF3F-CE0D55AD7D31}"/>
                  </c:ext>
                </c:extLst>
              </c15:ser>
            </c15:filteredBubbleSeries>
            <c15:filteredBubbleSeries>
              <c15:ser>
                <c:idx val="45"/>
                <c:order val="45"/>
                <c:tx>
                  <c:v>44</c:v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1.8171306848526001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1.788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CA6-484F-AF3F-CE0D55AD7D31}"/>
                  </c:ext>
                </c:extLst>
              </c15:ser>
            </c15:filteredBubbleSeries>
            <c15:filteredBubbleSeries>
              <c15:ser>
                <c:idx val="46"/>
                <c:order val="46"/>
                <c:tx>
                  <c:v>45</c:v>
                </c:tx>
                <c:spPr>
                  <a:gradFill rotWithShape="1">
                    <a:gsLst>
                      <a:gs pos="0">
                        <a:schemeClr val="accent5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1.6388206481933594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CA6-484F-AF3F-CE0D55AD7D31}"/>
                  </c:ext>
                </c:extLst>
              </c15:ser>
            </c15:filteredBubbleSeries>
            <c15:filteredBubbleSeries>
              <c15:ser>
                <c:idx val="47"/>
                <c:order val="47"/>
                <c:tx>
                  <c:v>46</c:v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1.2933531999588013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1.59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CA6-484F-AF3F-CE0D55AD7D31}"/>
                  </c:ext>
                </c:extLst>
              </c15:ser>
            </c15:filteredBubbleSeries>
            <c15:filteredBubbleSeries>
              <c15:ser>
                <c:idx val="48"/>
                <c:order val="48"/>
                <c:tx>
                  <c:v>47</c:v>
                </c:tx>
                <c:spPr>
                  <a:gradFill rotWithShape="1">
                    <a:gsLst>
                      <a:gs pos="0">
                        <a:schemeClr val="accent1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1.2933531999588013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1.8759999999999999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CA6-484F-AF3F-CE0D55AD7D31}"/>
                  </c:ext>
                </c:extLst>
              </c15:ser>
            </c15:filteredBubbleSeries>
            <c15:filteredBubbleSeries>
              <c15:ser>
                <c:idx val="49"/>
                <c:order val="49"/>
                <c:tx>
                  <c:v>48</c:v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1.9880478382110596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1.7490000000000001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CA6-484F-AF3F-CE0D55AD7D31}"/>
                  </c:ext>
                </c:extLst>
              </c15:ser>
            </c15:filteredBubbleSeries>
            <c15:filteredBubbleSeries>
              <c15:ser>
                <c:idx val="50"/>
                <c:order val="50"/>
                <c:tx>
                  <c:v>49</c:v>
                </c:tx>
                <c:spPr>
                  <a:gradFill rotWithShape="1">
                    <a:gsLst>
                      <a:gs pos="0">
                        <a:schemeClr val="accent3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1.7497682571411133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TABLA!$BE$49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2.16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CA6-484F-AF3F-CE0D55AD7D31}"/>
                  </c:ext>
                </c:extLst>
              </c15:ser>
            </c15:filteredBubbleSeries>
            <c15:filteredBubbleSeries>
              <c15:ser>
                <c:idx val="51"/>
                <c:order val="51"/>
                <c:tx>
                  <c:v>50</c:v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3.0950853824615479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2.927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CA6-484F-AF3F-CE0D55AD7D31}"/>
                  </c:ext>
                </c:extLst>
              </c15:ser>
            </c15:filteredBubbleSeries>
            <c15:filteredBubbleSeries>
              <c15:ser>
                <c:idx val="52"/>
                <c:order val="52"/>
                <c:tx>
                  <c:v>51</c:v>
                </c:tx>
                <c:spPr>
                  <a:gradFill rotWithShape="1">
                    <a:gsLst>
                      <a:gs pos="0">
                        <a:schemeClr val="accent5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2.9916768074035645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2.488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CA6-484F-AF3F-CE0D55AD7D31}"/>
                  </c:ext>
                </c:extLst>
              </c15:ser>
            </c15:filteredBubbleSeries>
            <c15:filteredBubbleSeries>
              <c15:ser>
                <c:idx val="53"/>
                <c:order val="53"/>
                <c:tx>
                  <c:v>52</c:v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3.0219612121582031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2.383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CA6-484F-AF3F-CE0D55AD7D31}"/>
                  </c:ext>
                </c:extLst>
              </c15:ser>
            </c15:filteredBubbleSeries>
            <c15:filteredBubbleSeries>
              <c15:ser>
                <c:idx val="54"/>
                <c:order val="54"/>
                <c:tx>
                  <c:v>53</c:v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2.3146829605102539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2.198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CA6-484F-AF3F-CE0D55AD7D31}"/>
                  </c:ext>
                </c:extLst>
              </c15:ser>
            </c15:filteredBubbleSeries>
            <c15:filteredBubbleSeries>
              <c15:ser>
                <c:idx val="55"/>
                <c:order val="55"/>
                <c:tx>
                  <c:v>54</c:v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3.0827581882476807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TABLA!$BE$54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3.17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CA6-484F-AF3F-CE0D55AD7D31}"/>
                  </c:ext>
                </c:extLst>
              </c15:ser>
            </c15:filteredBubbleSeries>
            <c15:filteredBubbleSeries>
              <c15:ser>
                <c:idx val="56"/>
                <c:order val="56"/>
                <c:tx>
                  <c:v>55</c:v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3.2293510437011719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TABLA!$BE$55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2.8050000000000002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CA6-484F-AF3F-CE0D55AD7D31}"/>
                  </c:ext>
                </c:extLst>
              </c15:ser>
            </c15:filteredBubbleSeries>
            <c15:filteredBubbleSeries>
              <c15:ser>
                <c:idx val="57"/>
                <c:order val="57"/>
                <c:tx>
                  <c:v>56</c:v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4.3261613845825195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TABLA!$BE$56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4.569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CA6-484F-AF3F-CE0D55AD7D31}"/>
                  </c:ext>
                </c:extLst>
              </c15:ser>
            </c15:filteredBubbleSeries>
            <c15:filteredBubbleSeries>
              <c15:ser>
                <c:idx val="58"/>
                <c:order val="58"/>
                <c:tx>
                  <c:v>57</c:v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2.7876472473144531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TABLA!$BE$57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2.3180000000000001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CA6-484F-AF3F-CE0D55AD7D31}"/>
                  </c:ext>
                </c:extLst>
              </c15:ser>
            </c15:filteredBubbleSeries>
            <c15:filteredBubbleSeries>
              <c15:ser>
                <c:idx val="59"/>
                <c:order val="59"/>
                <c:tx>
                  <c:v>58</c:v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2.0547170639038086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TABLA!$BE$58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2.9260000000000002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CA6-484F-AF3F-CE0D55AD7D31}"/>
                  </c:ext>
                </c:extLst>
              </c15:ser>
            </c15:filteredBubbleSeries>
            <c15:filteredBubbleSeries>
              <c15:ser>
                <c:idx val="60"/>
                <c:order val="60"/>
                <c:tx>
                  <c:v>59</c:v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1.9102345705032349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TABLA!$BE$59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2.081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CA6-484F-AF3F-CE0D55AD7D31}"/>
                  </c:ext>
                </c:extLst>
              </c15:ser>
            </c15:filteredBubbleSeries>
            <c15:filteredBubbleSeries>
              <c15:ser>
                <c:idx val="61"/>
                <c:order val="61"/>
                <c:tx>
                  <c:v>60</c:v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1.9583030939102173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TABLA!$BE$60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2.645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CA6-484F-AF3F-CE0D55AD7D31}"/>
                  </c:ext>
                </c:extLst>
              </c15:ser>
            </c15:filteredBubbleSeries>
            <c15:filteredBubbleSeries>
              <c15:ser>
                <c:idx val="62"/>
                <c:order val="62"/>
                <c:tx>
                  <c:v>61</c:v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2.5906531810760498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TABLA!$BE$61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2.6469999999999998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CA6-484F-AF3F-CE0D55AD7D31}"/>
                  </c:ext>
                </c:extLst>
              </c15:ser>
            </c15:filteredBubbleSeries>
            <c15:filteredBubbleSeries>
              <c15:ser>
                <c:idx val="63"/>
                <c:order val="63"/>
                <c:tx>
                  <c:v>62</c:v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3.0815331935882568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TABLA!$BE$62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3.649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CA6-484F-AF3F-CE0D55AD7D31}"/>
                  </c:ext>
                </c:extLst>
              </c15:ser>
            </c15:filteredBubbleSeries>
            <c15:filteredBubbleSeries>
              <c15:ser>
                <c:idx val="64"/>
                <c:order val="64"/>
                <c:tx>
                  <c:v>63</c:v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 w="25400"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TABLA!$BD$63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2.2631101608276367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TABLA!$BE$63</c15:sqref>
                        </c15:formulaRef>
                      </c:ext>
                    </c:extLst>
                    <c:numCache>
                      <c:formatCode>0.000</c:formatCode>
                      <c:ptCount val="1"/>
                      <c:pt idx="0">
                        <c:v>2.3460000000000001</c:v>
                      </c:pt>
                    </c:numCache>
                  </c:numRef>
                </c:yVal>
                <c:bubbleSize>
                  <c:numLit>
                    <c:formatCode>General</c:formatCode>
                    <c:ptCount val="24"/>
                    <c:pt idx="0">
                      <c:v>1</c:v>
                    </c:pt>
                    <c:pt idx="1">
                      <c:v>1</c:v>
                    </c:pt>
                    <c:pt idx="2">
                      <c:v>1</c:v>
                    </c:pt>
                    <c:pt idx="3">
                      <c:v>1</c:v>
                    </c:pt>
                    <c:pt idx="4">
                      <c:v>1</c:v>
                    </c:pt>
                    <c:pt idx="5">
                      <c:v>1</c:v>
                    </c:pt>
                    <c:pt idx="6">
                      <c:v>1</c:v>
                    </c:pt>
                    <c:pt idx="7">
                      <c:v>1</c:v>
                    </c:pt>
                    <c:pt idx="8">
                      <c:v>1</c:v>
                    </c:pt>
                    <c:pt idx="9">
                      <c:v>1</c:v>
                    </c:pt>
                    <c:pt idx="10">
                      <c:v>1</c:v>
                    </c:pt>
                    <c:pt idx="11">
                      <c:v>1</c:v>
                    </c:pt>
                    <c:pt idx="12">
                      <c:v>1</c:v>
                    </c:pt>
                    <c:pt idx="13">
                      <c:v>1</c:v>
                    </c:pt>
                    <c:pt idx="14">
                      <c:v>1</c:v>
                    </c:pt>
                    <c:pt idx="15">
                      <c:v>1</c:v>
                    </c:pt>
                    <c:pt idx="16">
                      <c:v>1</c:v>
                    </c:pt>
                    <c:pt idx="17">
                      <c:v>1</c:v>
                    </c:pt>
                    <c:pt idx="18">
                      <c:v>1</c:v>
                    </c:pt>
                    <c:pt idx="19">
                      <c:v>1</c:v>
                    </c:pt>
                    <c:pt idx="20">
                      <c:v>1</c:v>
                    </c:pt>
                    <c:pt idx="21">
                      <c:v>1</c:v>
                    </c:pt>
                    <c:pt idx="22">
                      <c:v>1</c:v>
                    </c:pt>
                    <c:pt idx="23">
                      <c:v>1</c:v>
                    </c:pt>
                  </c:numLit>
                </c:bubbleSize>
                <c:bubble3D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2CA6-484F-AF3F-CE0D55AD7D31}"/>
                  </c:ext>
                </c:extLst>
              </c15:ser>
            </c15:filteredBubbleSeries>
          </c:ext>
        </c:extLst>
      </c:bubbleChart>
      <c:valAx>
        <c:axId val="434289112"/>
        <c:scaling>
          <c:orientation val="minMax"/>
          <c:max val="2.6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258507215614016"/>
              <c:y val="0.93097355133759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95776"/>
        <c:crosses val="autoZero"/>
        <c:crossBetween val="midCat"/>
        <c:majorUnit val="0.2"/>
      </c:valAx>
      <c:valAx>
        <c:axId val="434295776"/>
        <c:scaling>
          <c:orientation val="minMax"/>
          <c:max val="2.6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34289112"/>
        <c:crosses val="autoZero"/>
        <c:crossBetween val="midCat"/>
        <c:majorUnit val="0.2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COBRE (%Cu)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437324549"/>
          <c:y val="0.11615740740740743"/>
          <c:w val="0.83065193155732542"/>
          <c:h val="0.71227652974669853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TABLA!$F$3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TABLA!$F$4:$F$63</c:f>
              <c:numCache>
                <c:formatCode>0.000</c:formatCode>
                <c:ptCount val="60"/>
                <c:pt idx="0">
                  <c:v>0.14772232341766356</c:v>
                </c:pt>
                <c:pt idx="1">
                  <c:v>-1.5277676582336419E-2</c:v>
                </c:pt>
                <c:pt idx="2">
                  <c:v>0.14734562015533448</c:v>
                </c:pt>
                <c:pt idx="3">
                  <c:v>0.21934562015533443</c:v>
                </c:pt>
                <c:pt idx="4">
                  <c:v>9.2231915950775178E-2</c:v>
                </c:pt>
                <c:pt idx="5">
                  <c:v>-7.1967220306397017E-3</c:v>
                </c:pt>
                <c:pt idx="6">
                  <c:v>3.9579436302185078E-2</c:v>
                </c:pt>
                <c:pt idx="7">
                  <c:v>5.2446585178375194E-2</c:v>
                </c:pt>
                <c:pt idx="8">
                  <c:v>-7.4366854667663573E-2</c:v>
                </c:pt>
                <c:pt idx="9">
                  <c:v>-4.3038110017776465E-2</c:v>
                </c:pt>
                <c:pt idx="10">
                  <c:v>3.4582622051239076E-3</c:v>
                </c:pt>
                <c:pt idx="11">
                  <c:v>1.7681933164596542E-2</c:v>
                </c:pt>
                <c:pt idx="12">
                  <c:v>-7.529328036308286E-2</c:v>
                </c:pt>
                <c:pt idx="13">
                  <c:v>2.7515865802764883E-2</c:v>
                </c:pt>
                <c:pt idx="14">
                  <c:v>-4.5629897117615004E-3</c:v>
                </c:pt>
                <c:pt idx="15">
                  <c:v>-1.2673423290252672E-2</c:v>
                </c:pt>
                <c:pt idx="16">
                  <c:v>3.3020296096801793E-3</c:v>
                </c:pt>
                <c:pt idx="17">
                  <c:v>4.930202960968022E-2</c:v>
                </c:pt>
                <c:pt idx="18">
                  <c:v>2.0755693435668965E-2</c:v>
                </c:pt>
                <c:pt idx="19">
                  <c:v>7.9984890460968017E-2</c:v>
                </c:pt>
                <c:pt idx="20">
                  <c:v>2.8093154907226525E-2</c:v>
                </c:pt>
                <c:pt idx="21">
                  <c:v>-1.588883304595945E-2</c:v>
                </c:pt>
                <c:pt idx="22">
                  <c:v>-4.1101789474486949E-3</c:v>
                </c:pt>
                <c:pt idx="23">
                  <c:v>7.9758328914642296E-2</c:v>
                </c:pt>
                <c:pt idx="24">
                  <c:v>-4.4940605163574232E-2</c:v>
                </c:pt>
                <c:pt idx="25">
                  <c:v>4.7880043029785102E-2</c:v>
                </c:pt>
                <c:pt idx="26">
                  <c:v>2.3880043029785192E-2</c:v>
                </c:pt>
                <c:pt idx="27">
                  <c:v>4.1983468532562296E-2</c:v>
                </c:pt>
                <c:pt idx="28">
                  <c:v>-6.4755487442016424E-3</c:v>
                </c:pt>
                <c:pt idx="29">
                  <c:v>-2.1705222606658914E-2</c:v>
                </c:pt>
                <c:pt idx="30">
                  <c:v>-6.6860628843307512E-2</c:v>
                </c:pt>
                <c:pt idx="31">
                  <c:v>-8.9072304248809797E-2</c:v>
                </c:pt>
                <c:pt idx="32">
                  <c:v>-3.7989831447601263E-2</c:v>
                </c:pt>
                <c:pt idx="33">
                  <c:v>-4.0833545207977273E-2</c:v>
                </c:pt>
                <c:pt idx="34">
                  <c:v>4.7684240341186568E-2</c:v>
                </c:pt>
                <c:pt idx="35">
                  <c:v>0</c:v>
                </c:pt>
                <c:pt idx="36">
                  <c:v>6.7374512910842899E-2</c:v>
                </c:pt>
                <c:pt idx="37">
                  <c:v>4.0875335216522202E-2</c:v>
                </c:pt>
                <c:pt idx="38">
                  <c:v>8.5661996364593485E-2</c:v>
                </c:pt>
                <c:pt idx="39">
                  <c:v>5.669930219650271E-2</c:v>
                </c:pt>
                <c:pt idx="40">
                  <c:v>0.12470170283317566</c:v>
                </c:pt>
                <c:pt idx="41">
                  <c:v>5.0616079330444319E-2</c:v>
                </c:pt>
                <c:pt idx="42">
                  <c:v>6.9503953218460091E-2</c:v>
                </c:pt>
                <c:pt idx="43">
                  <c:v>3.0503953218460056E-2</c:v>
                </c:pt>
                <c:pt idx="44">
                  <c:v>1.1089664459228543E-2</c:v>
                </c:pt>
                <c:pt idx="45">
                  <c:v>4.7971114873886112E-2</c:v>
                </c:pt>
                <c:pt idx="46">
                  <c:v>2.5731300115585332E-2</c:v>
                </c:pt>
                <c:pt idx="47">
                  <c:v>3.4715548038482646E-2</c:v>
                </c:pt>
                <c:pt idx="48">
                  <c:v>1.6189688205718977E-2</c:v>
                </c:pt>
                <c:pt idx="49">
                  <c:v>2.7042591571807884E-2</c:v>
                </c:pt>
                <c:pt idx="50">
                  <c:v>6.3999658584594776E-2</c:v>
                </c:pt>
                <c:pt idx="51">
                  <c:v>5.1368398666381876E-2</c:v>
                </c:pt>
                <c:pt idx="52">
                  <c:v>-2.1436650753021258E-2</c:v>
                </c:pt>
                <c:pt idx="53">
                  <c:v>1.3577682733535767E-2</c:v>
                </c:pt>
                <c:pt idx="54">
                  <c:v>-4.3806035919189457</c:v>
                </c:pt>
                <c:pt idx="55">
                  <c:v>-4.3976035919189451</c:v>
                </c:pt>
                <c:pt idx="56">
                  <c:v>1.9953499078750603E-2</c:v>
                </c:pt>
                <c:pt idx="57">
                  <c:v>3.2369207620620732E-2</c:v>
                </c:pt>
                <c:pt idx="58">
                  <c:v>-7.7077419757842769E-3</c:v>
                </c:pt>
                <c:pt idx="59">
                  <c:v>-2.60163245201111E-2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A-47E1-A842-0BB01A0C8379}"/>
            </c:ext>
          </c:extLst>
        </c:ser>
        <c:ser>
          <c:idx val="1"/>
          <c:order val="1"/>
          <c:tx>
            <c:strRef>
              <c:f>TABLA!$J$3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TABLA!$J$4:$J$64</c:f>
              <c:numCache>
                <c:formatCode>0.000</c:formatCode>
                <c:ptCount val="61"/>
                <c:pt idx="0">
                  <c:v>-4.990387499999998E-2</c:v>
                </c:pt>
                <c:pt idx="1">
                  <c:v>-4.990387499999998E-2</c:v>
                </c:pt>
                <c:pt idx="2">
                  <c:v>-4.990387499999998E-2</c:v>
                </c:pt>
                <c:pt idx="3">
                  <c:v>-4.990387499999998E-2</c:v>
                </c:pt>
                <c:pt idx="4">
                  <c:v>-4.990387499999998E-2</c:v>
                </c:pt>
                <c:pt idx="5">
                  <c:v>-4.990387499999998E-2</c:v>
                </c:pt>
                <c:pt idx="6">
                  <c:v>-4.990387499999998E-2</c:v>
                </c:pt>
                <c:pt idx="7">
                  <c:v>-4.990387499999998E-2</c:v>
                </c:pt>
                <c:pt idx="8">
                  <c:v>-4.990387499999998E-2</c:v>
                </c:pt>
                <c:pt idx="9">
                  <c:v>-4.990387499999998E-2</c:v>
                </c:pt>
                <c:pt idx="10">
                  <c:v>-4.990387499999998E-2</c:v>
                </c:pt>
                <c:pt idx="11">
                  <c:v>-4.990387499999998E-2</c:v>
                </c:pt>
                <c:pt idx="12">
                  <c:v>-4.990387499999998E-2</c:v>
                </c:pt>
                <c:pt idx="13">
                  <c:v>-4.990387499999998E-2</c:v>
                </c:pt>
                <c:pt idx="14">
                  <c:v>-4.990387499999998E-2</c:v>
                </c:pt>
                <c:pt idx="15">
                  <c:v>-4.990387499999998E-2</c:v>
                </c:pt>
                <c:pt idx="16">
                  <c:v>-4.990387499999998E-2</c:v>
                </c:pt>
                <c:pt idx="17">
                  <c:v>-4.990387499999998E-2</c:v>
                </c:pt>
                <c:pt idx="18">
                  <c:v>-4.990387499999998E-2</c:v>
                </c:pt>
                <c:pt idx="19">
                  <c:v>-4.990387499999998E-2</c:v>
                </c:pt>
                <c:pt idx="20">
                  <c:v>-4.990387499999998E-2</c:v>
                </c:pt>
                <c:pt idx="21">
                  <c:v>-4.990387499999998E-2</c:v>
                </c:pt>
                <c:pt idx="22">
                  <c:v>-4.990387499999998E-2</c:v>
                </c:pt>
                <c:pt idx="23">
                  <c:v>-4.990387499999998E-2</c:v>
                </c:pt>
                <c:pt idx="24">
                  <c:v>-4.990387499999998E-2</c:v>
                </c:pt>
                <c:pt idx="25">
                  <c:v>-4.990387499999998E-2</c:v>
                </c:pt>
                <c:pt idx="26">
                  <c:v>-4.990387499999998E-2</c:v>
                </c:pt>
                <c:pt idx="27">
                  <c:v>-4.990387499999998E-2</c:v>
                </c:pt>
                <c:pt idx="28">
                  <c:v>-4.990387499999998E-2</c:v>
                </c:pt>
                <c:pt idx="29">
                  <c:v>-4.990387499999998E-2</c:v>
                </c:pt>
                <c:pt idx="30">
                  <c:v>-4.990387499999998E-2</c:v>
                </c:pt>
                <c:pt idx="31">
                  <c:v>-4.990387499999998E-2</c:v>
                </c:pt>
                <c:pt idx="32">
                  <c:v>-4.990387499999998E-2</c:v>
                </c:pt>
                <c:pt idx="33">
                  <c:v>-4.990387499999998E-2</c:v>
                </c:pt>
                <c:pt idx="34">
                  <c:v>-4.990387499999998E-2</c:v>
                </c:pt>
                <c:pt idx="35">
                  <c:v>-4.990387499999998E-2</c:v>
                </c:pt>
                <c:pt idx="36">
                  <c:v>-4.990387499999998E-2</c:v>
                </c:pt>
                <c:pt idx="37">
                  <c:v>-4.990387499999998E-2</c:v>
                </c:pt>
                <c:pt idx="38">
                  <c:v>-4.990387499999998E-2</c:v>
                </c:pt>
                <c:pt idx="39">
                  <c:v>-4.990387499999998E-2</c:v>
                </c:pt>
                <c:pt idx="40">
                  <c:v>-4.990387499999998E-2</c:v>
                </c:pt>
                <c:pt idx="41">
                  <c:v>-4.990387499999998E-2</c:v>
                </c:pt>
                <c:pt idx="42">
                  <c:v>-4.990387499999998E-2</c:v>
                </c:pt>
                <c:pt idx="43">
                  <c:v>-4.990387499999998E-2</c:v>
                </c:pt>
                <c:pt idx="44">
                  <c:v>-4.990387499999998E-2</c:v>
                </c:pt>
                <c:pt idx="45">
                  <c:v>-4.990387499999998E-2</c:v>
                </c:pt>
                <c:pt idx="46">
                  <c:v>-4.990387499999998E-2</c:v>
                </c:pt>
                <c:pt idx="47">
                  <c:v>-4.990387499999998E-2</c:v>
                </c:pt>
                <c:pt idx="48">
                  <c:v>-4.990387499999998E-2</c:v>
                </c:pt>
                <c:pt idx="49">
                  <c:v>-4.990387499999998E-2</c:v>
                </c:pt>
                <c:pt idx="50">
                  <c:v>-4.990387499999998E-2</c:v>
                </c:pt>
                <c:pt idx="51">
                  <c:v>-4.990387499999998E-2</c:v>
                </c:pt>
                <c:pt idx="52">
                  <c:v>-4.990387499999998E-2</c:v>
                </c:pt>
                <c:pt idx="53">
                  <c:v>-4.990387499999998E-2</c:v>
                </c:pt>
                <c:pt idx="54">
                  <c:v>-4.990387499999998E-2</c:v>
                </c:pt>
                <c:pt idx="55">
                  <c:v>-4.990387499999998E-2</c:v>
                </c:pt>
                <c:pt idx="56">
                  <c:v>-4.990387499999998E-2</c:v>
                </c:pt>
                <c:pt idx="57">
                  <c:v>-4.990387499999998E-2</c:v>
                </c:pt>
                <c:pt idx="58">
                  <c:v>-4.990387499999998E-2</c:v>
                </c:pt>
                <c:pt idx="59">
                  <c:v>-4.990387499999998E-2</c:v>
                </c:pt>
                <c:pt idx="60">
                  <c:v>-4.990387499999998E-2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3A-47E1-A842-0BB01A0C8379}"/>
            </c:ext>
          </c:extLst>
        </c:ser>
        <c:ser>
          <c:idx val="2"/>
          <c:order val="2"/>
          <c:tx>
            <c:strRef>
              <c:f>TABLA!$I$3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TABLA!$I$4:$I$64</c:f>
              <c:numCache>
                <c:formatCode>0.000</c:formatCode>
                <c:ptCount val="61"/>
                <c:pt idx="0">
                  <c:v>4.990387499999998E-2</c:v>
                </c:pt>
                <c:pt idx="1">
                  <c:v>4.990387499999998E-2</c:v>
                </c:pt>
                <c:pt idx="2">
                  <c:v>4.990387499999998E-2</c:v>
                </c:pt>
                <c:pt idx="3">
                  <c:v>4.990387499999998E-2</c:v>
                </c:pt>
                <c:pt idx="4">
                  <c:v>4.990387499999998E-2</c:v>
                </c:pt>
                <c:pt idx="5">
                  <c:v>4.990387499999998E-2</c:v>
                </c:pt>
                <c:pt idx="6">
                  <c:v>4.990387499999998E-2</c:v>
                </c:pt>
                <c:pt idx="7">
                  <c:v>4.990387499999998E-2</c:v>
                </c:pt>
                <c:pt idx="8">
                  <c:v>4.990387499999998E-2</c:v>
                </c:pt>
                <c:pt idx="9">
                  <c:v>4.990387499999998E-2</c:v>
                </c:pt>
                <c:pt idx="10">
                  <c:v>4.990387499999998E-2</c:v>
                </c:pt>
                <c:pt idx="11">
                  <c:v>4.990387499999998E-2</c:v>
                </c:pt>
                <c:pt idx="12">
                  <c:v>4.990387499999998E-2</c:v>
                </c:pt>
                <c:pt idx="13">
                  <c:v>4.990387499999998E-2</c:v>
                </c:pt>
                <c:pt idx="14">
                  <c:v>4.990387499999998E-2</c:v>
                </c:pt>
                <c:pt idx="15">
                  <c:v>4.990387499999998E-2</c:v>
                </c:pt>
                <c:pt idx="16">
                  <c:v>4.990387499999998E-2</c:v>
                </c:pt>
                <c:pt idx="17">
                  <c:v>4.990387499999998E-2</c:v>
                </c:pt>
                <c:pt idx="18">
                  <c:v>4.990387499999998E-2</c:v>
                </c:pt>
                <c:pt idx="19">
                  <c:v>4.990387499999998E-2</c:v>
                </c:pt>
                <c:pt idx="20">
                  <c:v>4.990387499999998E-2</c:v>
                </c:pt>
                <c:pt idx="21">
                  <c:v>4.990387499999998E-2</c:v>
                </c:pt>
                <c:pt idx="22">
                  <c:v>4.990387499999998E-2</c:v>
                </c:pt>
                <c:pt idx="23">
                  <c:v>4.990387499999998E-2</c:v>
                </c:pt>
                <c:pt idx="24">
                  <c:v>4.990387499999998E-2</c:v>
                </c:pt>
                <c:pt idx="25">
                  <c:v>4.990387499999998E-2</c:v>
                </c:pt>
                <c:pt idx="26">
                  <c:v>4.990387499999998E-2</c:v>
                </c:pt>
                <c:pt idx="27">
                  <c:v>4.990387499999998E-2</c:v>
                </c:pt>
                <c:pt idx="28">
                  <c:v>4.990387499999998E-2</c:v>
                </c:pt>
                <c:pt idx="29">
                  <c:v>4.990387499999998E-2</c:v>
                </c:pt>
                <c:pt idx="30">
                  <c:v>4.990387499999998E-2</c:v>
                </c:pt>
                <c:pt idx="31">
                  <c:v>4.990387499999998E-2</c:v>
                </c:pt>
                <c:pt idx="32">
                  <c:v>4.990387499999998E-2</c:v>
                </c:pt>
                <c:pt idx="33">
                  <c:v>4.990387499999998E-2</c:v>
                </c:pt>
                <c:pt idx="34">
                  <c:v>4.990387499999998E-2</c:v>
                </c:pt>
                <c:pt idx="35">
                  <c:v>4.990387499999998E-2</c:v>
                </c:pt>
                <c:pt idx="36">
                  <c:v>4.990387499999998E-2</c:v>
                </c:pt>
                <c:pt idx="37">
                  <c:v>4.990387499999998E-2</c:v>
                </c:pt>
                <c:pt idx="38">
                  <c:v>4.990387499999998E-2</c:v>
                </c:pt>
                <c:pt idx="39">
                  <c:v>4.990387499999998E-2</c:v>
                </c:pt>
                <c:pt idx="40">
                  <c:v>4.990387499999998E-2</c:v>
                </c:pt>
                <c:pt idx="41">
                  <c:v>4.990387499999998E-2</c:v>
                </c:pt>
                <c:pt idx="42">
                  <c:v>4.990387499999998E-2</c:v>
                </c:pt>
                <c:pt idx="43">
                  <c:v>4.990387499999998E-2</c:v>
                </c:pt>
                <c:pt idx="44">
                  <c:v>4.990387499999998E-2</c:v>
                </c:pt>
                <c:pt idx="45">
                  <c:v>4.990387499999998E-2</c:v>
                </c:pt>
                <c:pt idx="46">
                  <c:v>4.990387499999998E-2</c:v>
                </c:pt>
                <c:pt idx="47">
                  <c:v>4.990387499999998E-2</c:v>
                </c:pt>
                <c:pt idx="48">
                  <c:v>4.990387499999998E-2</c:v>
                </c:pt>
                <c:pt idx="49">
                  <c:v>4.990387499999998E-2</c:v>
                </c:pt>
                <c:pt idx="50">
                  <c:v>4.990387499999998E-2</c:v>
                </c:pt>
                <c:pt idx="51">
                  <c:v>4.990387499999998E-2</c:v>
                </c:pt>
                <c:pt idx="52">
                  <c:v>4.990387499999998E-2</c:v>
                </c:pt>
                <c:pt idx="53">
                  <c:v>4.990387499999998E-2</c:v>
                </c:pt>
                <c:pt idx="54">
                  <c:v>4.990387499999998E-2</c:v>
                </c:pt>
                <c:pt idx="55">
                  <c:v>4.990387499999998E-2</c:v>
                </c:pt>
                <c:pt idx="56">
                  <c:v>4.990387499999998E-2</c:v>
                </c:pt>
                <c:pt idx="57">
                  <c:v>4.990387499999998E-2</c:v>
                </c:pt>
                <c:pt idx="58">
                  <c:v>4.990387499999998E-2</c:v>
                </c:pt>
                <c:pt idx="59">
                  <c:v>4.990387499999998E-2</c:v>
                </c:pt>
                <c:pt idx="60">
                  <c:v>4.990387499999998E-2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3A-47E1-A842-0BB01A0C8379}"/>
            </c:ext>
          </c:extLst>
        </c:ser>
        <c:ser>
          <c:idx val="3"/>
          <c:order val="3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TABLA!$F$64</c:f>
              <c:numCache>
                <c:formatCode>0.000</c:formatCode>
                <c:ptCount val="1"/>
                <c:pt idx="0">
                  <c:v>-5.7004976272583274E-3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C8-4697-8817-E166F013F023}"/>
            </c:ext>
          </c:extLst>
        </c:ser>
        <c:ser>
          <c:idx val="4"/>
          <c:order val="4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TABLA!$F$65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C8-4697-8817-E166F01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284408"/>
        <c:axId val="434294600"/>
      </c:scatterChart>
      <c:valAx>
        <c:axId val="434284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cross"/>
        <c:minorTickMark val="in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94600"/>
        <c:crosses val="autoZero"/>
        <c:crossBetween val="midCat"/>
      </c:valAx>
      <c:valAx>
        <c:axId val="434294600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84408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COBRE (%mO)</a:t>
            </a:r>
          </a:p>
        </c:rich>
      </c:tx>
      <c:layout>
        <c:manualLayout>
          <c:xMode val="edge"/>
          <c:yMode val="edge"/>
          <c:x val="0.18318048200972359"/>
          <c:y val="2.77983687013539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32594733846845"/>
          <c:y val="0.12747381290561702"/>
          <c:w val="0.83065193155732542"/>
          <c:h val="0.70437873590523647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TABLA!$M$3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TABLA!$M$4:$M$63</c:f>
              <c:numCache>
                <c:formatCode>0.000</c:formatCode>
                <c:ptCount val="60"/>
                <c:pt idx="0">
                  <c:v>1.6037494897842404E-2</c:v>
                </c:pt>
                <c:pt idx="1">
                  <c:v>8.0374948978424038E-3</c:v>
                </c:pt>
                <c:pt idx="2">
                  <c:v>-1.91324442625046E-3</c:v>
                </c:pt>
                <c:pt idx="3">
                  <c:v>1.5086755573749541E-2</c:v>
                </c:pt>
                <c:pt idx="4">
                  <c:v>2.1083777368068699E-2</c:v>
                </c:pt>
                <c:pt idx="5">
                  <c:v>-4.2764763832092295E-3</c:v>
                </c:pt>
                <c:pt idx="6">
                  <c:v>-1.0464527606964119E-3</c:v>
                </c:pt>
                <c:pt idx="7">
                  <c:v>4.2215995192527792E-3</c:v>
                </c:pt>
                <c:pt idx="8">
                  <c:v>-7.0392127633094811E-3</c:v>
                </c:pt>
                <c:pt idx="9">
                  <c:v>5.2048400044441001E-5</c:v>
                </c:pt>
                <c:pt idx="10">
                  <c:v>2.8733046352863306E-3</c:v>
                </c:pt>
                <c:pt idx="11">
                  <c:v>-6.4727588891983039E-3</c:v>
                </c:pt>
                <c:pt idx="12">
                  <c:v>-8.7463932931423193E-3</c:v>
                </c:pt>
                <c:pt idx="13">
                  <c:v>-7.116547122597695E-3</c:v>
                </c:pt>
                <c:pt idx="14">
                  <c:v>-5.2170555666089056E-3</c:v>
                </c:pt>
                <c:pt idx="15">
                  <c:v>-8.3196074366569516E-3</c:v>
                </c:pt>
                <c:pt idx="16">
                  <c:v>3.5355221629142786E-3</c:v>
                </c:pt>
                <c:pt idx="17">
                  <c:v>7.5355221629142752E-3</c:v>
                </c:pt>
                <c:pt idx="18">
                  <c:v>8.0730863213539089E-3</c:v>
                </c:pt>
                <c:pt idx="19">
                  <c:v>1.0660337030887604E-2</c:v>
                </c:pt>
                <c:pt idx="20">
                  <c:v>1.025550273060799E-2</c:v>
                </c:pt>
                <c:pt idx="21">
                  <c:v>-5.4894155263900818E-4</c:v>
                </c:pt>
                <c:pt idx="22">
                  <c:v>3.3411948084831264E-3</c:v>
                </c:pt>
                <c:pt idx="23">
                  <c:v>6.4239206314086889E-3</c:v>
                </c:pt>
                <c:pt idx="24">
                  <c:v>7.9986137151718123E-3</c:v>
                </c:pt>
                <c:pt idx="25">
                  <c:v>5.1188929378986336E-3</c:v>
                </c:pt>
                <c:pt idx="26">
                  <c:v>-1.3881107062101362E-2</c:v>
                </c:pt>
                <c:pt idx="27">
                  <c:v>1.7464078962802915E-3</c:v>
                </c:pt>
                <c:pt idx="28">
                  <c:v>4.8836915791034691E-3</c:v>
                </c:pt>
                <c:pt idx="29">
                  <c:v>-8.6662530303001431E-3</c:v>
                </c:pt>
                <c:pt idx="30">
                  <c:v>-3.7827927172183994E-3</c:v>
                </c:pt>
                <c:pt idx="31">
                  <c:v>-3.8133306205272686E-3</c:v>
                </c:pt>
                <c:pt idx="32">
                  <c:v>-6.391932845115661E-3</c:v>
                </c:pt>
                <c:pt idx="33">
                  <c:v>6.0696085989475276E-3</c:v>
                </c:pt>
                <c:pt idx="34">
                  <c:v>-1.1167920529842404E-3</c:v>
                </c:pt>
                <c:pt idx="35">
                  <c:v>0</c:v>
                </c:pt>
                <c:pt idx="36">
                  <c:v>3.9072252810001401E-3</c:v>
                </c:pt>
                <c:pt idx="37">
                  <c:v>6.4039900600910207E-3</c:v>
                </c:pt>
                <c:pt idx="38">
                  <c:v>4.6844708323478673E-3</c:v>
                </c:pt>
                <c:pt idx="39">
                  <c:v>-2.9047583341598529E-3</c:v>
                </c:pt>
                <c:pt idx="40">
                  <c:v>-8.5886962115764645E-3</c:v>
                </c:pt>
                <c:pt idx="41">
                  <c:v>5.5817736685276065E-3</c:v>
                </c:pt>
                <c:pt idx="42">
                  <c:v>4.8404366225004193E-3</c:v>
                </c:pt>
                <c:pt idx="43">
                  <c:v>1.3840436622500417E-2</c:v>
                </c:pt>
                <c:pt idx="44">
                  <c:v>3.0728412717580811E-3</c:v>
                </c:pt>
                <c:pt idx="45">
                  <c:v>1.9207157760858538E-2</c:v>
                </c:pt>
                <c:pt idx="46">
                  <c:v>8.7546509802341466E-3</c:v>
                </c:pt>
                <c:pt idx="47">
                  <c:v>1.3408484160900083E-3</c:v>
                </c:pt>
                <c:pt idx="48">
                  <c:v>-2.8782199025154109E-3</c:v>
                </c:pt>
                <c:pt idx="49">
                  <c:v>-1.001445284485817E-2</c:v>
                </c:pt>
                <c:pt idx="50">
                  <c:v>9.9250305891036977E-3</c:v>
                </c:pt>
                <c:pt idx="51">
                  <c:v>4.0105151534080563E-3</c:v>
                </c:pt>
                <c:pt idx="52">
                  <c:v>-5.3314027190208418E-3</c:v>
                </c:pt>
                <c:pt idx="53">
                  <c:v>-6.4956895112991339E-3</c:v>
                </c:pt>
                <c:pt idx="54">
                  <c:v>9.0971663296222707E-3</c:v>
                </c:pt>
                <c:pt idx="55">
                  <c:v>-6.3000001490116114E-2</c:v>
                </c:pt>
                <c:pt idx="56">
                  <c:v>4.0892182588577256E-3</c:v>
                </c:pt>
                <c:pt idx="57">
                  <c:v>-9.7678780555725264E-4</c:v>
                </c:pt>
                <c:pt idx="58">
                  <c:v>5.1463804841041585E-3</c:v>
                </c:pt>
                <c:pt idx="59">
                  <c:v>5.3526690304279353E-3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6F-4EC3-A9DD-BD62CD78B398}"/>
            </c:ext>
          </c:extLst>
        </c:ser>
        <c:ser>
          <c:idx val="1"/>
          <c:order val="1"/>
          <c:tx>
            <c:strRef>
              <c:f>TABLA!$Q$3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TABLA!$Q$4:$Q$64</c:f>
              <c:numCache>
                <c:formatCode>0.000</c:formatCode>
                <c:ptCount val="61"/>
                <c:pt idx="0">
                  <c:v>-5.1807500000000022E-3</c:v>
                </c:pt>
                <c:pt idx="1">
                  <c:v>-5.1807500000000022E-3</c:v>
                </c:pt>
                <c:pt idx="2">
                  <c:v>-5.1807500000000022E-3</c:v>
                </c:pt>
                <c:pt idx="3">
                  <c:v>-5.1807500000000022E-3</c:v>
                </c:pt>
                <c:pt idx="4">
                  <c:v>-5.1807500000000022E-3</c:v>
                </c:pt>
                <c:pt idx="5">
                  <c:v>-5.1807500000000022E-3</c:v>
                </c:pt>
                <c:pt idx="6">
                  <c:v>-5.1807500000000022E-3</c:v>
                </c:pt>
                <c:pt idx="7">
                  <c:v>-5.1807500000000022E-3</c:v>
                </c:pt>
                <c:pt idx="8">
                  <c:v>-5.1807500000000022E-3</c:v>
                </c:pt>
                <c:pt idx="9">
                  <c:v>-5.1807500000000022E-3</c:v>
                </c:pt>
                <c:pt idx="10">
                  <c:v>-5.1807500000000022E-3</c:v>
                </c:pt>
                <c:pt idx="11">
                  <c:v>-5.1807500000000022E-3</c:v>
                </c:pt>
                <c:pt idx="12">
                  <c:v>-5.1807500000000022E-3</c:v>
                </c:pt>
                <c:pt idx="13">
                  <c:v>-5.1807500000000022E-3</c:v>
                </c:pt>
                <c:pt idx="14">
                  <c:v>-5.1807500000000022E-3</c:v>
                </c:pt>
                <c:pt idx="15">
                  <c:v>-5.1807500000000022E-3</c:v>
                </c:pt>
                <c:pt idx="16">
                  <c:v>-5.1807500000000022E-3</c:v>
                </c:pt>
                <c:pt idx="17">
                  <c:v>-5.1807500000000022E-3</c:v>
                </c:pt>
                <c:pt idx="18">
                  <c:v>-5.1807500000000022E-3</c:v>
                </c:pt>
                <c:pt idx="19">
                  <c:v>-5.1807500000000022E-3</c:v>
                </c:pt>
                <c:pt idx="20">
                  <c:v>-5.1807500000000022E-3</c:v>
                </c:pt>
                <c:pt idx="21">
                  <c:v>-5.1807500000000022E-3</c:v>
                </c:pt>
                <c:pt idx="22">
                  <c:v>-5.1807500000000022E-3</c:v>
                </c:pt>
                <c:pt idx="23">
                  <c:v>-5.1807500000000022E-3</c:v>
                </c:pt>
                <c:pt idx="24">
                  <c:v>-5.1807500000000022E-3</c:v>
                </c:pt>
                <c:pt idx="25">
                  <c:v>-5.1807500000000022E-3</c:v>
                </c:pt>
                <c:pt idx="26">
                  <c:v>-5.1807500000000022E-3</c:v>
                </c:pt>
                <c:pt idx="27">
                  <c:v>-5.1807500000000022E-3</c:v>
                </c:pt>
                <c:pt idx="28">
                  <c:v>-5.1807500000000022E-3</c:v>
                </c:pt>
                <c:pt idx="29">
                  <c:v>-5.1807500000000022E-3</c:v>
                </c:pt>
                <c:pt idx="30">
                  <c:v>-5.1807500000000022E-3</c:v>
                </c:pt>
                <c:pt idx="31">
                  <c:v>-5.1807500000000022E-3</c:v>
                </c:pt>
                <c:pt idx="32">
                  <c:v>-5.1807500000000022E-3</c:v>
                </c:pt>
                <c:pt idx="33">
                  <c:v>-5.1807500000000022E-3</c:v>
                </c:pt>
                <c:pt idx="34">
                  <c:v>-5.1807500000000022E-3</c:v>
                </c:pt>
                <c:pt idx="35">
                  <c:v>-5.1807500000000022E-3</c:v>
                </c:pt>
                <c:pt idx="36">
                  <c:v>-5.1807500000000022E-3</c:v>
                </c:pt>
                <c:pt idx="37">
                  <c:v>-5.1807500000000022E-3</c:v>
                </c:pt>
                <c:pt idx="38">
                  <c:v>-5.1807500000000022E-3</c:v>
                </c:pt>
                <c:pt idx="39">
                  <c:v>-5.1807500000000022E-3</c:v>
                </c:pt>
                <c:pt idx="40">
                  <c:v>-5.1807500000000022E-3</c:v>
                </c:pt>
                <c:pt idx="41">
                  <c:v>-5.1807500000000022E-3</c:v>
                </c:pt>
                <c:pt idx="42">
                  <c:v>-5.1807500000000022E-3</c:v>
                </c:pt>
                <c:pt idx="43">
                  <c:v>-5.1807500000000022E-3</c:v>
                </c:pt>
                <c:pt idx="44">
                  <c:v>-5.1807500000000022E-3</c:v>
                </c:pt>
                <c:pt idx="45">
                  <c:v>-5.1807500000000022E-3</c:v>
                </c:pt>
                <c:pt idx="46">
                  <c:v>-5.1807500000000022E-3</c:v>
                </c:pt>
                <c:pt idx="47">
                  <c:v>-5.1807500000000022E-3</c:v>
                </c:pt>
                <c:pt idx="48">
                  <c:v>-5.1807500000000022E-3</c:v>
                </c:pt>
                <c:pt idx="49">
                  <c:v>-5.1807500000000022E-3</c:v>
                </c:pt>
                <c:pt idx="50">
                  <c:v>-5.1807500000000022E-3</c:v>
                </c:pt>
                <c:pt idx="51">
                  <c:v>-5.1807500000000022E-3</c:v>
                </c:pt>
                <c:pt idx="52">
                  <c:v>-5.1807500000000022E-3</c:v>
                </c:pt>
                <c:pt idx="53">
                  <c:v>-5.1807500000000022E-3</c:v>
                </c:pt>
                <c:pt idx="54">
                  <c:v>-5.1807500000000022E-3</c:v>
                </c:pt>
                <c:pt idx="55">
                  <c:v>-5.1807500000000022E-3</c:v>
                </c:pt>
                <c:pt idx="56">
                  <c:v>-5.1807500000000022E-3</c:v>
                </c:pt>
                <c:pt idx="57">
                  <c:v>-5.1807500000000022E-3</c:v>
                </c:pt>
                <c:pt idx="58">
                  <c:v>-5.1807500000000022E-3</c:v>
                </c:pt>
                <c:pt idx="59">
                  <c:v>-5.1807500000000022E-3</c:v>
                </c:pt>
                <c:pt idx="60">
                  <c:v>-5.1807500000000022E-3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6F-4EC3-A9DD-BD62CD78B398}"/>
            </c:ext>
          </c:extLst>
        </c:ser>
        <c:ser>
          <c:idx val="2"/>
          <c:order val="2"/>
          <c:tx>
            <c:strRef>
              <c:f>TABLA!$P$3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TABLA!$P$4:$P$64</c:f>
              <c:numCache>
                <c:formatCode>0.000</c:formatCode>
                <c:ptCount val="61"/>
                <c:pt idx="0">
                  <c:v>5.1807500000000022E-3</c:v>
                </c:pt>
                <c:pt idx="1">
                  <c:v>5.1807500000000022E-3</c:v>
                </c:pt>
                <c:pt idx="2">
                  <c:v>5.1807500000000022E-3</c:v>
                </c:pt>
                <c:pt idx="3">
                  <c:v>5.1807500000000022E-3</c:v>
                </c:pt>
                <c:pt idx="4">
                  <c:v>5.1807500000000022E-3</c:v>
                </c:pt>
                <c:pt idx="5">
                  <c:v>5.1807500000000022E-3</c:v>
                </c:pt>
                <c:pt idx="6">
                  <c:v>5.1807500000000022E-3</c:v>
                </c:pt>
                <c:pt idx="7">
                  <c:v>5.1807500000000022E-3</c:v>
                </c:pt>
                <c:pt idx="8">
                  <c:v>5.1807500000000022E-3</c:v>
                </c:pt>
                <c:pt idx="9">
                  <c:v>5.1807500000000022E-3</c:v>
                </c:pt>
                <c:pt idx="10">
                  <c:v>5.1807500000000022E-3</c:v>
                </c:pt>
                <c:pt idx="11">
                  <c:v>5.1807500000000022E-3</c:v>
                </c:pt>
                <c:pt idx="12">
                  <c:v>5.1807500000000022E-3</c:v>
                </c:pt>
                <c:pt idx="13">
                  <c:v>5.1807500000000022E-3</c:v>
                </c:pt>
                <c:pt idx="14">
                  <c:v>5.1807500000000022E-3</c:v>
                </c:pt>
                <c:pt idx="15">
                  <c:v>5.1807500000000022E-3</c:v>
                </c:pt>
                <c:pt idx="16">
                  <c:v>5.1807500000000022E-3</c:v>
                </c:pt>
                <c:pt idx="17">
                  <c:v>5.1807500000000022E-3</c:v>
                </c:pt>
                <c:pt idx="18">
                  <c:v>5.1807500000000022E-3</c:v>
                </c:pt>
                <c:pt idx="19">
                  <c:v>5.1807500000000022E-3</c:v>
                </c:pt>
                <c:pt idx="20">
                  <c:v>5.1807500000000022E-3</c:v>
                </c:pt>
                <c:pt idx="21">
                  <c:v>5.1807500000000022E-3</c:v>
                </c:pt>
                <c:pt idx="22">
                  <c:v>5.1807500000000022E-3</c:v>
                </c:pt>
                <c:pt idx="23">
                  <c:v>5.1807500000000022E-3</c:v>
                </c:pt>
                <c:pt idx="24">
                  <c:v>5.1807500000000022E-3</c:v>
                </c:pt>
                <c:pt idx="25">
                  <c:v>5.1807500000000022E-3</c:v>
                </c:pt>
                <c:pt idx="26">
                  <c:v>5.1807500000000022E-3</c:v>
                </c:pt>
                <c:pt idx="27">
                  <c:v>5.1807500000000022E-3</c:v>
                </c:pt>
                <c:pt idx="28">
                  <c:v>5.1807500000000022E-3</c:v>
                </c:pt>
                <c:pt idx="29">
                  <c:v>5.1807500000000022E-3</c:v>
                </c:pt>
                <c:pt idx="30">
                  <c:v>5.1807500000000022E-3</c:v>
                </c:pt>
                <c:pt idx="31">
                  <c:v>5.1807500000000022E-3</c:v>
                </c:pt>
                <c:pt idx="32">
                  <c:v>5.1807500000000022E-3</c:v>
                </c:pt>
                <c:pt idx="33">
                  <c:v>5.1807500000000022E-3</c:v>
                </c:pt>
                <c:pt idx="34">
                  <c:v>5.1807500000000022E-3</c:v>
                </c:pt>
                <c:pt idx="35">
                  <c:v>5.1807500000000022E-3</c:v>
                </c:pt>
                <c:pt idx="36">
                  <c:v>5.1807500000000022E-3</c:v>
                </c:pt>
                <c:pt idx="37">
                  <c:v>5.1807500000000022E-3</c:v>
                </c:pt>
                <c:pt idx="38">
                  <c:v>5.1807500000000022E-3</c:v>
                </c:pt>
                <c:pt idx="39">
                  <c:v>5.1807500000000022E-3</c:v>
                </c:pt>
                <c:pt idx="40">
                  <c:v>5.1807500000000022E-3</c:v>
                </c:pt>
                <c:pt idx="41">
                  <c:v>5.1807500000000022E-3</c:v>
                </c:pt>
                <c:pt idx="42">
                  <c:v>5.1807500000000022E-3</c:v>
                </c:pt>
                <c:pt idx="43">
                  <c:v>5.1807500000000022E-3</c:v>
                </c:pt>
                <c:pt idx="44">
                  <c:v>5.1807500000000022E-3</c:v>
                </c:pt>
                <c:pt idx="45">
                  <c:v>5.1807500000000022E-3</c:v>
                </c:pt>
                <c:pt idx="46">
                  <c:v>5.1807500000000022E-3</c:v>
                </c:pt>
                <c:pt idx="47">
                  <c:v>5.1807500000000022E-3</c:v>
                </c:pt>
                <c:pt idx="48">
                  <c:v>5.1807500000000022E-3</c:v>
                </c:pt>
                <c:pt idx="49">
                  <c:v>5.1807500000000022E-3</c:v>
                </c:pt>
                <c:pt idx="50">
                  <c:v>5.1807500000000022E-3</c:v>
                </c:pt>
                <c:pt idx="51">
                  <c:v>5.1807500000000022E-3</c:v>
                </c:pt>
                <c:pt idx="52">
                  <c:v>5.1807500000000022E-3</c:v>
                </c:pt>
                <c:pt idx="53">
                  <c:v>5.1807500000000022E-3</c:v>
                </c:pt>
                <c:pt idx="54">
                  <c:v>5.1807500000000022E-3</c:v>
                </c:pt>
                <c:pt idx="55">
                  <c:v>5.1807500000000022E-3</c:v>
                </c:pt>
                <c:pt idx="56">
                  <c:v>5.1807500000000022E-3</c:v>
                </c:pt>
                <c:pt idx="57">
                  <c:v>5.1807500000000022E-3</c:v>
                </c:pt>
                <c:pt idx="58">
                  <c:v>5.1807500000000022E-3</c:v>
                </c:pt>
                <c:pt idx="59">
                  <c:v>5.1807500000000022E-3</c:v>
                </c:pt>
                <c:pt idx="60">
                  <c:v>5.1807500000000022E-3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6F-4EC3-A9DD-BD62CD78B398}"/>
            </c:ext>
          </c:extLst>
        </c:ser>
        <c:ser>
          <c:idx val="3"/>
          <c:order val="3"/>
          <c:tx>
            <c:v>dif acr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TABLA!$M$64</c:f>
              <c:numCache>
                <c:formatCode>0.000</c:formatCode>
                <c:ptCount val="1"/>
                <c:pt idx="0">
                  <c:v>6.385104745626452E-3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3-49C9-8254-A8D552E571E9}"/>
            </c:ext>
          </c:extLst>
        </c:ser>
        <c:ser>
          <c:idx val="4"/>
          <c:order val="4"/>
          <c:tx>
            <c:v>dif acr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TABLA!$M$65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3-49C9-8254-A8D552E57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288720"/>
        <c:axId val="434282056"/>
      </c:scatterChart>
      <c:valAx>
        <c:axId val="43428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cross"/>
        <c:minorTickMark val="in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82056"/>
        <c:crosses val="autoZero"/>
        <c:crossBetween val="midCat"/>
      </c:valAx>
      <c:valAx>
        <c:axId val="434282056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88720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 FINAL - PLANTA DE COBRE (%Cu)</a:t>
            </a:r>
          </a:p>
        </c:rich>
      </c:tx>
      <c:layout>
        <c:manualLayout>
          <c:xMode val="edge"/>
          <c:yMode val="edge"/>
          <c:x val="0.24877911100575648"/>
          <c:y val="2.77983687013539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8313916003872"/>
          <c:y val="0.11615726932845122"/>
          <c:w val="0.83065193155732542"/>
          <c:h val="0.70832763282596745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TABLA!$AF$3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TABLA!$AF$4:$AF$63</c:f>
              <c:numCache>
                <c:formatCode>0.000</c:formatCode>
                <c:ptCount val="60"/>
                <c:pt idx="0">
                  <c:v>-3.30308377742769E-4</c:v>
                </c:pt>
                <c:pt idx="1">
                  <c:v>-6.0115284919738804E-3</c:v>
                </c:pt>
                <c:pt idx="2">
                  <c:v>-2.3540012836456292E-3</c:v>
                </c:pt>
                <c:pt idx="3">
                  <c:v>2.9645998716354371E-2</c:v>
                </c:pt>
                <c:pt idx="4">
                  <c:v>2.2725780248641969E-2</c:v>
                </c:pt>
                <c:pt idx="5">
                  <c:v>-1.272794991731642E-3</c:v>
                </c:pt>
                <c:pt idx="6">
                  <c:v>-1.7977574765682194E-3</c:v>
                </c:pt>
                <c:pt idx="7">
                  <c:v>-1.3635160982608793E-2</c:v>
                </c:pt>
                <c:pt idx="8">
                  <c:v>-2.9533743858334294E-5</c:v>
                </c:pt>
                <c:pt idx="9">
                  <c:v>-7.7654859423637382E-3</c:v>
                </c:pt>
                <c:pt idx="10">
                  <c:v>-6.5225002169609081E-3</c:v>
                </c:pt>
                <c:pt idx="11">
                  <c:v>6.0618785023689239E-4</c:v>
                </c:pt>
                <c:pt idx="12">
                  <c:v>5.3567605465650592E-3</c:v>
                </c:pt>
                <c:pt idx="13">
                  <c:v>1.3786438763141631E-2</c:v>
                </c:pt>
                <c:pt idx="14">
                  <c:v>1.1296064257621738E-3</c:v>
                </c:pt>
                <c:pt idx="15">
                  <c:v>-3.1533110737800574E-3</c:v>
                </c:pt>
                <c:pt idx="16">
                  <c:v>-1.957357859611511E-2</c:v>
                </c:pt>
                <c:pt idx="17">
                  <c:v>-1.2573578596115111E-2</c:v>
                </c:pt>
                <c:pt idx="18">
                  <c:v>-2.1186922222375872E-2</c:v>
                </c:pt>
                <c:pt idx="19">
                  <c:v>-1.0170253247022629E-2</c:v>
                </c:pt>
                <c:pt idx="20">
                  <c:v>-2.7438181549310683E-2</c:v>
                </c:pt>
                <c:pt idx="21">
                  <c:v>-7.7152032852172842E-3</c:v>
                </c:pt>
                <c:pt idx="22">
                  <c:v>-4.1531077623367316E-3</c:v>
                </c:pt>
                <c:pt idx="23">
                  <c:v>8.7343921363353741E-3</c:v>
                </c:pt>
                <c:pt idx="24">
                  <c:v>4.7969534993171775E-4</c:v>
                </c:pt>
                <c:pt idx="25">
                  <c:v>-6.544553220272066E-3</c:v>
                </c:pt>
                <c:pt idx="26">
                  <c:v>5.4554467797279377E-3</c:v>
                </c:pt>
                <c:pt idx="27">
                  <c:v>-1.3039505481719782E-4</c:v>
                </c:pt>
                <c:pt idx="28">
                  <c:v>-1.5201267659664154E-2</c:v>
                </c:pt>
                <c:pt idx="29">
                  <c:v>-1.5360253632068634E-2</c:v>
                </c:pt>
                <c:pt idx="30">
                  <c:v>-1.3531712859869004E-2</c:v>
                </c:pt>
                <c:pt idx="31">
                  <c:v>-3.5361730158329011E-3</c:v>
                </c:pt>
                <c:pt idx="32">
                  <c:v>-1.242045119404793E-2</c:v>
                </c:pt>
                <c:pt idx="33">
                  <c:v>-5.978996515274046E-3</c:v>
                </c:pt>
                <c:pt idx="34">
                  <c:v>-1.5254612118005752E-2</c:v>
                </c:pt>
                <c:pt idx="35">
                  <c:v>0</c:v>
                </c:pt>
                <c:pt idx="36">
                  <c:v>1.499990776181221E-2</c:v>
                </c:pt>
                <c:pt idx="37">
                  <c:v>1.0303422451019284E-2</c:v>
                </c:pt>
                <c:pt idx="38">
                  <c:v>5.9386426806449857E-3</c:v>
                </c:pt>
                <c:pt idx="39">
                  <c:v>-4.6959216296672823E-3</c:v>
                </c:pt>
                <c:pt idx="40">
                  <c:v>1.2268193066120175E-3</c:v>
                </c:pt>
                <c:pt idx="41">
                  <c:v>-9.6399039030074796E-5</c:v>
                </c:pt>
                <c:pt idx="42">
                  <c:v>-2.2798032462596901E-3</c:v>
                </c:pt>
                <c:pt idx="43">
                  <c:v>-9.2798032462596894E-3</c:v>
                </c:pt>
                <c:pt idx="44">
                  <c:v>-1.2260232597589495E-2</c:v>
                </c:pt>
                <c:pt idx="45">
                  <c:v>6.041130512952804E-3</c:v>
                </c:pt>
                <c:pt idx="46">
                  <c:v>-4.6951104402542104E-3</c:v>
                </c:pt>
                <c:pt idx="47">
                  <c:v>-7.3996293544769526E-4</c:v>
                </c:pt>
                <c:pt idx="48">
                  <c:v>5.8748537302016901E-4</c:v>
                </c:pt>
                <c:pt idx="49">
                  <c:v>-1.4444730222225192E-2</c:v>
                </c:pt>
                <c:pt idx="50">
                  <c:v>-7.7174431681633002E-3</c:v>
                </c:pt>
                <c:pt idx="51">
                  <c:v>-9.7174431681633019E-3</c:v>
                </c:pt>
                <c:pt idx="52">
                  <c:v>-2.5717443168163302E-2</c:v>
                </c:pt>
                <c:pt idx="53">
                  <c:v>-8.7174431681633011E-3</c:v>
                </c:pt>
                <c:pt idx="54">
                  <c:v>-1.6717443168163301E-2</c:v>
                </c:pt>
                <c:pt idx="55">
                  <c:v>1.2825568318367009E-3</c:v>
                </c:pt>
                <c:pt idx="56">
                  <c:v>-8.7174431681633011E-3</c:v>
                </c:pt>
                <c:pt idx="57">
                  <c:v>2.825568318367E-4</c:v>
                </c:pt>
                <c:pt idx="58">
                  <c:v>-9.7174431681633019E-3</c:v>
                </c:pt>
                <c:pt idx="59">
                  <c:v>3.8734761774539966E-3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3B-4AFA-A80B-29C0593209E5}"/>
            </c:ext>
          </c:extLst>
        </c:ser>
        <c:ser>
          <c:idx val="1"/>
          <c:order val="1"/>
          <c:tx>
            <c:strRef>
              <c:f>TABLA!$AJ$3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TABLA!$AJ$4:$AJ$64</c:f>
              <c:numCache>
                <c:formatCode>0.000</c:formatCode>
                <c:ptCount val="61"/>
                <c:pt idx="0">
                  <c:v>-8.6877272727272758E-3</c:v>
                </c:pt>
                <c:pt idx="1">
                  <c:v>-8.6877272727272758E-3</c:v>
                </c:pt>
                <c:pt idx="2">
                  <c:v>-8.6877272727272758E-3</c:v>
                </c:pt>
                <c:pt idx="3">
                  <c:v>-8.6877272727272758E-3</c:v>
                </c:pt>
                <c:pt idx="4">
                  <c:v>-8.6877272727272758E-3</c:v>
                </c:pt>
                <c:pt idx="5">
                  <c:v>-8.6877272727272758E-3</c:v>
                </c:pt>
                <c:pt idx="6">
                  <c:v>-8.6877272727272758E-3</c:v>
                </c:pt>
                <c:pt idx="7">
                  <c:v>-8.6877272727272758E-3</c:v>
                </c:pt>
                <c:pt idx="8">
                  <c:v>-8.6877272727272758E-3</c:v>
                </c:pt>
                <c:pt idx="9">
                  <c:v>-8.6877272727272758E-3</c:v>
                </c:pt>
                <c:pt idx="10">
                  <c:v>-8.6877272727272758E-3</c:v>
                </c:pt>
                <c:pt idx="11">
                  <c:v>-8.6877272727272758E-3</c:v>
                </c:pt>
                <c:pt idx="12">
                  <c:v>-8.6877272727272758E-3</c:v>
                </c:pt>
                <c:pt idx="13">
                  <c:v>-8.6877272727272758E-3</c:v>
                </c:pt>
                <c:pt idx="14">
                  <c:v>-8.6877272727272758E-3</c:v>
                </c:pt>
                <c:pt idx="15">
                  <c:v>-8.6877272727272758E-3</c:v>
                </c:pt>
                <c:pt idx="16">
                  <c:v>-8.6877272727272758E-3</c:v>
                </c:pt>
                <c:pt idx="17">
                  <c:v>-8.6877272727272758E-3</c:v>
                </c:pt>
                <c:pt idx="18">
                  <c:v>-8.6877272727272758E-3</c:v>
                </c:pt>
                <c:pt idx="19">
                  <c:v>-8.6877272727272758E-3</c:v>
                </c:pt>
                <c:pt idx="20">
                  <c:v>-8.6877272727272758E-3</c:v>
                </c:pt>
                <c:pt idx="21">
                  <c:v>-8.6877272727272758E-3</c:v>
                </c:pt>
                <c:pt idx="22">
                  <c:v>-8.6877272727272758E-3</c:v>
                </c:pt>
                <c:pt idx="23">
                  <c:v>-8.6877272727272758E-3</c:v>
                </c:pt>
                <c:pt idx="24">
                  <c:v>-8.6877272727272758E-3</c:v>
                </c:pt>
                <c:pt idx="25">
                  <c:v>-8.6877272727272758E-3</c:v>
                </c:pt>
                <c:pt idx="26">
                  <c:v>-8.6877272727272758E-3</c:v>
                </c:pt>
                <c:pt idx="27">
                  <c:v>-8.6877272727272758E-3</c:v>
                </c:pt>
                <c:pt idx="28">
                  <c:v>-8.6877272727272758E-3</c:v>
                </c:pt>
                <c:pt idx="29">
                  <c:v>-8.6877272727272758E-3</c:v>
                </c:pt>
                <c:pt idx="30">
                  <c:v>-8.6877272727272758E-3</c:v>
                </c:pt>
                <c:pt idx="31">
                  <c:v>-8.6877272727272758E-3</c:v>
                </c:pt>
                <c:pt idx="32">
                  <c:v>-8.6877272727272758E-3</c:v>
                </c:pt>
                <c:pt idx="33">
                  <c:v>-8.6877272727272758E-3</c:v>
                </c:pt>
                <c:pt idx="34">
                  <c:v>-8.6877272727272758E-3</c:v>
                </c:pt>
                <c:pt idx="35">
                  <c:v>-8.6877272727272758E-3</c:v>
                </c:pt>
                <c:pt idx="36">
                  <c:v>-8.6877272727272758E-3</c:v>
                </c:pt>
                <c:pt idx="37">
                  <c:v>-8.6877272727272758E-3</c:v>
                </c:pt>
                <c:pt idx="38">
                  <c:v>-8.6877272727272758E-3</c:v>
                </c:pt>
                <c:pt idx="39">
                  <c:v>-8.6877272727272758E-3</c:v>
                </c:pt>
                <c:pt idx="40">
                  <c:v>-8.6877272727272758E-3</c:v>
                </c:pt>
                <c:pt idx="41">
                  <c:v>-8.6877272727272758E-3</c:v>
                </c:pt>
                <c:pt idx="42">
                  <c:v>-8.6877272727272758E-3</c:v>
                </c:pt>
                <c:pt idx="43">
                  <c:v>-8.6877272727272758E-3</c:v>
                </c:pt>
                <c:pt idx="44">
                  <c:v>-8.6877272727272758E-3</c:v>
                </c:pt>
                <c:pt idx="45">
                  <c:v>-8.6877272727272758E-3</c:v>
                </c:pt>
                <c:pt idx="46">
                  <c:v>-8.6877272727272758E-3</c:v>
                </c:pt>
                <c:pt idx="47">
                  <c:v>-8.6877272727272758E-3</c:v>
                </c:pt>
                <c:pt idx="48">
                  <c:v>-8.6877272727272758E-3</c:v>
                </c:pt>
                <c:pt idx="49">
                  <c:v>-8.6877272727272758E-3</c:v>
                </c:pt>
                <c:pt idx="50">
                  <c:v>-8.6877272727272758E-3</c:v>
                </c:pt>
                <c:pt idx="51">
                  <c:v>-8.6877272727272758E-3</c:v>
                </c:pt>
                <c:pt idx="52">
                  <c:v>-8.6877272727272758E-3</c:v>
                </c:pt>
                <c:pt idx="53">
                  <c:v>-8.6877272727272758E-3</c:v>
                </c:pt>
                <c:pt idx="54">
                  <c:v>-8.6877272727272758E-3</c:v>
                </c:pt>
                <c:pt idx="55">
                  <c:v>-8.6877272727272758E-3</c:v>
                </c:pt>
                <c:pt idx="56">
                  <c:v>-8.6877272727272758E-3</c:v>
                </c:pt>
                <c:pt idx="57">
                  <c:v>-8.6877272727272758E-3</c:v>
                </c:pt>
                <c:pt idx="58">
                  <c:v>-8.6877272727272758E-3</c:v>
                </c:pt>
                <c:pt idx="59">
                  <c:v>-8.6877272727272758E-3</c:v>
                </c:pt>
                <c:pt idx="60">
                  <c:v>-8.6877272727272758E-3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3B-4AFA-A80B-29C0593209E5}"/>
            </c:ext>
          </c:extLst>
        </c:ser>
        <c:ser>
          <c:idx val="2"/>
          <c:order val="2"/>
          <c:tx>
            <c:strRef>
              <c:f>TABLA!$AI$3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TABLA!$AI$4:$AI$64</c:f>
              <c:numCache>
                <c:formatCode>0.000</c:formatCode>
                <c:ptCount val="61"/>
                <c:pt idx="0">
                  <c:v>8.6877272727272758E-3</c:v>
                </c:pt>
                <c:pt idx="1">
                  <c:v>8.6877272727272758E-3</c:v>
                </c:pt>
                <c:pt idx="2">
                  <c:v>8.6877272727272758E-3</c:v>
                </c:pt>
                <c:pt idx="3">
                  <c:v>8.6877272727272758E-3</c:v>
                </c:pt>
                <c:pt idx="4">
                  <c:v>8.6877272727272758E-3</c:v>
                </c:pt>
                <c:pt idx="5">
                  <c:v>8.6877272727272758E-3</c:v>
                </c:pt>
                <c:pt idx="6">
                  <c:v>8.6877272727272758E-3</c:v>
                </c:pt>
                <c:pt idx="7">
                  <c:v>8.6877272727272758E-3</c:v>
                </c:pt>
                <c:pt idx="8">
                  <c:v>8.6877272727272758E-3</c:v>
                </c:pt>
                <c:pt idx="9">
                  <c:v>8.6877272727272758E-3</c:v>
                </c:pt>
                <c:pt idx="10">
                  <c:v>8.6877272727272758E-3</c:v>
                </c:pt>
                <c:pt idx="11">
                  <c:v>8.6877272727272758E-3</c:v>
                </c:pt>
                <c:pt idx="12">
                  <c:v>8.6877272727272758E-3</c:v>
                </c:pt>
                <c:pt idx="13">
                  <c:v>8.6877272727272758E-3</c:v>
                </c:pt>
                <c:pt idx="14">
                  <c:v>8.6877272727272758E-3</c:v>
                </c:pt>
                <c:pt idx="15">
                  <c:v>8.6877272727272758E-3</c:v>
                </c:pt>
                <c:pt idx="16">
                  <c:v>8.6877272727272758E-3</c:v>
                </c:pt>
                <c:pt idx="17">
                  <c:v>8.6877272727272758E-3</c:v>
                </c:pt>
                <c:pt idx="18">
                  <c:v>8.6877272727272758E-3</c:v>
                </c:pt>
                <c:pt idx="19">
                  <c:v>8.6877272727272758E-3</c:v>
                </c:pt>
                <c:pt idx="20">
                  <c:v>8.6877272727272758E-3</c:v>
                </c:pt>
                <c:pt idx="21">
                  <c:v>8.6877272727272758E-3</c:v>
                </c:pt>
                <c:pt idx="22">
                  <c:v>8.6877272727272758E-3</c:v>
                </c:pt>
                <c:pt idx="23">
                  <c:v>8.6877272727272758E-3</c:v>
                </c:pt>
                <c:pt idx="24">
                  <c:v>8.6877272727272758E-3</c:v>
                </c:pt>
                <c:pt idx="25">
                  <c:v>8.6877272727272758E-3</c:v>
                </c:pt>
                <c:pt idx="26">
                  <c:v>8.6877272727272758E-3</c:v>
                </c:pt>
                <c:pt idx="27">
                  <c:v>8.6877272727272758E-3</c:v>
                </c:pt>
                <c:pt idx="28">
                  <c:v>8.6877272727272758E-3</c:v>
                </c:pt>
                <c:pt idx="29">
                  <c:v>8.6877272727272758E-3</c:v>
                </c:pt>
                <c:pt idx="30">
                  <c:v>8.6877272727272758E-3</c:v>
                </c:pt>
                <c:pt idx="31">
                  <c:v>8.6877272727272758E-3</c:v>
                </c:pt>
                <c:pt idx="32">
                  <c:v>8.6877272727272758E-3</c:v>
                </c:pt>
                <c:pt idx="33">
                  <c:v>8.6877272727272758E-3</c:v>
                </c:pt>
                <c:pt idx="34">
                  <c:v>8.6877272727272758E-3</c:v>
                </c:pt>
                <c:pt idx="35">
                  <c:v>8.6877272727272758E-3</c:v>
                </c:pt>
                <c:pt idx="36">
                  <c:v>8.6877272727272758E-3</c:v>
                </c:pt>
                <c:pt idx="37">
                  <c:v>8.6877272727272758E-3</c:v>
                </c:pt>
                <c:pt idx="38">
                  <c:v>8.6877272727272758E-3</c:v>
                </c:pt>
                <c:pt idx="39">
                  <c:v>8.6877272727272758E-3</c:v>
                </c:pt>
                <c:pt idx="40">
                  <c:v>8.6877272727272758E-3</c:v>
                </c:pt>
                <c:pt idx="41">
                  <c:v>8.6877272727272758E-3</c:v>
                </c:pt>
                <c:pt idx="42">
                  <c:v>8.6877272727272758E-3</c:v>
                </c:pt>
                <c:pt idx="43">
                  <c:v>8.6877272727272758E-3</c:v>
                </c:pt>
                <c:pt idx="44">
                  <c:v>8.6877272727272758E-3</c:v>
                </c:pt>
                <c:pt idx="45">
                  <c:v>8.6877272727272758E-3</c:v>
                </c:pt>
                <c:pt idx="46">
                  <c:v>8.6877272727272758E-3</c:v>
                </c:pt>
                <c:pt idx="47">
                  <c:v>8.6877272727272758E-3</c:v>
                </c:pt>
                <c:pt idx="48">
                  <c:v>8.6877272727272758E-3</c:v>
                </c:pt>
                <c:pt idx="49">
                  <c:v>8.6877272727272758E-3</c:v>
                </c:pt>
                <c:pt idx="50">
                  <c:v>8.6877272727272758E-3</c:v>
                </c:pt>
                <c:pt idx="51">
                  <c:v>8.6877272727272758E-3</c:v>
                </c:pt>
                <c:pt idx="52">
                  <c:v>8.6877272727272758E-3</c:v>
                </c:pt>
                <c:pt idx="53">
                  <c:v>8.6877272727272758E-3</c:v>
                </c:pt>
                <c:pt idx="54">
                  <c:v>8.6877272727272758E-3</c:v>
                </c:pt>
                <c:pt idx="55">
                  <c:v>8.6877272727272758E-3</c:v>
                </c:pt>
                <c:pt idx="56">
                  <c:v>8.6877272727272758E-3</c:v>
                </c:pt>
                <c:pt idx="57">
                  <c:v>8.6877272727272758E-3</c:v>
                </c:pt>
                <c:pt idx="58">
                  <c:v>8.6877272727272758E-3</c:v>
                </c:pt>
                <c:pt idx="59">
                  <c:v>8.6877272727272758E-3</c:v>
                </c:pt>
                <c:pt idx="60">
                  <c:v>8.6877272727272758E-3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3B-4AFA-A80B-29C0593209E5}"/>
            </c:ext>
          </c:extLst>
        </c:ser>
        <c:ser>
          <c:idx val="3"/>
          <c:order val="3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TABLA!$AF$64</c:f>
              <c:numCache>
                <c:formatCode>0.000</c:formatCode>
                <c:ptCount val="1"/>
                <c:pt idx="0">
                  <c:v>1.0448252588510516E-2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E-420A-85F8-00139D3D69AE}"/>
            </c:ext>
          </c:extLst>
        </c:ser>
        <c:ser>
          <c:idx val="4"/>
          <c:order val="4"/>
          <c:tx>
            <c:v>dif actr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TABLA!$AF$65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9E-420A-85F8-00139D3D6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485544"/>
        <c:axId val="343487112"/>
      </c:scatterChart>
      <c:valAx>
        <c:axId val="343485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cross"/>
        <c:minorTickMark val="in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7112"/>
        <c:crosses val="autoZero"/>
        <c:crossBetween val="midCat"/>
      </c:valAx>
      <c:valAx>
        <c:axId val="343487112"/>
        <c:scaling>
          <c:orientation val="minMax"/>
          <c:max val="3.0000000000000006E-2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5544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 FINAL - PLANTA DE COBRE (%mO)</a:t>
            </a:r>
          </a:p>
        </c:rich>
      </c:tx>
      <c:layout>
        <c:manualLayout>
          <c:xMode val="edge"/>
          <c:yMode val="edge"/>
          <c:x val="0.26517876825476466"/>
          <c:y val="3.1747265622084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437324549"/>
          <c:y val="0.11615740740740743"/>
          <c:w val="0.83065193155732542"/>
          <c:h val="0.70437873590523647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TABLA!$AM$3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TABLA!$AM$4:$AM$63</c:f>
              <c:numCache>
                <c:formatCode>0.000</c:formatCode>
                <c:ptCount val="60"/>
                <c:pt idx="0">
                  <c:v>3.7729439139366164E-4</c:v>
                </c:pt>
                <c:pt idx="1">
                  <c:v>-8.858852609992026E-4</c:v>
                </c:pt>
                <c:pt idx="2">
                  <c:v>4.5613211970776321E-3</c:v>
                </c:pt>
                <c:pt idx="3">
                  <c:v>8.5613211970776322E-3</c:v>
                </c:pt>
                <c:pt idx="4">
                  <c:v>9.3379020337015384E-3</c:v>
                </c:pt>
                <c:pt idx="5">
                  <c:v>4.4925947561860087E-3</c:v>
                </c:pt>
                <c:pt idx="6">
                  <c:v>2.4235583096742647E-4</c:v>
                </c:pt>
                <c:pt idx="7">
                  <c:v>2.6719738394021982E-3</c:v>
                </c:pt>
                <c:pt idx="8">
                  <c:v>3.8760432153940195E-3</c:v>
                </c:pt>
                <c:pt idx="9">
                  <c:v>-7.7350746840238425E-5</c:v>
                </c:pt>
                <c:pt idx="10">
                  <c:v>-9.9339727684855453E-4</c:v>
                </c:pt>
                <c:pt idx="11">
                  <c:v>-1.9688247963786125E-3</c:v>
                </c:pt>
                <c:pt idx="12">
                  <c:v>-1.8410291783511638E-3</c:v>
                </c:pt>
                <c:pt idx="13">
                  <c:v>-6.9296239316463462E-4</c:v>
                </c:pt>
                <c:pt idx="14">
                  <c:v>-1.1071378402411937E-3</c:v>
                </c:pt>
                <c:pt idx="15">
                  <c:v>-3.7759997434914112E-3</c:v>
                </c:pt>
                <c:pt idx="16">
                  <c:v>-2.0481196269392966E-3</c:v>
                </c:pt>
                <c:pt idx="17">
                  <c:v>-2.0481196269392966E-3</c:v>
                </c:pt>
                <c:pt idx="18">
                  <c:v>9.5286478102207198E-4</c:v>
                </c:pt>
                <c:pt idx="19">
                  <c:v>9.6713310852646842E-4</c:v>
                </c:pt>
                <c:pt idx="20">
                  <c:v>-1.5852652117609965E-4</c:v>
                </c:pt>
                <c:pt idx="21">
                  <c:v>9.1942610964179054E-4</c:v>
                </c:pt>
                <c:pt idx="22">
                  <c:v>1.1833335906267168E-3</c:v>
                </c:pt>
                <c:pt idx="23">
                  <c:v>1.4663622155785573E-4</c:v>
                </c:pt>
                <c:pt idx="24">
                  <c:v>1.1237070597708227E-3</c:v>
                </c:pt>
                <c:pt idx="25">
                  <c:v>1.0444226376712324E-3</c:v>
                </c:pt>
                <c:pt idx="26">
                  <c:v>1.0444226376712324E-3</c:v>
                </c:pt>
                <c:pt idx="27">
                  <c:v>-7.0470601320266578E-5</c:v>
                </c:pt>
                <c:pt idx="28">
                  <c:v>-1.2847882509231566E-3</c:v>
                </c:pt>
                <c:pt idx="29">
                  <c:v>-1.849657580256462E-3</c:v>
                </c:pt>
                <c:pt idx="30">
                  <c:v>-1.6094655990600585E-3</c:v>
                </c:pt>
                <c:pt idx="31">
                  <c:v>-3.8979733735322944E-4</c:v>
                </c:pt>
                <c:pt idx="32">
                  <c:v>-1.1697702147066592E-3</c:v>
                </c:pt>
                <c:pt idx="33">
                  <c:v>1.5428879000246526E-3</c:v>
                </c:pt>
                <c:pt idx="34">
                  <c:v>8.7258866429328931E-4</c:v>
                </c:pt>
                <c:pt idx="35">
                  <c:v>0</c:v>
                </c:pt>
                <c:pt idx="36">
                  <c:v>3.5009589903056623E-3</c:v>
                </c:pt>
                <c:pt idx="37">
                  <c:v>6.7848981246352198E-3</c:v>
                </c:pt>
                <c:pt idx="38">
                  <c:v>2.9313723482191564E-3</c:v>
                </c:pt>
                <c:pt idx="39">
                  <c:v>3.7678482010960589E-4</c:v>
                </c:pt>
                <c:pt idx="40">
                  <c:v>1.6187088973820211E-3</c:v>
                </c:pt>
                <c:pt idx="41">
                  <c:v>2.2299562282860281E-3</c:v>
                </c:pt>
                <c:pt idx="42">
                  <c:v>1.1808144580572845E-3</c:v>
                </c:pt>
                <c:pt idx="43">
                  <c:v>3.1808144580572845E-3</c:v>
                </c:pt>
                <c:pt idx="44">
                  <c:v>-5.9777936339378349E-4</c:v>
                </c:pt>
                <c:pt idx="45">
                  <c:v>4.403740227222442E-3</c:v>
                </c:pt>
                <c:pt idx="46">
                  <c:v>4.1776689589023593E-3</c:v>
                </c:pt>
                <c:pt idx="47">
                  <c:v>3.3484842292964452E-3</c:v>
                </c:pt>
                <c:pt idx="48">
                  <c:v>1.0014366969466209E-2</c:v>
                </c:pt>
                <c:pt idx="49">
                  <c:v>-2.1160427331924445E-3</c:v>
                </c:pt>
                <c:pt idx="50">
                  <c:v>3.9072758853435519E-3</c:v>
                </c:pt>
                <c:pt idx="51">
                  <c:v>3.9072758853435519E-3</c:v>
                </c:pt>
                <c:pt idx="52">
                  <c:v>4.9072758853435511E-3</c:v>
                </c:pt>
                <c:pt idx="53">
                  <c:v>-1.092724114656449E-3</c:v>
                </c:pt>
                <c:pt idx="54">
                  <c:v>1.9072758853435519E-3</c:v>
                </c:pt>
                <c:pt idx="55">
                  <c:v>9.07275885343551E-4</c:v>
                </c:pt>
                <c:pt idx="56">
                  <c:v>6.9072758853435529E-3</c:v>
                </c:pt>
                <c:pt idx="57">
                  <c:v>3.9072758853435519E-3</c:v>
                </c:pt>
                <c:pt idx="58">
                  <c:v>3.9072758853435519E-3</c:v>
                </c:pt>
                <c:pt idx="59">
                  <c:v>4.1940010711550707E-3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1-42A4-964B-1A06050C4026}"/>
            </c:ext>
          </c:extLst>
        </c:ser>
        <c:ser>
          <c:idx val="1"/>
          <c:order val="1"/>
          <c:tx>
            <c:strRef>
              <c:f>TABLA!$AQ$3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TABLA!$AQ$4:$AQ$64</c:f>
              <c:numCache>
                <c:formatCode>0.000</c:formatCode>
                <c:ptCount val="61"/>
                <c:pt idx="0">
                  <c:v>-2.2111363636363643E-3</c:v>
                </c:pt>
                <c:pt idx="1">
                  <c:v>-2.2111363636363643E-3</c:v>
                </c:pt>
                <c:pt idx="2">
                  <c:v>-2.2111363636363643E-3</c:v>
                </c:pt>
                <c:pt idx="3">
                  <c:v>-2.2111363636363643E-3</c:v>
                </c:pt>
                <c:pt idx="4">
                  <c:v>-2.2111363636363643E-3</c:v>
                </c:pt>
                <c:pt idx="5">
                  <c:v>-2.2111363636363643E-3</c:v>
                </c:pt>
                <c:pt idx="6">
                  <c:v>-2.2111363636363643E-3</c:v>
                </c:pt>
                <c:pt idx="7">
                  <c:v>-2.2111363636363643E-3</c:v>
                </c:pt>
                <c:pt idx="8">
                  <c:v>-2.2111363636363643E-3</c:v>
                </c:pt>
                <c:pt idx="9">
                  <c:v>-2.2111363636363643E-3</c:v>
                </c:pt>
                <c:pt idx="10">
                  <c:v>-2.2111363636363643E-3</c:v>
                </c:pt>
                <c:pt idx="11">
                  <c:v>-2.2111363636363643E-3</c:v>
                </c:pt>
                <c:pt idx="12">
                  <c:v>-2.2111363636363643E-3</c:v>
                </c:pt>
                <c:pt idx="13">
                  <c:v>-2.2111363636363643E-3</c:v>
                </c:pt>
                <c:pt idx="14">
                  <c:v>-2.2111363636363643E-3</c:v>
                </c:pt>
                <c:pt idx="15">
                  <c:v>-2.2111363636363643E-3</c:v>
                </c:pt>
                <c:pt idx="16">
                  <c:v>-2.2111363636363643E-3</c:v>
                </c:pt>
                <c:pt idx="17">
                  <c:v>-2.2111363636363643E-3</c:v>
                </c:pt>
                <c:pt idx="18">
                  <c:v>-2.2111363636363643E-3</c:v>
                </c:pt>
                <c:pt idx="19">
                  <c:v>-2.2111363636363643E-3</c:v>
                </c:pt>
                <c:pt idx="20">
                  <c:v>-2.2111363636363643E-3</c:v>
                </c:pt>
                <c:pt idx="21">
                  <c:v>-2.2111363636363643E-3</c:v>
                </c:pt>
                <c:pt idx="22">
                  <c:v>-2.2111363636363643E-3</c:v>
                </c:pt>
                <c:pt idx="23">
                  <c:v>-2.2111363636363643E-3</c:v>
                </c:pt>
                <c:pt idx="24">
                  <c:v>-2.2111363636363643E-3</c:v>
                </c:pt>
                <c:pt idx="25">
                  <c:v>-2.2111363636363643E-3</c:v>
                </c:pt>
                <c:pt idx="26">
                  <c:v>-2.2111363636363643E-3</c:v>
                </c:pt>
                <c:pt idx="27">
                  <c:v>-2.2111363636363643E-3</c:v>
                </c:pt>
                <c:pt idx="28">
                  <c:v>-2.2111363636363643E-3</c:v>
                </c:pt>
                <c:pt idx="29">
                  <c:v>-2.2111363636363643E-3</c:v>
                </c:pt>
                <c:pt idx="30">
                  <c:v>-2.2111363636363643E-3</c:v>
                </c:pt>
                <c:pt idx="31">
                  <c:v>-2.2111363636363643E-3</c:v>
                </c:pt>
                <c:pt idx="32">
                  <c:v>-2.2111363636363643E-3</c:v>
                </c:pt>
                <c:pt idx="33">
                  <c:v>-2.2111363636363643E-3</c:v>
                </c:pt>
                <c:pt idx="34">
                  <c:v>-2.2111363636363643E-3</c:v>
                </c:pt>
                <c:pt idx="35">
                  <c:v>-2.2111363636363643E-3</c:v>
                </c:pt>
                <c:pt idx="36">
                  <c:v>-2.2111363636363643E-3</c:v>
                </c:pt>
                <c:pt idx="37">
                  <c:v>-2.2111363636363643E-3</c:v>
                </c:pt>
                <c:pt idx="38">
                  <c:v>-2.2111363636363643E-3</c:v>
                </c:pt>
                <c:pt idx="39">
                  <c:v>-2.2111363636363643E-3</c:v>
                </c:pt>
                <c:pt idx="40">
                  <c:v>-2.2111363636363643E-3</c:v>
                </c:pt>
                <c:pt idx="41">
                  <c:v>-2.2111363636363643E-3</c:v>
                </c:pt>
                <c:pt idx="42">
                  <c:v>-2.2111363636363643E-3</c:v>
                </c:pt>
                <c:pt idx="43">
                  <c:v>-2.2111363636363643E-3</c:v>
                </c:pt>
                <c:pt idx="44">
                  <c:v>-2.2111363636363643E-3</c:v>
                </c:pt>
                <c:pt idx="45">
                  <c:v>-2.2111363636363643E-3</c:v>
                </c:pt>
                <c:pt idx="46">
                  <c:v>-2.2111363636363643E-3</c:v>
                </c:pt>
                <c:pt idx="47">
                  <c:v>-2.2111363636363643E-3</c:v>
                </c:pt>
                <c:pt idx="48">
                  <c:v>-2.2111363636363643E-3</c:v>
                </c:pt>
                <c:pt idx="49">
                  <c:v>-2.2111363636363643E-3</c:v>
                </c:pt>
                <c:pt idx="50">
                  <c:v>-2.2111363636363643E-3</c:v>
                </c:pt>
                <c:pt idx="51">
                  <c:v>-2.2111363636363643E-3</c:v>
                </c:pt>
                <c:pt idx="52">
                  <c:v>-2.2111363636363643E-3</c:v>
                </c:pt>
                <c:pt idx="53">
                  <c:v>-2.2111363636363643E-3</c:v>
                </c:pt>
                <c:pt idx="54">
                  <c:v>-2.2111363636363643E-3</c:v>
                </c:pt>
                <c:pt idx="55">
                  <c:v>-2.2111363636363643E-3</c:v>
                </c:pt>
                <c:pt idx="56">
                  <c:v>-2.2111363636363643E-3</c:v>
                </c:pt>
                <c:pt idx="57">
                  <c:v>-2.2111363636363643E-3</c:v>
                </c:pt>
                <c:pt idx="58">
                  <c:v>-2.2111363636363643E-3</c:v>
                </c:pt>
                <c:pt idx="59">
                  <c:v>-2.2111363636363643E-3</c:v>
                </c:pt>
                <c:pt idx="60">
                  <c:v>-2.2111363636363643E-3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1-42A4-964B-1A06050C4026}"/>
            </c:ext>
          </c:extLst>
        </c:ser>
        <c:ser>
          <c:idx val="2"/>
          <c:order val="2"/>
          <c:tx>
            <c:strRef>
              <c:f>TABLA!$AP$3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TABLA!$AP$4:$AP$64</c:f>
              <c:numCache>
                <c:formatCode>0.000</c:formatCode>
                <c:ptCount val="61"/>
                <c:pt idx="0">
                  <c:v>2.2111363636363643E-3</c:v>
                </c:pt>
                <c:pt idx="1">
                  <c:v>2.2111363636363643E-3</c:v>
                </c:pt>
                <c:pt idx="2">
                  <c:v>2.2111363636363643E-3</c:v>
                </c:pt>
                <c:pt idx="3">
                  <c:v>2.2111363636363643E-3</c:v>
                </c:pt>
                <c:pt idx="4">
                  <c:v>2.2111363636363643E-3</c:v>
                </c:pt>
                <c:pt idx="5">
                  <c:v>2.2111363636363643E-3</c:v>
                </c:pt>
                <c:pt idx="6">
                  <c:v>2.2111363636363643E-3</c:v>
                </c:pt>
                <c:pt idx="7">
                  <c:v>2.2111363636363643E-3</c:v>
                </c:pt>
                <c:pt idx="8">
                  <c:v>2.2111363636363643E-3</c:v>
                </c:pt>
                <c:pt idx="9">
                  <c:v>2.2111363636363643E-3</c:v>
                </c:pt>
                <c:pt idx="10">
                  <c:v>2.2111363636363643E-3</c:v>
                </c:pt>
                <c:pt idx="11">
                  <c:v>2.2111363636363643E-3</c:v>
                </c:pt>
                <c:pt idx="12">
                  <c:v>2.2111363636363643E-3</c:v>
                </c:pt>
                <c:pt idx="13">
                  <c:v>2.2111363636363643E-3</c:v>
                </c:pt>
                <c:pt idx="14">
                  <c:v>2.2111363636363643E-3</c:v>
                </c:pt>
                <c:pt idx="15">
                  <c:v>2.2111363636363643E-3</c:v>
                </c:pt>
                <c:pt idx="16">
                  <c:v>2.2111363636363643E-3</c:v>
                </c:pt>
                <c:pt idx="17">
                  <c:v>2.2111363636363643E-3</c:v>
                </c:pt>
                <c:pt idx="18">
                  <c:v>2.2111363636363643E-3</c:v>
                </c:pt>
                <c:pt idx="19">
                  <c:v>2.2111363636363643E-3</c:v>
                </c:pt>
                <c:pt idx="20">
                  <c:v>2.2111363636363643E-3</c:v>
                </c:pt>
                <c:pt idx="21">
                  <c:v>2.2111363636363643E-3</c:v>
                </c:pt>
                <c:pt idx="22">
                  <c:v>2.2111363636363643E-3</c:v>
                </c:pt>
                <c:pt idx="23">
                  <c:v>2.2111363636363643E-3</c:v>
                </c:pt>
                <c:pt idx="24">
                  <c:v>2.2111363636363643E-3</c:v>
                </c:pt>
                <c:pt idx="25">
                  <c:v>2.2111363636363643E-3</c:v>
                </c:pt>
                <c:pt idx="26">
                  <c:v>2.2111363636363643E-3</c:v>
                </c:pt>
                <c:pt idx="27">
                  <c:v>2.2111363636363643E-3</c:v>
                </c:pt>
                <c:pt idx="28">
                  <c:v>2.2111363636363643E-3</c:v>
                </c:pt>
                <c:pt idx="29">
                  <c:v>2.2111363636363643E-3</c:v>
                </c:pt>
                <c:pt idx="30">
                  <c:v>2.2111363636363643E-3</c:v>
                </c:pt>
                <c:pt idx="31">
                  <c:v>2.2111363636363643E-3</c:v>
                </c:pt>
                <c:pt idx="32">
                  <c:v>2.2111363636363643E-3</c:v>
                </c:pt>
                <c:pt idx="33">
                  <c:v>2.2111363636363643E-3</c:v>
                </c:pt>
                <c:pt idx="34">
                  <c:v>2.2111363636363643E-3</c:v>
                </c:pt>
                <c:pt idx="35">
                  <c:v>2.2111363636363643E-3</c:v>
                </c:pt>
                <c:pt idx="36">
                  <c:v>2.2111363636363643E-3</c:v>
                </c:pt>
                <c:pt idx="37">
                  <c:v>2.2111363636363643E-3</c:v>
                </c:pt>
                <c:pt idx="38">
                  <c:v>2.2111363636363643E-3</c:v>
                </c:pt>
                <c:pt idx="39">
                  <c:v>2.2111363636363643E-3</c:v>
                </c:pt>
                <c:pt idx="40">
                  <c:v>2.2111363636363643E-3</c:v>
                </c:pt>
                <c:pt idx="41">
                  <c:v>2.2111363636363643E-3</c:v>
                </c:pt>
                <c:pt idx="42">
                  <c:v>2.2111363636363643E-3</c:v>
                </c:pt>
                <c:pt idx="43">
                  <c:v>2.2111363636363643E-3</c:v>
                </c:pt>
                <c:pt idx="44">
                  <c:v>2.2111363636363643E-3</c:v>
                </c:pt>
                <c:pt idx="45">
                  <c:v>2.2111363636363643E-3</c:v>
                </c:pt>
                <c:pt idx="46">
                  <c:v>2.2111363636363643E-3</c:v>
                </c:pt>
                <c:pt idx="47">
                  <c:v>2.2111363636363643E-3</c:v>
                </c:pt>
                <c:pt idx="48">
                  <c:v>2.2111363636363643E-3</c:v>
                </c:pt>
                <c:pt idx="49">
                  <c:v>2.2111363636363643E-3</c:v>
                </c:pt>
                <c:pt idx="50">
                  <c:v>2.2111363636363643E-3</c:v>
                </c:pt>
                <c:pt idx="51">
                  <c:v>2.2111363636363643E-3</c:v>
                </c:pt>
                <c:pt idx="52">
                  <c:v>2.2111363636363643E-3</c:v>
                </c:pt>
                <c:pt idx="53">
                  <c:v>2.2111363636363643E-3</c:v>
                </c:pt>
                <c:pt idx="54">
                  <c:v>2.2111363636363643E-3</c:v>
                </c:pt>
                <c:pt idx="55">
                  <c:v>2.2111363636363643E-3</c:v>
                </c:pt>
                <c:pt idx="56">
                  <c:v>2.2111363636363643E-3</c:v>
                </c:pt>
                <c:pt idx="57">
                  <c:v>2.2111363636363643E-3</c:v>
                </c:pt>
                <c:pt idx="58">
                  <c:v>2.2111363636363643E-3</c:v>
                </c:pt>
                <c:pt idx="59">
                  <c:v>2.2111363636363643E-3</c:v>
                </c:pt>
                <c:pt idx="60">
                  <c:v>2.2111363636363643E-3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1-42A4-964B-1A06050C4026}"/>
            </c:ext>
          </c:extLst>
        </c:ser>
        <c:ser>
          <c:idx val="3"/>
          <c:order val="3"/>
          <c:tx>
            <c:v>dif act 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TABLA!$AM$64</c:f>
              <c:numCache>
                <c:formatCode>0.000</c:formatCode>
                <c:ptCount val="1"/>
                <c:pt idx="0">
                  <c:v>-4.3079780712723731E-3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2-4CD3-867F-A1283492A650}"/>
            </c:ext>
          </c:extLst>
        </c:ser>
        <c:ser>
          <c:idx val="4"/>
          <c:order val="4"/>
          <c:tx>
            <c:v>act diff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TABLA!$AM$65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32-4CD3-867F-A1283492A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486328"/>
        <c:axId val="343481232"/>
      </c:scatterChart>
      <c:valAx>
        <c:axId val="34348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cross"/>
        <c:minorTickMark val="in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1232"/>
        <c:crosses val="autoZero"/>
        <c:crossBetween val="midCat"/>
      </c:valAx>
      <c:valAx>
        <c:axId val="343481232"/>
        <c:scaling>
          <c:orientation val="minMax"/>
          <c:max val="7.0000000000000019E-3"/>
          <c:min val="-7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6328"/>
        <c:crosses val="autoZero"/>
        <c:crossBetween val="midCat"/>
        <c:majorUnit val="2.0000000000000005E-3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 FINAL- PLANTA DE COBRE (%Cu)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437324549"/>
          <c:y val="0.11615740740740743"/>
          <c:w val="0.83065193155732542"/>
          <c:h val="0.69253204514304334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TABLA!$AY$3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TABLA!$AY$4:$AY$63</c:f>
              <c:numCache>
                <c:formatCode>0.000</c:formatCode>
                <c:ptCount val="60"/>
                <c:pt idx="0">
                  <c:v>4.5883038940429692</c:v>
                </c:pt>
                <c:pt idx="1">
                  <c:v>-1.9731227569580092</c:v>
                </c:pt>
                <c:pt idx="2">
                  <c:v>2.3942747344970705</c:v>
                </c:pt>
                <c:pt idx="3">
                  <c:v>1.7992747344970716</c:v>
                </c:pt>
                <c:pt idx="4">
                  <c:v>-1.0689656677246084</c:v>
                </c:pt>
                <c:pt idx="5">
                  <c:v>-1.3946579589843751</c:v>
                </c:pt>
                <c:pt idx="6">
                  <c:v>0.69891250610351463</c:v>
                </c:pt>
                <c:pt idx="7">
                  <c:v>5.5861867675781234</c:v>
                </c:pt>
                <c:pt idx="8">
                  <c:v>0.44231455993652347</c:v>
                </c:pt>
                <c:pt idx="9">
                  <c:v>-2.0716908721923843</c:v>
                </c:pt>
                <c:pt idx="10">
                  <c:v>1.6183292236328128</c:v>
                </c:pt>
                <c:pt idx="11">
                  <c:v>1.5946700744628899</c:v>
                </c:pt>
                <c:pt idx="12">
                  <c:v>1.4889786987304703</c:v>
                </c:pt>
                <c:pt idx="13">
                  <c:v>-0.84798715209960918</c:v>
                </c:pt>
                <c:pt idx="14">
                  <c:v>0.96516548156738224</c:v>
                </c:pt>
                <c:pt idx="15">
                  <c:v>1.7691654815673843</c:v>
                </c:pt>
                <c:pt idx="16">
                  <c:v>2.3041654815673844</c:v>
                </c:pt>
                <c:pt idx="17">
                  <c:v>2.9551654815673842</c:v>
                </c:pt>
                <c:pt idx="18">
                  <c:v>-0.71362327575683437</c:v>
                </c:pt>
                <c:pt idx="19">
                  <c:v>1.0678148040771482</c:v>
                </c:pt>
                <c:pt idx="20">
                  <c:v>-1.5788107452392595</c:v>
                </c:pt>
                <c:pt idx="21">
                  <c:v>0.2394758758544917</c:v>
                </c:pt>
                <c:pt idx="22">
                  <c:v>0.27841896057129034</c:v>
                </c:pt>
                <c:pt idx="23">
                  <c:v>0.27337472534179597</c:v>
                </c:pt>
                <c:pt idx="24">
                  <c:v>-4.7272626037597654</c:v>
                </c:pt>
                <c:pt idx="25">
                  <c:v>3.8977373962402346</c:v>
                </c:pt>
                <c:pt idx="26">
                  <c:v>-1.6792626037597671</c:v>
                </c:pt>
                <c:pt idx="27">
                  <c:v>3.7007373962402355</c:v>
                </c:pt>
                <c:pt idx="28">
                  <c:v>-1.159262603759764</c:v>
                </c:pt>
                <c:pt idx="29">
                  <c:v>0.37273739624023605</c:v>
                </c:pt>
                <c:pt idx="30">
                  <c:v>0.36773739624023349</c:v>
                </c:pt>
                <c:pt idx="31">
                  <c:v>-1.2242626037597653</c:v>
                </c:pt>
                <c:pt idx="32">
                  <c:v>1.7107373962402335</c:v>
                </c:pt>
                <c:pt idx="33">
                  <c:v>-2.4725930633544912</c:v>
                </c:pt>
                <c:pt idx="34">
                  <c:v>-1.3026221618652336</c:v>
                </c:pt>
                <c:pt idx="35">
                  <c:v>0</c:v>
                </c:pt>
                <c:pt idx="36">
                  <c:v>-1.8602005004883182E-2</c:v>
                </c:pt>
                <c:pt idx="37">
                  <c:v>0.38409510803222702</c:v>
                </c:pt>
                <c:pt idx="38">
                  <c:v>-1.37279266357422</c:v>
                </c:pt>
                <c:pt idx="39">
                  <c:v>2.0285583496093764</c:v>
                </c:pt>
                <c:pt idx="40">
                  <c:v>3.395207260131837</c:v>
                </c:pt>
                <c:pt idx="41">
                  <c:v>-3.5862499237060561</c:v>
                </c:pt>
                <c:pt idx="42">
                  <c:v>4.6267028808593125E-2</c:v>
                </c:pt>
                <c:pt idx="43">
                  <c:v>-0.45173297119140798</c:v>
                </c:pt>
                <c:pt idx="44">
                  <c:v>2.8750735626220703</c:v>
                </c:pt>
                <c:pt idx="45">
                  <c:v>-0.78338067626953034</c:v>
                </c:pt>
                <c:pt idx="46">
                  <c:v>2.38909507751465</c:v>
                </c:pt>
                <c:pt idx="47">
                  <c:v>1.048093673706056</c:v>
                </c:pt>
                <c:pt idx="48">
                  <c:v>-0.26262512207031108</c:v>
                </c:pt>
                <c:pt idx="49">
                  <c:v>0.6896352539062498</c:v>
                </c:pt>
                <c:pt idx="50">
                  <c:v>0.9994330139160148</c:v>
                </c:pt>
                <c:pt idx="51">
                  <c:v>3.3026838989257818</c:v>
                </c:pt>
                <c:pt idx="52">
                  <c:v>-0.61010224914550903</c:v>
                </c:pt>
                <c:pt idx="53">
                  <c:v>1.0776547851562484</c:v>
                </c:pt>
                <c:pt idx="54">
                  <c:v>1.1554733428955082</c:v>
                </c:pt>
                <c:pt idx="55">
                  <c:v>-9.0300018310546903E-2</c:v>
                </c:pt>
                <c:pt idx="56">
                  <c:v>-0.5299431610107419</c:v>
                </c:pt>
                <c:pt idx="57">
                  <c:v>1.0580739440917952</c:v>
                </c:pt>
                <c:pt idx="58">
                  <c:v>0.58782992553711111</c:v>
                </c:pt>
                <c:pt idx="59">
                  <c:v>0.94881317138671761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6C-47D6-B83A-3B5B100072D9}"/>
            </c:ext>
          </c:extLst>
        </c:ser>
        <c:ser>
          <c:idx val="1"/>
          <c:order val="1"/>
          <c:tx>
            <c:strRef>
              <c:f>TABLA!$BC$3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TABLA!$BC$4:$BC$64</c:f>
              <c:numCache>
                <c:formatCode>0.000</c:formatCode>
                <c:ptCount val="61"/>
                <c:pt idx="0">
                  <c:v>-1.5575884772727273</c:v>
                </c:pt>
                <c:pt idx="1">
                  <c:v>-1.5575884772727273</c:v>
                </c:pt>
                <c:pt idx="2">
                  <c:v>-1.5575884772727273</c:v>
                </c:pt>
                <c:pt idx="3">
                  <c:v>-1.5575884772727273</c:v>
                </c:pt>
                <c:pt idx="4">
                  <c:v>-1.5575884772727273</c:v>
                </c:pt>
                <c:pt idx="5">
                  <c:v>-1.5575884772727273</c:v>
                </c:pt>
                <c:pt idx="6">
                  <c:v>-1.5575884772727273</c:v>
                </c:pt>
                <c:pt idx="7">
                  <c:v>-1.5575884772727273</c:v>
                </c:pt>
                <c:pt idx="8">
                  <c:v>-1.5575884772727273</c:v>
                </c:pt>
                <c:pt idx="9">
                  <c:v>-1.5575884772727273</c:v>
                </c:pt>
                <c:pt idx="10">
                  <c:v>-1.5575884772727273</c:v>
                </c:pt>
                <c:pt idx="11">
                  <c:v>-1.5575884772727273</c:v>
                </c:pt>
                <c:pt idx="12">
                  <c:v>-1.5575884772727273</c:v>
                </c:pt>
                <c:pt idx="13">
                  <c:v>-1.5575884772727273</c:v>
                </c:pt>
                <c:pt idx="14">
                  <c:v>-1.5575884772727273</c:v>
                </c:pt>
                <c:pt idx="15">
                  <c:v>-1.5575884772727273</c:v>
                </c:pt>
                <c:pt idx="16">
                  <c:v>-1.5575884772727273</c:v>
                </c:pt>
                <c:pt idx="17">
                  <c:v>-1.5575884772727273</c:v>
                </c:pt>
                <c:pt idx="18">
                  <c:v>-1.5575884772727273</c:v>
                </c:pt>
                <c:pt idx="19">
                  <c:v>-1.5575884772727273</c:v>
                </c:pt>
                <c:pt idx="20">
                  <c:v>-1.5575884772727273</c:v>
                </c:pt>
                <c:pt idx="21">
                  <c:v>-1.5575884772727273</c:v>
                </c:pt>
                <c:pt idx="22">
                  <c:v>-1.5575884772727273</c:v>
                </c:pt>
                <c:pt idx="23">
                  <c:v>-1.5575884772727273</c:v>
                </c:pt>
                <c:pt idx="24">
                  <c:v>-1.5575884772727273</c:v>
                </c:pt>
                <c:pt idx="25">
                  <c:v>-1.5575884772727273</c:v>
                </c:pt>
                <c:pt idx="26">
                  <c:v>-1.5575884772727273</c:v>
                </c:pt>
                <c:pt idx="27">
                  <c:v>-1.5575884772727273</c:v>
                </c:pt>
                <c:pt idx="28">
                  <c:v>-1.5575884772727273</c:v>
                </c:pt>
                <c:pt idx="29">
                  <c:v>-1.5575884772727273</c:v>
                </c:pt>
                <c:pt idx="30">
                  <c:v>-1.5575884772727273</c:v>
                </c:pt>
                <c:pt idx="31">
                  <c:v>-1.5575884772727273</c:v>
                </c:pt>
                <c:pt idx="32">
                  <c:v>-1.5575884772727273</c:v>
                </c:pt>
                <c:pt idx="33">
                  <c:v>-1.5575884772727273</c:v>
                </c:pt>
                <c:pt idx="34">
                  <c:v>-1.5575884772727273</c:v>
                </c:pt>
                <c:pt idx="35">
                  <c:v>-1.5575884772727273</c:v>
                </c:pt>
                <c:pt idx="36">
                  <c:v>-1.5575884772727273</c:v>
                </c:pt>
                <c:pt idx="37">
                  <c:v>-1.5575884772727273</c:v>
                </c:pt>
                <c:pt idx="38">
                  <c:v>-1.5575884772727273</c:v>
                </c:pt>
                <c:pt idx="39">
                  <c:v>-1.5575884772727273</c:v>
                </c:pt>
                <c:pt idx="40">
                  <c:v>-1.5575884772727273</c:v>
                </c:pt>
                <c:pt idx="41">
                  <c:v>-1.5575884772727273</c:v>
                </c:pt>
                <c:pt idx="42">
                  <c:v>-1.5575884772727273</c:v>
                </c:pt>
                <c:pt idx="43">
                  <c:v>-1.5575884772727273</c:v>
                </c:pt>
                <c:pt idx="44">
                  <c:v>-1.5575884772727273</c:v>
                </c:pt>
                <c:pt idx="45">
                  <c:v>-1.5575884772727273</c:v>
                </c:pt>
                <c:pt idx="46">
                  <c:v>-1.5575884772727273</c:v>
                </c:pt>
                <c:pt idx="47">
                  <c:v>-1.5575884772727273</c:v>
                </c:pt>
                <c:pt idx="48">
                  <c:v>-1.5575884772727273</c:v>
                </c:pt>
                <c:pt idx="49">
                  <c:v>-1.5575884772727273</c:v>
                </c:pt>
                <c:pt idx="50">
                  <c:v>-1.5575884772727273</c:v>
                </c:pt>
                <c:pt idx="51">
                  <c:v>-1.5575884772727273</c:v>
                </c:pt>
                <c:pt idx="52">
                  <c:v>-1.5575884772727273</c:v>
                </c:pt>
                <c:pt idx="53">
                  <c:v>-1.5575884772727273</c:v>
                </c:pt>
                <c:pt idx="54">
                  <c:v>-1.5575884772727273</c:v>
                </c:pt>
                <c:pt idx="55">
                  <c:v>-1.5575884772727273</c:v>
                </c:pt>
                <c:pt idx="56">
                  <c:v>-1.5575884772727273</c:v>
                </c:pt>
                <c:pt idx="57">
                  <c:v>-1.5575884772727273</c:v>
                </c:pt>
                <c:pt idx="58">
                  <c:v>-1.5575884772727273</c:v>
                </c:pt>
                <c:pt idx="59">
                  <c:v>-1.5575884772727273</c:v>
                </c:pt>
                <c:pt idx="60">
                  <c:v>-1.5575884772727273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6C-47D6-B83A-3B5B100072D9}"/>
            </c:ext>
          </c:extLst>
        </c:ser>
        <c:ser>
          <c:idx val="2"/>
          <c:order val="2"/>
          <c:tx>
            <c:strRef>
              <c:f>TABLA!$BB$3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TABLA!$BB$4:$BB$64</c:f>
              <c:numCache>
                <c:formatCode>0.000</c:formatCode>
                <c:ptCount val="61"/>
                <c:pt idx="0">
                  <c:v>1.5575884772727273</c:v>
                </c:pt>
                <c:pt idx="1">
                  <c:v>1.5575884772727273</c:v>
                </c:pt>
                <c:pt idx="2">
                  <c:v>1.5575884772727273</c:v>
                </c:pt>
                <c:pt idx="3">
                  <c:v>1.5575884772727273</c:v>
                </c:pt>
                <c:pt idx="4">
                  <c:v>1.5575884772727273</c:v>
                </c:pt>
                <c:pt idx="5">
                  <c:v>1.5575884772727273</c:v>
                </c:pt>
                <c:pt idx="6">
                  <c:v>1.5575884772727273</c:v>
                </c:pt>
                <c:pt idx="7">
                  <c:v>1.5575884772727273</c:v>
                </c:pt>
                <c:pt idx="8">
                  <c:v>1.5575884772727273</c:v>
                </c:pt>
                <c:pt idx="9">
                  <c:v>1.5575884772727273</c:v>
                </c:pt>
                <c:pt idx="10">
                  <c:v>1.5575884772727273</c:v>
                </c:pt>
                <c:pt idx="11">
                  <c:v>1.5575884772727273</c:v>
                </c:pt>
                <c:pt idx="12">
                  <c:v>1.5575884772727273</c:v>
                </c:pt>
                <c:pt idx="13">
                  <c:v>1.5575884772727273</c:v>
                </c:pt>
                <c:pt idx="14">
                  <c:v>1.5575884772727273</c:v>
                </c:pt>
                <c:pt idx="15">
                  <c:v>1.5575884772727273</c:v>
                </c:pt>
                <c:pt idx="16">
                  <c:v>1.5575884772727273</c:v>
                </c:pt>
                <c:pt idx="17">
                  <c:v>1.5575884772727273</c:v>
                </c:pt>
                <c:pt idx="18">
                  <c:v>1.5575884772727273</c:v>
                </c:pt>
                <c:pt idx="19">
                  <c:v>1.5575884772727273</c:v>
                </c:pt>
                <c:pt idx="20">
                  <c:v>1.5575884772727273</c:v>
                </c:pt>
                <c:pt idx="21">
                  <c:v>1.5575884772727273</c:v>
                </c:pt>
                <c:pt idx="22">
                  <c:v>1.5575884772727273</c:v>
                </c:pt>
                <c:pt idx="23">
                  <c:v>1.5575884772727273</c:v>
                </c:pt>
                <c:pt idx="24">
                  <c:v>1.5575884772727273</c:v>
                </c:pt>
                <c:pt idx="25">
                  <c:v>1.5575884772727273</c:v>
                </c:pt>
                <c:pt idx="26">
                  <c:v>1.5575884772727273</c:v>
                </c:pt>
                <c:pt idx="27">
                  <c:v>1.5575884772727273</c:v>
                </c:pt>
                <c:pt idx="28">
                  <c:v>1.5575884772727273</c:v>
                </c:pt>
                <c:pt idx="29">
                  <c:v>1.5575884772727273</c:v>
                </c:pt>
                <c:pt idx="30">
                  <c:v>1.5575884772727273</c:v>
                </c:pt>
                <c:pt idx="31">
                  <c:v>1.5575884772727273</c:v>
                </c:pt>
                <c:pt idx="32">
                  <c:v>1.5575884772727273</c:v>
                </c:pt>
                <c:pt idx="33">
                  <c:v>1.5575884772727273</c:v>
                </c:pt>
                <c:pt idx="34">
                  <c:v>1.5575884772727273</c:v>
                </c:pt>
                <c:pt idx="35">
                  <c:v>1.5575884772727273</c:v>
                </c:pt>
                <c:pt idx="36">
                  <c:v>1.5575884772727273</c:v>
                </c:pt>
                <c:pt idx="37">
                  <c:v>1.5575884772727273</c:v>
                </c:pt>
                <c:pt idx="38">
                  <c:v>1.5575884772727273</c:v>
                </c:pt>
                <c:pt idx="39">
                  <c:v>1.5575884772727273</c:v>
                </c:pt>
                <c:pt idx="40">
                  <c:v>1.5575884772727273</c:v>
                </c:pt>
                <c:pt idx="41">
                  <c:v>1.5575884772727273</c:v>
                </c:pt>
                <c:pt idx="42">
                  <c:v>1.5575884772727273</c:v>
                </c:pt>
                <c:pt idx="43">
                  <c:v>1.5575884772727273</c:v>
                </c:pt>
                <c:pt idx="44">
                  <c:v>1.5575884772727273</c:v>
                </c:pt>
                <c:pt idx="45">
                  <c:v>1.5575884772727273</c:v>
                </c:pt>
                <c:pt idx="46">
                  <c:v>1.5575884772727273</c:v>
                </c:pt>
                <c:pt idx="47">
                  <c:v>1.5575884772727273</c:v>
                </c:pt>
                <c:pt idx="48">
                  <c:v>1.5575884772727273</c:v>
                </c:pt>
                <c:pt idx="49">
                  <c:v>1.5575884772727273</c:v>
                </c:pt>
                <c:pt idx="50">
                  <c:v>1.5575884772727273</c:v>
                </c:pt>
                <c:pt idx="51">
                  <c:v>1.5575884772727273</c:v>
                </c:pt>
                <c:pt idx="52">
                  <c:v>1.5575884772727273</c:v>
                </c:pt>
                <c:pt idx="53">
                  <c:v>1.5575884772727273</c:v>
                </c:pt>
                <c:pt idx="54">
                  <c:v>1.5575884772727273</c:v>
                </c:pt>
                <c:pt idx="55">
                  <c:v>1.5575884772727273</c:v>
                </c:pt>
                <c:pt idx="56">
                  <c:v>1.5575884772727273</c:v>
                </c:pt>
                <c:pt idx="57">
                  <c:v>1.5575884772727273</c:v>
                </c:pt>
                <c:pt idx="58">
                  <c:v>1.5575884772727273</c:v>
                </c:pt>
                <c:pt idx="59">
                  <c:v>1.5575884772727273</c:v>
                </c:pt>
                <c:pt idx="60">
                  <c:v>1.5575884772727273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6C-47D6-B83A-3B5B100072D9}"/>
            </c:ext>
          </c:extLst>
        </c:ser>
        <c:ser>
          <c:idx val="3"/>
          <c:order val="3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TABLA!$AY$64</c:f>
              <c:numCache>
                <c:formatCode>0.000</c:formatCode>
                <c:ptCount val="1"/>
                <c:pt idx="0">
                  <c:v>0.22693913269042909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2C-4B68-8507-973208D2A1FD}"/>
            </c:ext>
          </c:extLst>
        </c:ser>
        <c:ser>
          <c:idx val="4"/>
          <c:order val="4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TABLA!$AY$65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2C-4B68-8507-973208D2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480840"/>
        <c:axId val="343480448"/>
      </c:scatterChart>
      <c:valAx>
        <c:axId val="343480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0448"/>
        <c:crosses val="autoZero"/>
        <c:crossBetween val="midCat"/>
      </c:valAx>
      <c:valAx>
        <c:axId val="343480448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cross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0840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</a:t>
            </a:r>
            <a:r>
              <a:rPr lang="en-US" sz="8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FINAL</a:t>
            </a: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- PLANTA DE COBRE (%mO)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28031792"/>
          <c:y val="0.1437995477735684"/>
          <c:w val="0.83065193155732542"/>
          <c:h val="0.68068535438085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TABLA!$BF$3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TABLA!$BF$4:$BF$63</c:f>
              <c:numCache>
                <c:formatCode>0.000</c:formatCode>
                <c:ptCount val="60"/>
                <c:pt idx="0">
                  <c:v>0.61847963905334469</c:v>
                </c:pt>
                <c:pt idx="1">
                  <c:v>-0.25869421386718749</c:v>
                </c:pt>
                <c:pt idx="2">
                  <c:v>-0.36739880943298342</c:v>
                </c:pt>
                <c:pt idx="3">
                  <c:v>-1.0203988094329834</c:v>
                </c:pt>
                <c:pt idx="4">
                  <c:v>0.85303672981262224</c:v>
                </c:pt>
                <c:pt idx="5">
                  <c:v>0.89916218566894512</c:v>
                </c:pt>
                <c:pt idx="6">
                  <c:v>0.35237357425689719</c:v>
                </c:pt>
                <c:pt idx="7">
                  <c:v>0.24913026618957534</c:v>
                </c:pt>
                <c:pt idx="8">
                  <c:v>-0.34855094337463388</c:v>
                </c:pt>
                <c:pt idx="9">
                  <c:v>-0.10796377277374258</c:v>
                </c:pt>
                <c:pt idx="10">
                  <c:v>-5.8730848789215084E-2</c:v>
                </c:pt>
                <c:pt idx="11">
                  <c:v>0.12036348438262945</c:v>
                </c:pt>
                <c:pt idx="12">
                  <c:v>2.393468904495244E-2</c:v>
                </c:pt>
                <c:pt idx="13">
                  <c:v>0.12236378192901609</c:v>
                </c:pt>
                <c:pt idx="14">
                  <c:v>8.2783467769622754E-2</c:v>
                </c:pt>
                <c:pt idx="15">
                  <c:v>0.1337834677696228</c:v>
                </c:pt>
                <c:pt idx="16">
                  <c:v>0.85478346776962288</c:v>
                </c:pt>
                <c:pt idx="17">
                  <c:v>0.86078346776962289</c:v>
                </c:pt>
                <c:pt idx="18">
                  <c:v>0.69996874809265153</c:v>
                </c:pt>
                <c:pt idx="19">
                  <c:v>-0.22294206714630116</c:v>
                </c:pt>
                <c:pt idx="20">
                  <c:v>0.42297615623474139</c:v>
                </c:pt>
                <c:pt idx="21">
                  <c:v>-0.35285848236083983</c:v>
                </c:pt>
                <c:pt idx="22">
                  <c:v>-9.4361885070800788E-2</c:v>
                </c:pt>
                <c:pt idx="23">
                  <c:v>-4.7969973564147894E-2</c:v>
                </c:pt>
                <c:pt idx="24">
                  <c:v>0.1108440265655517</c:v>
                </c:pt>
                <c:pt idx="25">
                  <c:v>0.83984402656555179</c:v>
                </c:pt>
                <c:pt idx="26">
                  <c:v>0.32484402656555167</c:v>
                </c:pt>
                <c:pt idx="27">
                  <c:v>0.22784402656555169</c:v>
                </c:pt>
                <c:pt idx="28">
                  <c:v>0.8608440265655517</c:v>
                </c:pt>
                <c:pt idx="29">
                  <c:v>0.39084402656555173</c:v>
                </c:pt>
                <c:pt idx="30">
                  <c:v>-0.55615597343444823</c:v>
                </c:pt>
                <c:pt idx="31">
                  <c:v>-0.16315597343444832</c:v>
                </c:pt>
                <c:pt idx="32">
                  <c:v>-0.34915597343444826</c:v>
                </c:pt>
                <c:pt idx="33">
                  <c:v>4.8747402191162026E-2</c:v>
                </c:pt>
                <c:pt idx="34">
                  <c:v>-8.6884539604187072E-2</c:v>
                </c:pt>
                <c:pt idx="35">
                  <c:v>0</c:v>
                </c:pt>
                <c:pt idx="36">
                  <c:v>-0.39941909790039065</c:v>
                </c:pt>
                <c:pt idx="37">
                  <c:v>0.28897998046875006</c:v>
                </c:pt>
                <c:pt idx="38">
                  <c:v>0.28684650421142566</c:v>
                </c:pt>
                <c:pt idx="39">
                  <c:v>-0.19571546554565433</c:v>
                </c:pt>
                <c:pt idx="40">
                  <c:v>-2.9130684852600064E-2</c:v>
                </c:pt>
                <c:pt idx="41">
                  <c:v>0.1911793518066407</c:v>
                </c:pt>
                <c:pt idx="42">
                  <c:v>0.29664680004119881</c:v>
                </c:pt>
                <c:pt idx="43">
                  <c:v>0.58264680004119862</c:v>
                </c:pt>
                <c:pt idx="44">
                  <c:v>-0.23904783821105946</c:v>
                </c:pt>
                <c:pt idx="45">
                  <c:v>0.41023174285888686</c:v>
                </c:pt>
                <c:pt idx="46">
                  <c:v>-0.16808538246154781</c:v>
                </c:pt>
                <c:pt idx="47">
                  <c:v>-0.50367680740356446</c:v>
                </c:pt>
                <c:pt idx="48">
                  <c:v>-0.63896121215820312</c:v>
                </c:pt>
                <c:pt idx="49">
                  <c:v>-0.11668296051025395</c:v>
                </c:pt>
                <c:pt idx="50">
                  <c:v>8.7241811752319265E-2</c:v>
                </c:pt>
                <c:pt idx="51">
                  <c:v>-0.42435104370117172</c:v>
                </c:pt>
                <c:pt idx="52">
                  <c:v>0.24283861541748042</c:v>
                </c:pt>
                <c:pt idx="53">
                  <c:v>-0.46964724731445306</c:v>
                </c:pt>
                <c:pt idx="54">
                  <c:v>0.87128293609619156</c:v>
                </c:pt>
                <c:pt idx="55">
                  <c:v>0.1707654294967651</c:v>
                </c:pt>
                <c:pt idx="56">
                  <c:v>0.68669690608978273</c:v>
                </c:pt>
                <c:pt idx="57">
                  <c:v>5.6346818923949993E-2</c:v>
                </c:pt>
                <c:pt idx="58">
                  <c:v>0.56746680641174319</c:v>
                </c:pt>
                <c:pt idx="59">
                  <c:v>8.2889839172363367E-2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3A3-AD23-0F705FAE432E}"/>
            </c:ext>
          </c:extLst>
        </c:ser>
        <c:ser>
          <c:idx val="1"/>
          <c:order val="1"/>
          <c:tx>
            <c:strRef>
              <c:f>TABLA!$BJ$3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TABLA!$BJ$4:$BJ$64</c:f>
              <c:numCache>
                <c:formatCode>0.000</c:formatCode>
                <c:ptCount val="61"/>
                <c:pt idx="0">
                  <c:v>-0.18375074999999999</c:v>
                </c:pt>
                <c:pt idx="1">
                  <c:v>-0.18375074999999999</c:v>
                </c:pt>
                <c:pt idx="2">
                  <c:v>-0.18375074999999999</c:v>
                </c:pt>
                <c:pt idx="3">
                  <c:v>-0.18375074999999999</c:v>
                </c:pt>
                <c:pt idx="4">
                  <c:v>-0.18375074999999999</c:v>
                </c:pt>
                <c:pt idx="5">
                  <c:v>-0.18375074999999999</c:v>
                </c:pt>
                <c:pt idx="6">
                  <c:v>-0.18375074999999999</c:v>
                </c:pt>
                <c:pt idx="7">
                  <c:v>-0.18375074999999999</c:v>
                </c:pt>
                <c:pt idx="8">
                  <c:v>-0.18375074999999999</c:v>
                </c:pt>
                <c:pt idx="9">
                  <c:v>-0.18375074999999999</c:v>
                </c:pt>
                <c:pt idx="10">
                  <c:v>-0.18375074999999999</c:v>
                </c:pt>
                <c:pt idx="11">
                  <c:v>-0.18375074999999999</c:v>
                </c:pt>
                <c:pt idx="12">
                  <c:v>-0.18375074999999999</c:v>
                </c:pt>
                <c:pt idx="13">
                  <c:v>-0.18375074999999999</c:v>
                </c:pt>
                <c:pt idx="14">
                  <c:v>-0.18375074999999999</c:v>
                </c:pt>
                <c:pt idx="15">
                  <c:v>-0.18375074999999999</c:v>
                </c:pt>
                <c:pt idx="16">
                  <c:v>-0.18375074999999999</c:v>
                </c:pt>
                <c:pt idx="17">
                  <c:v>-0.18375074999999999</c:v>
                </c:pt>
                <c:pt idx="18">
                  <c:v>-0.18375074999999999</c:v>
                </c:pt>
                <c:pt idx="19">
                  <c:v>-0.18375074999999999</c:v>
                </c:pt>
                <c:pt idx="20">
                  <c:v>-0.18375074999999999</c:v>
                </c:pt>
                <c:pt idx="21">
                  <c:v>-0.18375074999999999</c:v>
                </c:pt>
                <c:pt idx="22">
                  <c:v>-0.18375074999999999</c:v>
                </c:pt>
                <c:pt idx="23">
                  <c:v>-0.18375074999999999</c:v>
                </c:pt>
                <c:pt idx="24">
                  <c:v>-0.18375074999999999</c:v>
                </c:pt>
                <c:pt idx="25">
                  <c:v>-0.18375074999999999</c:v>
                </c:pt>
                <c:pt idx="26">
                  <c:v>-0.18375074999999999</c:v>
                </c:pt>
                <c:pt idx="27">
                  <c:v>-0.18375074999999999</c:v>
                </c:pt>
                <c:pt idx="28">
                  <c:v>-0.18375074999999999</c:v>
                </c:pt>
                <c:pt idx="29">
                  <c:v>-0.18375074999999999</c:v>
                </c:pt>
                <c:pt idx="30">
                  <c:v>-0.18375074999999999</c:v>
                </c:pt>
                <c:pt idx="31">
                  <c:v>-0.18375074999999999</c:v>
                </c:pt>
                <c:pt idx="32">
                  <c:v>-0.18375074999999999</c:v>
                </c:pt>
                <c:pt idx="33">
                  <c:v>-0.18375074999999999</c:v>
                </c:pt>
                <c:pt idx="34">
                  <c:v>-0.18375074999999999</c:v>
                </c:pt>
                <c:pt idx="35">
                  <c:v>-0.18375074999999999</c:v>
                </c:pt>
                <c:pt idx="36">
                  <c:v>-0.18375074999999999</c:v>
                </c:pt>
                <c:pt idx="37">
                  <c:v>-0.18375074999999999</c:v>
                </c:pt>
                <c:pt idx="38">
                  <c:v>-0.18375074999999999</c:v>
                </c:pt>
                <c:pt idx="39">
                  <c:v>-0.18375074999999999</c:v>
                </c:pt>
                <c:pt idx="40">
                  <c:v>-0.18375074999999999</c:v>
                </c:pt>
                <c:pt idx="41">
                  <c:v>-0.18375074999999999</c:v>
                </c:pt>
                <c:pt idx="42">
                  <c:v>-0.18375074999999999</c:v>
                </c:pt>
                <c:pt idx="43">
                  <c:v>-0.18375074999999999</c:v>
                </c:pt>
                <c:pt idx="44">
                  <c:v>-0.18375074999999999</c:v>
                </c:pt>
                <c:pt idx="45">
                  <c:v>-0.18375074999999999</c:v>
                </c:pt>
                <c:pt idx="46">
                  <c:v>-0.18375074999999999</c:v>
                </c:pt>
                <c:pt idx="47">
                  <c:v>-0.18375074999999999</c:v>
                </c:pt>
                <c:pt idx="48">
                  <c:v>-0.18375074999999999</c:v>
                </c:pt>
                <c:pt idx="49">
                  <c:v>-0.18375074999999999</c:v>
                </c:pt>
                <c:pt idx="50">
                  <c:v>-0.18375074999999999</c:v>
                </c:pt>
                <c:pt idx="51">
                  <c:v>-0.18375074999999999</c:v>
                </c:pt>
                <c:pt idx="52">
                  <c:v>-0.18375074999999999</c:v>
                </c:pt>
                <c:pt idx="53">
                  <c:v>-0.18375074999999999</c:v>
                </c:pt>
                <c:pt idx="54">
                  <c:v>-0.18375074999999999</c:v>
                </c:pt>
                <c:pt idx="55">
                  <c:v>-0.18375074999999999</c:v>
                </c:pt>
                <c:pt idx="56">
                  <c:v>-0.18375074999999999</c:v>
                </c:pt>
                <c:pt idx="57">
                  <c:v>-0.18375074999999999</c:v>
                </c:pt>
                <c:pt idx="58">
                  <c:v>-0.18375074999999999</c:v>
                </c:pt>
                <c:pt idx="59">
                  <c:v>-0.18375074999999999</c:v>
                </c:pt>
                <c:pt idx="60">
                  <c:v>-0.18375074999999999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4B-43A3-AD23-0F705FAE432E}"/>
            </c:ext>
          </c:extLst>
        </c:ser>
        <c:ser>
          <c:idx val="2"/>
          <c:order val="2"/>
          <c:tx>
            <c:strRef>
              <c:f>TABLA!$BI$3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TABLA!$BI$4:$BI$64</c:f>
              <c:numCache>
                <c:formatCode>0.000</c:formatCode>
                <c:ptCount val="61"/>
                <c:pt idx="0">
                  <c:v>0.18375074999999999</c:v>
                </c:pt>
                <c:pt idx="1">
                  <c:v>0.18375074999999999</c:v>
                </c:pt>
                <c:pt idx="2">
                  <c:v>0.18375074999999999</c:v>
                </c:pt>
                <c:pt idx="3">
                  <c:v>0.18375074999999999</c:v>
                </c:pt>
                <c:pt idx="4">
                  <c:v>0.18375074999999999</c:v>
                </c:pt>
                <c:pt idx="5">
                  <c:v>0.18375074999999999</c:v>
                </c:pt>
                <c:pt idx="6">
                  <c:v>0.18375074999999999</c:v>
                </c:pt>
                <c:pt idx="7">
                  <c:v>0.18375074999999999</c:v>
                </c:pt>
                <c:pt idx="8">
                  <c:v>0.18375074999999999</c:v>
                </c:pt>
                <c:pt idx="9">
                  <c:v>0.18375074999999999</c:v>
                </c:pt>
                <c:pt idx="10">
                  <c:v>0.18375074999999999</c:v>
                </c:pt>
                <c:pt idx="11">
                  <c:v>0.18375074999999999</c:v>
                </c:pt>
                <c:pt idx="12">
                  <c:v>0.18375074999999999</c:v>
                </c:pt>
                <c:pt idx="13">
                  <c:v>0.18375074999999999</c:v>
                </c:pt>
                <c:pt idx="14">
                  <c:v>0.18375074999999999</c:v>
                </c:pt>
                <c:pt idx="15">
                  <c:v>0.18375074999999999</c:v>
                </c:pt>
                <c:pt idx="16">
                  <c:v>0.18375074999999999</c:v>
                </c:pt>
                <c:pt idx="17">
                  <c:v>0.18375074999999999</c:v>
                </c:pt>
                <c:pt idx="18">
                  <c:v>0.18375074999999999</c:v>
                </c:pt>
                <c:pt idx="19">
                  <c:v>0.18375074999999999</c:v>
                </c:pt>
                <c:pt idx="20">
                  <c:v>0.18375074999999999</c:v>
                </c:pt>
                <c:pt idx="21">
                  <c:v>0.18375074999999999</c:v>
                </c:pt>
                <c:pt idx="22">
                  <c:v>0.18375074999999999</c:v>
                </c:pt>
                <c:pt idx="23">
                  <c:v>0.18375074999999999</c:v>
                </c:pt>
                <c:pt idx="24">
                  <c:v>0.18375074999999999</c:v>
                </c:pt>
                <c:pt idx="25">
                  <c:v>0.18375074999999999</c:v>
                </c:pt>
                <c:pt idx="26">
                  <c:v>0.18375074999999999</c:v>
                </c:pt>
                <c:pt idx="27">
                  <c:v>0.18375074999999999</c:v>
                </c:pt>
                <c:pt idx="28">
                  <c:v>0.18375074999999999</c:v>
                </c:pt>
                <c:pt idx="29">
                  <c:v>0.18375074999999999</c:v>
                </c:pt>
                <c:pt idx="30">
                  <c:v>0.18375074999999999</c:v>
                </c:pt>
                <c:pt idx="31">
                  <c:v>0.18375074999999999</c:v>
                </c:pt>
                <c:pt idx="32">
                  <c:v>0.18375074999999999</c:v>
                </c:pt>
                <c:pt idx="33">
                  <c:v>0.18375074999999999</c:v>
                </c:pt>
                <c:pt idx="34">
                  <c:v>0.18375074999999999</c:v>
                </c:pt>
                <c:pt idx="35">
                  <c:v>0.18375074999999999</c:v>
                </c:pt>
                <c:pt idx="36">
                  <c:v>0.18375074999999999</c:v>
                </c:pt>
                <c:pt idx="37">
                  <c:v>0.18375074999999999</c:v>
                </c:pt>
                <c:pt idx="38">
                  <c:v>0.18375074999999999</c:v>
                </c:pt>
                <c:pt idx="39">
                  <c:v>0.18375074999999999</c:v>
                </c:pt>
                <c:pt idx="40">
                  <c:v>0.18375074999999999</c:v>
                </c:pt>
                <c:pt idx="41">
                  <c:v>0.18375074999999999</c:v>
                </c:pt>
                <c:pt idx="42">
                  <c:v>0.18375074999999999</c:v>
                </c:pt>
                <c:pt idx="43">
                  <c:v>0.18375074999999999</c:v>
                </c:pt>
                <c:pt idx="44">
                  <c:v>0.18375074999999999</c:v>
                </c:pt>
                <c:pt idx="45">
                  <c:v>0.18375074999999999</c:v>
                </c:pt>
                <c:pt idx="46">
                  <c:v>0.18375074999999999</c:v>
                </c:pt>
                <c:pt idx="47">
                  <c:v>0.18375074999999999</c:v>
                </c:pt>
                <c:pt idx="48">
                  <c:v>0.18375074999999999</c:v>
                </c:pt>
                <c:pt idx="49">
                  <c:v>0.18375074999999999</c:v>
                </c:pt>
                <c:pt idx="50">
                  <c:v>0.18375074999999999</c:v>
                </c:pt>
                <c:pt idx="51">
                  <c:v>0.18375074999999999</c:v>
                </c:pt>
                <c:pt idx="52">
                  <c:v>0.18375074999999999</c:v>
                </c:pt>
                <c:pt idx="53">
                  <c:v>0.18375074999999999</c:v>
                </c:pt>
                <c:pt idx="54">
                  <c:v>0.18375074999999999</c:v>
                </c:pt>
                <c:pt idx="55">
                  <c:v>0.18375074999999999</c:v>
                </c:pt>
                <c:pt idx="56">
                  <c:v>0.18375074999999999</c:v>
                </c:pt>
                <c:pt idx="57">
                  <c:v>0.18375074999999999</c:v>
                </c:pt>
                <c:pt idx="58">
                  <c:v>0.18375074999999999</c:v>
                </c:pt>
                <c:pt idx="59">
                  <c:v>0.18375074999999999</c:v>
                </c:pt>
                <c:pt idx="60">
                  <c:v>0.18375074999999999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4B-43A3-AD23-0F705FAE432E}"/>
            </c:ext>
          </c:extLst>
        </c:ser>
        <c:ser>
          <c:idx val="3"/>
          <c:order val="3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TABLA!$BF$64</c:f>
              <c:numCache>
                <c:formatCode>0.000</c:formatCode>
                <c:ptCount val="1"/>
                <c:pt idx="0">
                  <c:v>0.27556867504119875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38-4468-9883-521007F01AFE}"/>
            </c:ext>
          </c:extLst>
        </c:ser>
        <c:ser>
          <c:idx val="4"/>
          <c:order val="4"/>
          <c:tx>
            <c:v>dd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C0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TABLA!$BF$65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8-4468-9883-521007F01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481624"/>
        <c:axId val="343482016"/>
      </c:scatterChart>
      <c:valAx>
        <c:axId val="343481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2016"/>
        <c:crosses val="autoZero"/>
        <c:crossBetween val="midCat"/>
      </c:valAx>
      <c:valAx>
        <c:axId val="343482016"/>
        <c:scaling>
          <c:orientation val="minMax"/>
          <c:max val="0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1624"/>
        <c:crosses val="autoZero"/>
        <c:crossBetween val="midCat"/>
        <c:majorUnit val="0.12000000000000001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 b="0">
                <a:solidFill>
                  <a:sysClr val="windowText" lastClr="000000"/>
                </a:solidFill>
              </a:defRPr>
            </a:pPr>
            <a:r>
              <a:rPr lang="es-PE" sz="8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COBRE (%Cu)</a:t>
            </a:r>
          </a:p>
        </c:rich>
      </c:tx>
      <c:layout>
        <c:manualLayout>
          <c:xMode val="edge"/>
          <c:yMode val="edge"/>
          <c:x val="0.14281669966114746"/>
          <c:y val="1.5619134177279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spPr>
            <a:solidFill>
              <a:srgbClr val="0070C0"/>
            </a:solidFill>
          </c:spPr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664-4881-9523-AC767B0C20B5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0664-4881-9523-AC767B0C20B5}"/>
              </c:ext>
            </c:extLst>
          </c:dPt>
          <c:dPt>
            <c:idx val="2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0664-4881-9523-AC767B0C20B5}"/>
              </c:ext>
            </c:extLst>
          </c:dPt>
          <c:dLbls>
            <c:dLbl>
              <c:idx val="0"/>
              <c:layout>
                <c:manualLayout>
                  <c:x val="-0.23069874068078697"/>
                  <c:y val="-0.107222281494308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64-4881-9523-AC767B0C20B5}"/>
                </c:ext>
              </c:extLst>
            </c:dLbl>
            <c:dLbl>
              <c:idx val="1"/>
              <c:layout>
                <c:manualLayout>
                  <c:x val="0.17252326106450772"/>
                  <c:y val="0.154255214090898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64-4881-9523-AC767B0C20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Calculos!$B$46:$B$47</c:f>
              <c:numCache>
                <c:formatCode>0.00</c:formatCode>
                <c:ptCount val="2"/>
                <c:pt idx="0">
                  <c:v>65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4-4881-9523-AC767B0C20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COBRE (%Mo)</a:t>
            </a:r>
          </a:p>
        </c:rich>
      </c:tx>
      <c:layout>
        <c:manualLayout>
          <c:xMode val="edge"/>
          <c:yMode val="edge"/>
          <c:x val="0.14068893513327227"/>
          <c:y val="2.2803324616996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spPr>
            <a:solidFill>
              <a:srgbClr val="C00000"/>
            </a:solidFill>
          </c:spPr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F059-4E25-9F2B-C4739F267A60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F059-4E25-9F2B-C4739F267A60}"/>
              </c:ext>
            </c:extLst>
          </c:dPt>
          <c:dPt>
            <c:idx val="2"/>
            <c:bubble3D val="0"/>
            <c:explosion val="4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F059-4E25-9F2B-C4739F267A60}"/>
              </c:ext>
            </c:extLst>
          </c:dPt>
          <c:dLbls>
            <c:dLbl>
              <c:idx val="0"/>
              <c:layout>
                <c:manualLayout>
                  <c:x val="-0.24219600615251374"/>
                  <c:y val="-7.1409718286171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59-4E25-9F2B-C4739F267A60}"/>
                </c:ext>
              </c:extLst>
            </c:dLbl>
            <c:dLbl>
              <c:idx val="1"/>
              <c:layout>
                <c:manualLayout>
                  <c:x val="0.28131712791880953"/>
                  <c:y val="6.53874859424385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59-4E25-9F2B-C4739F267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Calculos!$A$46:$A$48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Calculos!$C$46:$C$47</c:f>
              <c:numCache>
                <c:formatCode>0.00</c:formatCode>
                <c:ptCount val="2"/>
                <c:pt idx="0">
                  <c:v>43.333333333333336</c:v>
                </c:pt>
                <c:pt idx="1">
                  <c:v>56.666666666666664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9-4E25-9F2B-C4739F267A6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</a:t>
            </a:r>
            <a:r>
              <a:rPr lang="es-PE" sz="8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FINAL</a:t>
            </a: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 PLANTA DE COBRE (%Cu)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5050418331109"/>
          <c:y val="0.11790509285237057"/>
          <c:w val="0.62749154404443219"/>
          <c:h val="0.75372468693321071"/>
        </c:manualLayout>
      </c:layout>
      <c:pieChart>
        <c:varyColors val="1"/>
        <c:ser>
          <c:idx val="0"/>
          <c:order val="0"/>
          <c:tx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3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C139-49F9-B093-1CB228ABCAF3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139-49F9-B093-1CB228ABCAF3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C139-49F9-B093-1CB228ABCAF3}"/>
              </c:ext>
            </c:extLst>
          </c:dPt>
          <c:dLbls>
            <c:dLbl>
              <c:idx val="0"/>
              <c:layout>
                <c:manualLayout>
                  <c:x val="-0.20550710074600761"/>
                  <c:y val="-0.105609586251454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39-49F9-B093-1CB228ABCAF3}"/>
                </c:ext>
              </c:extLst>
            </c:dLbl>
            <c:dLbl>
              <c:idx val="1"/>
              <c:layout>
                <c:manualLayout>
                  <c:x val="0.24402220851326342"/>
                  <c:y val="6.68023494000961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39-49F9-B093-1CB228ABCA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Calculos!$D$46:$D$47</c:f>
              <c:numCache>
                <c:formatCode>0.00</c:formatCode>
                <c:ptCount val="2"/>
                <c:pt idx="0">
                  <c:v>55.000000000000007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39-49F9-B093-1CB228ABCAF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 FINAL - PLANTA DE COBRE (%Mo)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67E3-4098-BBA7-9946F8D03D06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67E3-4098-BBA7-9946F8D03D06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67E3-4098-BBA7-9946F8D03D06}"/>
              </c:ext>
            </c:extLst>
          </c:dPt>
          <c:dLbls>
            <c:dLbl>
              <c:idx val="0"/>
              <c:layout>
                <c:manualLayout>
                  <c:x val="-0.17989074194402335"/>
                  <c:y val="-0.226954013640915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E3-4098-BBA7-9946F8D03D06}"/>
                </c:ext>
              </c:extLst>
            </c:dLbl>
            <c:dLbl>
              <c:idx val="1"/>
              <c:layout>
                <c:manualLayout>
                  <c:x val="0.13885445452641609"/>
                  <c:y val="0.165239063454577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E3-4098-BBA7-9946F8D03D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Calculos!$E$46:$E$47</c:f>
              <c:numCache>
                <c:formatCode>0.00</c:formatCode>
                <c:ptCount val="2"/>
                <c:pt idx="0">
                  <c:v>60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E3-4098-BBA7-9946F8D03D0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 FINAL - PLANTA DE COBRE (%Cu)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397A-4AE9-B472-48F843FB5DF2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397A-4AE9-B472-48F843FB5DF2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397A-4AE9-B472-48F843FB5DF2}"/>
              </c:ext>
            </c:extLst>
          </c:dPt>
          <c:dLbls>
            <c:dLbl>
              <c:idx val="0"/>
              <c:layout>
                <c:manualLayout>
                  <c:x val="-0.1654464596077419"/>
                  <c:y val="-0.19787290759714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7A-4AE9-B472-48F843FB5DF2}"/>
                </c:ext>
              </c:extLst>
            </c:dLbl>
            <c:dLbl>
              <c:idx val="1"/>
              <c:layout>
                <c:manualLayout>
                  <c:x val="0.14650240585822252"/>
                  <c:y val="0.159586966139992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7A-4AE9-B472-48F843FB5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Calculos!$F$46:$F$47</c:f>
              <c:numCache>
                <c:formatCode>0.00</c:formatCode>
                <c:ptCount val="2"/>
                <c:pt idx="0">
                  <c:v>60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7A-4AE9-B472-48F843FB5DF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</a:t>
            </a:r>
            <a:r>
              <a:rPr lang="es-PE" sz="8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FINAL</a:t>
            </a: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 PLANTA DE COBRE (%Mo)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A3C4-4CCF-9EE9-DBD2B9B24131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A3C4-4CCF-9EE9-DBD2B9B24131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A3C4-4CCF-9EE9-DBD2B9B24131}"/>
              </c:ext>
            </c:extLst>
          </c:dPt>
          <c:dLbls>
            <c:dLbl>
              <c:idx val="0"/>
              <c:layout>
                <c:manualLayout>
                  <c:x val="-0.22849926087729039"/>
                  <c:y val="-6.504969682584149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3C4-4CCF-9EE9-DBD2B9B24131}"/>
                </c:ext>
              </c:extLst>
            </c:dLbl>
            <c:dLbl>
              <c:idx val="1"/>
              <c:layout>
                <c:manualLayout>
                  <c:x val="0.21569249423064418"/>
                  <c:y val="3.52294490780867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C4-4CCF-9EE9-DBD2B9B24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Calculos!$G$46:$G$47</c:f>
              <c:numCache>
                <c:formatCode>0.00</c:formatCode>
                <c:ptCount val="2"/>
                <c:pt idx="0">
                  <c:v>33.333333333333329</c:v>
                </c:pt>
                <c:pt idx="1">
                  <c:v>66.666666666666657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C4-4CCF-9EE9-DBD2B9B2413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(%Cu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'!$C$110:$C$139</c:f>
              <c:numCache>
                <c:formatCode>General</c:formatCode>
                <c:ptCount val="30"/>
                <c:pt idx="0">
                  <c:v>2.9654398433650673E-9</c:v>
                </c:pt>
                <c:pt idx="1">
                  <c:v>5.9123726364084757E-8</c:v>
                </c:pt>
                <c:pt idx="2">
                  <c:v>9.4082820346737254E-7</c:v>
                </c:pt>
                <c:pt idx="3">
                  <c:v>1.1949086557073573E-5</c:v>
                </c:pt>
                <c:pt idx="4">
                  <c:v>1.211253195843018E-4</c:v>
                </c:pt>
                <c:pt idx="5">
                  <c:v>9.7996601428209642E-4</c:v>
                </c:pt>
                <c:pt idx="6">
                  <c:v>6.3279485948571105E-3</c:v>
                </c:pt>
                <c:pt idx="7">
                  <c:v>3.2612997731469959E-2</c:v>
                </c:pt>
                <c:pt idx="8">
                  <c:v>0.13415113383093891</c:v>
                </c:pt>
                <c:pt idx="9">
                  <c:v>0.44042688792245294</c:v>
                </c:pt>
                <c:pt idx="10">
                  <c:v>1.1540620269200896</c:v>
                </c:pt>
                <c:pt idx="11">
                  <c:v>2.4135723816441534</c:v>
                </c:pt>
                <c:pt idx="12">
                  <c:v>4.0287224951109142</c:v>
                </c:pt>
                <c:pt idx="13">
                  <c:v>5.3672302808297294</c:v>
                </c:pt>
                <c:pt idx="14">
                  <c:v>5.7070142147989538</c:v>
                </c:pt>
                <c:pt idx="15">
                  <c:v>4.8433240717618284</c:v>
                </c:pt>
                <c:pt idx="16">
                  <c:v>3.2806050838757854</c:v>
                </c:pt>
                <c:pt idx="17">
                  <c:v>1.7735368955017252</c:v>
                </c:pt>
                <c:pt idx="18">
                  <c:v>0.76524826112345901</c:v>
                </c:pt>
                <c:pt idx="19">
                  <c:v>0.26353622752656825</c:v>
                </c:pt>
                <c:pt idx="20">
                  <c:v>7.2435947920375901E-2</c:v>
                </c:pt>
                <c:pt idx="21">
                  <c:v>1.5890728970278524E-2</c:v>
                </c:pt>
                <c:pt idx="22">
                  <c:v>2.782334511918878E-3</c:v>
                </c:pt>
                <c:pt idx="23">
                  <c:v>3.8882189689178721E-4</c:v>
                </c:pt>
                <c:pt idx="24">
                  <c:v>4.3367854401914134E-5</c:v>
                </c:pt>
                <c:pt idx="25">
                  <c:v>3.8606551240267658E-6</c:v>
                </c:pt>
                <c:pt idx="26">
                  <c:v>2.7430260260818366E-7</c:v>
                </c:pt>
                <c:pt idx="27">
                  <c:v>1.555516774027083E-8</c:v>
                </c:pt>
                <c:pt idx="28">
                  <c:v>7.040367327435973E-10</c:v>
                </c:pt>
                <c:pt idx="29">
                  <c:v>2.5432660186069432E-11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94-460B-A8CF-B16A4E1E0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194-460B-A8CF-B16A4E1E0CDD}"/>
              </c:ext>
            </c:extLst>
          </c:dPt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'!$C$144:$C$173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7</c:v>
                </c:pt>
                <c:pt idx="16">
                  <c:v>5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94-460B-A8CF-B16A4E1E0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(%Cu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'!$D$110:$D$139</c:f>
              <c:numCache>
                <c:formatCode>General</c:formatCode>
                <c:ptCount val="30"/>
                <c:pt idx="0">
                  <c:v>3.2534406377125806E-7</c:v>
                </c:pt>
                <c:pt idx="1">
                  <c:v>3.7030533379077087E-6</c:v>
                </c:pt>
                <c:pt idx="2">
                  <c:v>3.4769236017157124E-5</c:v>
                </c:pt>
                <c:pt idx="3">
                  <c:v>2.6930748767442465E-4</c:v>
                </c:pt>
                <c:pt idx="4">
                  <c:v>1.7207580454401284E-3</c:v>
                </c:pt>
                <c:pt idx="5">
                  <c:v>9.0700418100542086E-3</c:v>
                </c:pt>
                <c:pt idx="6">
                  <c:v>3.9438180395411193E-2</c:v>
                </c:pt>
                <c:pt idx="7">
                  <c:v>0.14146289751235863</c:v>
                </c:pt>
                <c:pt idx="8">
                  <c:v>0.41858757144051734</c:v>
                </c:pt>
                <c:pt idx="9">
                  <c:v>1.0217583821292642</c:v>
                </c:pt>
                <c:pt idx="10">
                  <c:v>2.0574447850621858</c:v>
                </c:pt>
                <c:pt idx="11">
                  <c:v>3.4176396440660723</c:v>
                </c:pt>
                <c:pt idx="12">
                  <c:v>4.6831972326930753</c:v>
                </c:pt>
                <c:pt idx="13">
                  <c:v>5.2939121250140388</c:v>
                </c:pt>
                <c:pt idx="14">
                  <c:v>4.9366132845247526</c:v>
                </c:pt>
                <c:pt idx="15">
                  <c:v>3.7975157785021834</c:v>
                </c:pt>
                <c:pt idx="16">
                  <c:v>2.4098397646017116</c:v>
                </c:pt>
                <c:pt idx="17">
                  <c:v>1.2615220492331671</c:v>
                </c:pt>
                <c:pt idx="18">
                  <c:v>0.54477808011946438</c:v>
                </c:pt>
                <c:pt idx="19">
                  <c:v>0.19407183128945044</c:v>
                </c:pt>
                <c:pt idx="20">
                  <c:v>5.7032641017046755E-2</c:v>
                </c:pt>
                <c:pt idx="21">
                  <c:v>1.3826191313156605E-2</c:v>
                </c:pt>
                <c:pt idx="22">
                  <c:v>2.7650293195495561E-3</c:v>
                </c:pt>
                <c:pt idx="23">
                  <c:v>4.5615770984767056E-4</c:v>
                </c:pt>
                <c:pt idx="24">
                  <c:v>6.2079526861454353E-5</c:v>
                </c:pt>
                <c:pt idx="25">
                  <c:v>6.9694719883736249E-6</c:v>
                </c:pt>
                <c:pt idx="26">
                  <c:v>6.4546018105974164E-7</c:v>
                </c:pt>
                <c:pt idx="27">
                  <c:v>4.9312512873492539E-8</c:v>
                </c:pt>
                <c:pt idx="28">
                  <c:v>3.1078704868783377E-9</c:v>
                </c:pt>
                <c:pt idx="29">
                  <c:v>1.6157969745661272E-10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4-4B11-B842-AE95B5F1C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294-4B11-B842-AE95B5F1C272}"/>
              </c:ext>
            </c:extLst>
          </c:dPt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'!$D$144:$D$173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94-4B11-B842-AE95B5F1C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(%Cu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'Sta_Cu '!$E$110:$E$139</c:f>
              <c:numCache>
                <c:formatCode>General</c:formatCode>
                <c:ptCount val="30"/>
                <c:pt idx="0">
                  <c:v>2.2777729933277948E-6</c:v>
                </c:pt>
                <c:pt idx="1">
                  <c:v>1.3953774527536642E-5</c:v>
                </c:pt>
                <c:pt idx="2">
                  <c:v>7.6013590602140821E-5</c:v>
                </c:pt>
                <c:pt idx="3">
                  <c:v>3.6822144540048799E-4</c:v>
                </c:pt>
                <c:pt idx="4">
                  <c:v>1.5861534273376898E-3</c:v>
                </c:pt>
                <c:pt idx="5">
                  <c:v>6.0757457824930335E-3</c:v>
                </c:pt>
                <c:pt idx="6">
                  <c:v>2.069532632734955E-2</c:v>
                </c:pt>
                <c:pt idx="7">
                  <c:v>6.26849448536375E-2</c:v>
                </c:pt>
                <c:pt idx="8">
                  <c:v>0.16883889534142127</c:v>
                </c:pt>
                <c:pt idx="9">
                  <c:v>0.40438965826052159</c:v>
                </c:pt>
                <c:pt idx="10">
                  <c:v>0.86128297707749291</c:v>
                </c:pt>
                <c:pt idx="11">
                  <c:v>1.6312103611132773</c:v>
                </c:pt>
                <c:pt idx="12">
                  <c:v>2.7472131940533848</c:v>
                </c:pt>
                <c:pt idx="13">
                  <c:v>4.1142723826392036</c:v>
                </c:pt>
                <c:pt idx="14">
                  <c:v>5.479135010561941</c:v>
                </c:pt>
                <c:pt idx="15">
                  <c:v>6.4885737913383981</c:v>
                </c:pt>
                <c:pt idx="16">
                  <c:v>6.8328954976293375</c:v>
                </c:pt>
                <c:pt idx="17">
                  <c:v>6.3985061824919196</c:v>
                </c:pt>
                <c:pt idx="18">
                  <c:v>5.3280794688689488</c:v>
                </c:pt>
                <c:pt idx="19">
                  <c:v>3.9453094996216653</c:v>
                </c:pt>
                <c:pt idx="20">
                  <c:v>2.5978241346354194</c:v>
                </c:pt>
                <c:pt idx="21">
                  <c:v>1.5210962681565114</c:v>
                </c:pt>
                <c:pt idx="22">
                  <c:v>0.79199408678490912</c:v>
                </c:pt>
                <c:pt idx="23">
                  <c:v>0.36669539988504629</c:v>
                </c:pt>
                <c:pt idx="24">
                  <c:v>0.15097577556528372</c:v>
                </c:pt>
                <c:pt idx="25">
                  <c:v>5.5274823088506078E-2</c:v>
                </c:pt>
                <c:pt idx="26">
                  <c:v>1.7995575411384902E-2</c:v>
                </c:pt>
                <c:pt idx="27">
                  <c:v>5.2098161660888284E-3</c:v>
                </c:pt>
                <c:pt idx="28">
                  <c:v>1.3412117354493164E-3</c:v>
                </c:pt>
                <c:pt idx="29">
                  <c:v>3.0703690184591973E-4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C-4E44-A0F4-35DEC414B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98C-4E44-A0F4-35DEC414BBD2}"/>
              </c:ext>
            </c:extLst>
          </c:dPt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'Sta_Cu '!$E$144:$E$173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C-4E44-A0F4-35DEC414B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(%Cu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'!$AO$110:$AO$139</c:f>
              <c:numCache>
                <c:formatCode>General</c:formatCode>
                <c:ptCount val="30"/>
                <c:pt idx="0">
                  <c:v>7.6223498732738041E-8</c:v>
                </c:pt>
                <c:pt idx="1">
                  <c:v>9.3819395597562098E-7</c:v>
                </c:pt>
                <c:pt idx="2">
                  <c:v>9.5694679985819241E-6</c:v>
                </c:pt>
                <c:pt idx="3">
                  <c:v>8.0886188341696986E-5</c:v>
                </c:pt>
                <c:pt idx="4">
                  <c:v>5.6656841318200525E-4</c:v>
                </c:pt>
                <c:pt idx="5">
                  <c:v>3.288681072793545E-3</c:v>
                </c:pt>
                <c:pt idx="6">
                  <c:v>1.58191291414281E-2</c:v>
                </c:pt>
                <c:pt idx="7">
                  <c:v>6.3057216552065171E-2</c:v>
                </c:pt>
                <c:pt idx="8">
                  <c:v>0.208294802601484</c:v>
                </c:pt>
                <c:pt idx="9">
                  <c:v>0.57018197360884371</c:v>
                </c:pt>
                <c:pt idx="10">
                  <c:v>1.2934211092037795</c:v>
                </c:pt>
                <c:pt idx="11">
                  <c:v>2.4314078719601766</c:v>
                </c:pt>
                <c:pt idx="12">
                  <c:v>3.7876261351941092</c:v>
                </c:pt>
                <c:pt idx="13">
                  <c:v>4.8895377444752812</c:v>
                </c:pt>
                <c:pt idx="14">
                  <c:v>5.2307012199425644</c:v>
                </c:pt>
                <c:pt idx="15">
                  <c:v>4.6370677000679867</c:v>
                </c:pt>
                <c:pt idx="16">
                  <c:v>3.4065782691433659</c:v>
                </c:pt>
                <c:pt idx="17">
                  <c:v>2.0738852322990753</c:v>
                </c:pt>
                <c:pt idx="18">
                  <c:v>1.0462668823587387</c:v>
                </c:pt>
                <c:pt idx="19">
                  <c:v>0.43741296419056452</c:v>
                </c:pt>
                <c:pt idx="20">
                  <c:v>0.15154172789545978</c:v>
                </c:pt>
                <c:pt idx="21">
                  <c:v>4.3507510255015258E-2</c:v>
                </c:pt>
                <c:pt idx="22">
                  <c:v>1.0351127067339495E-2</c:v>
                </c:pt>
                <c:pt idx="23">
                  <c:v>2.0408094696753925E-3</c:v>
                </c:pt>
                <c:pt idx="24">
                  <c:v>3.3343308755868925E-4</c:v>
                </c:pt>
                <c:pt idx="25">
                  <c:v>4.514465509693369E-5</c:v>
                </c:pt>
                <c:pt idx="26">
                  <c:v>5.0651859909225853E-6</c:v>
                </c:pt>
                <c:pt idx="27">
                  <c:v>4.7095115568873988E-7</c:v>
                </c:pt>
                <c:pt idx="28">
                  <c:v>3.6286722971478257E-8</c:v>
                </c:pt>
                <c:pt idx="29">
                  <c:v>2.3169200271797974E-9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D-4FA7-9B3A-631F92B8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6D-4FA7-9B3A-631F92B8417B}"/>
              </c:ext>
            </c:extLst>
          </c:dPt>
          <c:cat>
            <c:numRef>
              <c:f>[2]Sta_Cu!$AO$85:$AO$114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'!$AO$144:$AO$173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6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D-4FA7-9B3A-631F92B8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(%Cu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'!$AP$110:$AP$139</c:f>
              <c:numCache>
                <c:formatCode>General</c:formatCode>
                <c:ptCount val="30"/>
                <c:pt idx="0">
                  <c:v>0.37759107368067629</c:v>
                </c:pt>
                <c:pt idx="1">
                  <c:v>0.38825175191219791</c:v>
                </c:pt>
                <c:pt idx="2">
                  <c:v>0.39856739791815665</c:v>
                </c:pt>
                <c:pt idx="3">
                  <c:v>0.4084950146576305</c:v>
                </c:pt>
                <c:pt idx="4">
                  <c:v>0.41799240649826369</c:v>
                </c:pt>
                <c:pt idx="5">
                  <c:v>0.42701847557003347</c:v>
                </c:pt>
                <c:pt idx="6">
                  <c:v>0.435533516267401</c:v>
                </c:pt>
                <c:pt idx="7">
                  <c:v>0.44349950496703944</c:v>
                </c:pt>
                <c:pt idx="8">
                  <c:v>0.45088038201737413</c:v>
                </c:pt>
                <c:pt idx="9">
                  <c:v>0.45764232308343439</c:v>
                </c:pt>
                <c:pt idx="10">
                  <c:v>0.46375399699639641</c:v>
                </c:pt>
                <c:pt idx="11">
                  <c:v>0.46918680736147256</c:v>
                </c:pt>
                <c:pt idx="12">
                  <c:v>0.47391511531959857</c:v>
                </c:pt>
                <c:pt idx="13">
                  <c:v>0.47791644103621644</c:v>
                </c:pt>
                <c:pt idx="14">
                  <c:v>0.48117164170224386</c:v>
                </c:pt>
                <c:pt idx="15">
                  <c:v>0.48366506407539223</c:v>
                </c:pt>
                <c:pt idx="16">
                  <c:v>0.48538466986113277</c:v>
                </c:pt>
                <c:pt idx="17">
                  <c:v>0.48632213252810741</c:v>
                </c:pt>
                <c:pt idx="18">
                  <c:v>0.4864729044685181</c:v>
                </c:pt>
                <c:pt idx="19">
                  <c:v>0.4858362537455192</c:v>
                </c:pt>
                <c:pt idx="20">
                  <c:v>0.48441527001211898</c:v>
                </c:pt>
                <c:pt idx="21">
                  <c:v>0.4822168395346173</c:v>
                </c:pt>
                <c:pt idx="22">
                  <c:v>0.4792515896031001</c:v>
                </c:pt>
                <c:pt idx="23">
                  <c:v>0.47553380295689562</c:v>
                </c:pt>
                <c:pt idx="24">
                  <c:v>0.4710813031891764</c:v>
                </c:pt>
                <c:pt idx="25">
                  <c:v>0.46591531241719769</c:v>
                </c:pt>
                <c:pt idx="26">
                  <c:v>0.46006028280841976</c:v>
                </c:pt>
                <c:pt idx="27">
                  <c:v>0.45354370383368942</c:v>
                </c:pt>
                <c:pt idx="28">
                  <c:v>0.44639588737287028</c:v>
                </c:pt>
                <c:pt idx="29">
                  <c:v>0.43864973302242982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6-4A86-9932-760CA7214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EA6-4A86-9932-760CA7214F49}"/>
              </c:ext>
            </c:extLst>
          </c:dPt>
          <c:cat>
            <c:numRef>
              <c:f>[2]Sta_Cu!$AP$85:$AP$114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'!$AP$144:$AP$173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6</c:v>
                </c:pt>
                <c:pt idx="14">
                  <c:v>3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6-4A86-9932-760CA7214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(%Cu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'Sta_Cu '!$AQ$110:$AQ$139</c:f>
              <c:numCache>
                <c:formatCode>General</c:formatCode>
                <c:ptCount val="30"/>
                <c:pt idx="0">
                  <c:v>0.45857879197181478</c:v>
                </c:pt>
                <c:pt idx="1">
                  <c:v>0.46318525743260835</c:v>
                </c:pt>
                <c:pt idx="2">
                  <c:v>0.46737157397768564</c:v>
                </c:pt>
                <c:pt idx="3">
                  <c:v>0.47112555925674665</c:v>
                </c:pt>
                <c:pt idx="4">
                  <c:v>0.47443622543660752</c:v>
                </c:pt>
                <c:pt idx="5">
                  <c:v>0.47729383277546183</c:v>
                </c:pt>
                <c:pt idx="6">
                  <c:v>0.47968993735801158</c:v>
                </c:pt>
                <c:pt idx="7">
                  <c:v>0.48161743266407864</c:v>
                </c:pt>
                <c:pt idx="8">
                  <c:v>0.48307058468431402</c:v>
                </c:pt>
                <c:pt idx="9">
                  <c:v>0.48404506034016492</c:v>
                </c:pt>
                <c:pt idx="10">
                  <c:v>0.48453794901096381</c:v>
                </c:pt>
                <c:pt idx="11">
                  <c:v>0.48454777701846141</c:v>
                </c:pt>
                <c:pt idx="12">
                  <c:v>0.48407451496792353</c:v>
                </c:pt>
                <c:pt idx="13">
                  <c:v>0.48311957789461057</c:v>
                </c:pt>
                <c:pt idx="14">
                  <c:v>0.48168581821461953</c:v>
                </c:pt>
                <c:pt idx="15">
                  <c:v>0.47977751152923315</c:v>
                </c:pt>
                <c:pt idx="16">
                  <c:v>0.47740033538165211</c:v>
                </c:pt>
                <c:pt idx="17">
                  <c:v>0.47456134111382342</c:v>
                </c:pt>
                <c:pt idx="18">
                  <c:v>0.47126891901860746</c:v>
                </c:pt>
                <c:pt idx="19">
                  <c:v>0.46753275702829927</c:v>
                </c:pt>
                <c:pt idx="20">
                  <c:v>0.46336379322416543</c:v>
                </c:pt>
                <c:pt idx="21">
                  <c:v>0.45877416249277286</c:v>
                </c:pt>
                <c:pt idx="22">
                  <c:v>0.45377713769313016</c:v>
                </c:pt>
                <c:pt idx="23">
                  <c:v>0.4483870657337205</c:v>
                </c:pt>
                <c:pt idx="24">
                  <c:v>0.44261929899007668</c:v>
                </c:pt>
                <c:pt idx="25">
                  <c:v>0.43649012252139718</c:v>
                </c:pt>
                <c:pt idx="26">
                  <c:v>0.4300166775686185</c:v>
                </c:pt>
                <c:pt idx="27">
                  <c:v>0.42321688183615863</c:v>
                </c:pt>
                <c:pt idx="28">
                  <c:v>0.41610934707512831</c:v>
                </c:pt>
                <c:pt idx="29">
                  <c:v>0.40871329449706517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F-40FF-A1D8-11887BCEB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B5F-40FF-A1D8-11887BCEB882}"/>
              </c:ext>
            </c:extLst>
          </c:dPt>
          <c:cat>
            <c:numRef>
              <c:f>[2]Sta_Cu!$AQ$85:$AQ$114</c:f>
              <c:numCache>
                <c:formatCode>General</c:formatCode>
                <c:ptCount val="30"/>
                <c:pt idx="0">
                  <c:v>-0.4</c:v>
                </c:pt>
                <c:pt idx="1">
                  <c:v>-0.374</c:v>
                </c:pt>
                <c:pt idx="2">
                  <c:v>-0.34799999999999998</c:v>
                </c:pt>
                <c:pt idx="3">
                  <c:v>-0.32199999999999995</c:v>
                </c:pt>
                <c:pt idx="4">
                  <c:v>-0.29599999999999993</c:v>
                </c:pt>
                <c:pt idx="5">
                  <c:v>-0.26999999999999991</c:v>
                </c:pt>
                <c:pt idx="6">
                  <c:v>-0.24399999999999991</c:v>
                </c:pt>
                <c:pt idx="7">
                  <c:v>-0.21799999999999992</c:v>
                </c:pt>
                <c:pt idx="8">
                  <c:v>-0.19199999999999992</c:v>
                </c:pt>
                <c:pt idx="9">
                  <c:v>-0.16599999999999993</c:v>
                </c:pt>
                <c:pt idx="10">
                  <c:v>-0.13999999999999993</c:v>
                </c:pt>
                <c:pt idx="11">
                  <c:v>-0.11399999999999993</c:v>
                </c:pt>
                <c:pt idx="12">
                  <c:v>-8.7999999999999939E-2</c:v>
                </c:pt>
                <c:pt idx="13">
                  <c:v>-6.1999999999999944E-2</c:v>
                </c:pt>
                <c:pt idx="14">
                  <c:v>-3.5999999999999949E-2</c:v>
                </c:pt>
                <c:pt idx="15">
                  <c:v>-9.9999999999999499E-3</c:v>
                </c:pt>
                <c:pt idx="16">
                  <c:v>1.6000000000000049E-2</c:v>
                </c:pt>
                <c:pt idx="17">
                  <c:v>4.2000000000000051E-2</c:v>
                </c:pt>
                <c:pt idx="18">
                  <c:v>6.8000000000000047E-2</c:v>
                </c:pt>
                <c:pt idx="19">
                  <c:v>9.4000000000000042E-2</c:v>
                </c:pt>
                <c:pt idx="20">
                  <c:v>0.12000000000000004</c:v>
                </c:pt>
                <c:pt idx="21">
                  <c:v>0.14600000000000005</c:v>
                </c:pt>
                <c:pt idx="22">
                  <c:v>0.17200000000000004</c:v>
                </c:pt>
                <c:pt idx="23">
                  <c:v>0.19800000000000004</c:v>
                </c:pt>
                <c:pt idx="24">
                  <c:v>0.22400000000000003</c:v>
                </c:pt>
                <c:pt idx="25">
                  <c:v>0.25000000000000006</c:v>
                </c:pt>
                <c:pt idx="26">
                  <c:v>0.27600000000000008</c:v>
                </c:pt>
                <c:pt idx="27">
                  <c:v>0.3020000000000001</c:v>
                </c:pt>
                <c:pt idx="28">
                  <c:v>0.32800000000000012</c:v>
                </c:pt>
                <c:pt idx="29">
                  <c:v>0.35400000000000015</c:v>
                </c:pt>
              </c:numCache>
            </c:numRef>
          </c:cat>
          <c:val>
            <c:numRef>
              <c:f>'Sta_Cu '!$AQ$144:$AQ$173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8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5F-40FF-A1D8-11887BCEB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(%Mo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'!$G$110:$G$139</c:f>
              <c:numCache>
                <c:formatCode>General</c:formatCode>
                <c:ptCount val="30"/>
                <c:pt idx="0">
                  <c:v>1.0858060941541032</c:v>
                </c:pt>
                <c:pt idx="1">
                  <c:v>1.5053847721995401</c:v>
                </c:pt>
                <c:pt idx="2">
                  <c:v>2.0482088292429177</c:v>
                </c:pt>
                <c:pt idx="3">
                  <c:v>2.7348431330869736</c:v>
                </c:pt>
                <c:pt idx="4">
                  <c:v>3.5836210531019272</c:v>
                </c:pt>
                <c:pt idx="5">
                  <c:v>4.6083261616305746</c:v>
                </c:pt>
                <c:pt idx="6">
                  <c:v>5.815617182547367</c:v>
                </c:pt>
                <c:pt idx="7">
                  <c:v>7.2024439000428684</c:v>
                </c:pt>
                <c:pt idx="8">
                  <c:v>8.7537759949855172</c:v>
                </c:pt>
                <c:pt idx="9">
                  <c:v>10.441008405553271</c:v>
                </c:pt>
                <c:pt idx="10">
                  <c:v>12.221399290016073</c:v>
                </c:pt>
                <c:pt idx="11">
                  <c:v>14.038829281368017</c:v>
                </c:pt>
                <c:pt idx="12">
                  <c:v>15.826042364118047</c:v>
                </c:pt>
                <c:pt idx="13">
                  <c:v>17.508350275379513</c:v>
                </c:pt>
                <c:pt idx="14">
                  <c:v>19.008576757534968</c:v>
                </c:pt>
                <c:pt idx="15">
                  <c:v>20.252817379098619</c:v>
                </c:pt>
                <c:pt idx="16">
                  <c:v>21.176430832295164</c:v>
                </c:pt>
                <c:pt idx="17">
                  <c:v>21.729591051758337</c:v>
                </c:pt>
                <c:pt idx="18">
                  <c:v>21.881737992432974</c:v>
                </c:pt>
                <c:pt idx="19">
                  <c:v>21.624374083893755</c:v>
                </c:pt>
                <c:pt idx="20">
                  <c:v>20.971850318871628</c:v>
                </c:pt>
                <c:pt idx="21">
                  <c:v>19.960040798776184</c:v>
                </c:pt>
                <c:pt idx="22">
                  <c:v>18.643076064065948</c:v>
                </c:pt>
                <c:pt idx="23">
                  <c:v>17.088549073763634</c:v>
                </c:pt>
                <c:pt idx="24">
                  <c:v>15.371784236302062</c:v>
                </c:pt>
                <c:pt idx="25">
                  <c:v>13.569843578050357</c:v>
                </c:pt>
                <c:pt idx="26">
                  <c:v>11.75592683894387</c:v>
                </c:pt>
                <c:pt idx="27">
                  <c:v>9.9947141871795964</c:v>
                </c:pt>
                <c:pt idx="28">
                  <c:v>8.3390265330588811</c:v>
                </c:pt>
                <c:pt idx="29">
                  <c:v>6.8279731327520512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C-45B1-BB1D-0566F1EDB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F7C-45B1-BB1D-0566F1EDB2D8}"/>
              </c:ext>
            </c:extLst>
          </c:dPt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'!$G$144:$G$173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C-45B1-BB1D-0566F1EDB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(%Mo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'!$H$110:$H$139</c:f>
              <c:numCache>
                <c:formatCode>General</c:formatCode>
                <c:ptCount val="30"/>
                <c:pt idx="0">
                  <c:v>0.85546421877972745</c:v>
                </c:pt>
                <c:pt idx="1">
                  <c:v>1.2556989087040815</c:v>
                </c:pt>
                <c:pt idx="2">
                  <c:v>1.8006572738925701</c:v>
                </c:pt>
                <c:pt idx="3">
                  <c:v>2.5225424180379439</c:v>
                </c:pt>
                <c:pt idx="4">
                  <c:v>3.4522939827962693</c:v>
                </c:pt>
                <c:pt idx="5">
                  <c:v>4.6157145192306634</c:v>
                </c:pt>
                <c:pt idx="6">
                  <c:v>6.0288153689092256</c:v>
                </c:pt>
                <c:pt idx="7">
                  <c:v>7.6928436002089864</c:v>
                </c:pt>
                <c:pt idx="8">
                  <c:v>9.5896707736932285</c:v>
                </c:pt>
                <c:pt idx="9">
                  <c:v>11.67837367136082</c:v>
                </c:pt>
                <c:pt idx="10">
                  <c:v>13.893859798568675</c:v>
                </c:pt>
                <c:pt idx="11">
                  <c:v>16.148245091675669</c:v>
                </c:pt>
                <c:pt idx="12">
                  <c:v>18.335367869001885</c:v>
                </c:pt>
                <c:pt idx="13">
                  <c:v>20.338353826726333</c:v>
                </c:pt>
                <c:pt idx="14">
                  <c:v>22.039606915769451</c:v>
                </c:pt>
                <c:pt idx="15">
                  <c:v>23.332096590828545</c:v>
                </c:pt>
                <c:pt idx="16">
                  <c:v>24.130457842554222</c:v>
                </c:pt>
                <c:pt idx="17">
                  <c:v>24.38031058412589</c:v>
                </c:pt>
                <c:pt idx="18">
                  <c:v>24.064385758907235</c:v>
                </c:pt>
                <c:pt idx="19">
                  <c:v>23.204499368711115</c:v>
                </c:pt>
                <c:pt idx="20">
                  <c:v>21.859060925782593</c:v>
                </c:pt>
                <c:pt idx="21">
                  <c:v>20.116511659525479</c:v>
                </c:pt>
                <c:pt idx="22">
                  <c:v>18.085716601541836</c:v>
                </c:pt>
                <c:pt idx="23">
                  <c:v>15.88475952413229</c:v>
                </c:pt>
                <c:pt idx="24">
                  <c:v>13.62973597300147</c:v>
                </c:pt>
                <c:pt idx="25">
                  <c:v>11.424997580810082</c:v>
                </c:pt>
                <c:pt idx="26">
                  <c:v>9.3559235799091933</c:v>
                </c:pt>
                <c:pt idx="27">
                  <c:v>7.4847808686029245</c:v>
                </c:pt>
                <c:pt idx="28">
                  <c:v>5.8496972465249932</c:v>
                </c:pt>
                <c:pt idx="29">
                  <c:v>4.4663172073419295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8-4026-B86C-A358FA076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148-4026-B86C-A358FA076596}"/>
              </c:ext>
            </c:extLst>
          </c:dPt>
          <c:cat>
            <c:numRef>
              <c:f>[2]Sta_Cu!$H$85:$H$114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'!$H$144:$H$173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8-4026-B86C-A358FA076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(%Mo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'Sta_Cu '!$I$110:$I$139</c:f>
              <c:numCache>
                <c:formatCode>General</c:formatCode>
                <c:ptCount val="30"/>
                <c:pt idx="0">
                  <c:v>1.914221361799367E-5</c:v>
                </c:pt>
                <c:pt idx="1">
                  <c:v>1.0480112593200122E-4</c:v>
                </c:pt>
                <c:pt idx="2">
                  <c:v>5.1726378753035615E-4</c:v>
                </c:pt>
                <c:pt idx="3">
                  <c:v>2.3016036593435265E-3</c:v>
                </c:pt>
                <c:pt idx="4">
                  <c:v>9.2325430237431231E-3</c:v>
                </c:pt>
                <c:pt idx="5">
                  <c:v>3.3387544341830021E-2</c:v>
                </c:pt>
                <c:pt idx="6">
                  <c:v>0.10884787437462677</c:v>
                </c:pt>
                <c:pt idx="7">
                  <c:v>0.31990996171726882</c:v>
                </c:pt>
                <c:pt idx="8">
                  <c:v>0.84763310912674295</c:v>
                </c:pt>
                <c:pt idx="9">
                  <c:v>2.0246986694863871</c:v>
                </c:pt>
                <c:pt idx="10">
                  <c:v>4.3599872537273328</c:v>
                </c:pt>
                <c:pt idx="11">
                  <c:v>8.4641310453782381</c:v>
                </c:pt>
                <c:pt idx="12">
                  <c:v>14.813301921857416</c:v>
                </c:pt>
                <c:pt idx="13">
                  <c:v>23.371883211140233</c:v>
                </c:pt>
                <c:pt idx="14">
                  <c:v>33.243586922918446</c:v>
                </c:pt>
                <c:pt idx="15">
                  <c:v>42.627943734767747</c:v>
                </c:pt>
                <c:pt idx="16">
                  <c:v>49.278017497231509</c:v>
                </c:pt>
                <c:pt idx="17">
                  <c:v>51.355197985235975</c:v>
                </c:pt>
                <c:pt idx="18">
                  <c:v>48.248956508614633</c:v>
                </c:pt>
                <c:pt idx="19">
                  <c:v>40.866155144612748</c:v>
                </c:pt>
                <c:pt idx="20">
                  <c:v>31.204122240682736</c:v>
                </c:pt>
                <c:pt idx="21">
                  <c:v>21.4799120395346</c:v>
                </c:pt>
                <c:pt idx="22">
                  <c:v>13.329853105109871</c:v>
                </c:pt>
                <c:pt idx="23">
                  <c:v>7.4574536938330658</c:v>
                </c:pt>
                <c:pt idx="24">
                  <c:v>3.7612145204420226</c:v>
                </c:pt>
                <c:pt idx="25">
                  <c:v>1.7101648649591858</c:v>
                </c:pt>
                <c:pt idx="26">
                  <c:v>0.70100350946892642</c:v>
                </c:pt>
                <c:pt idx="27">
                  <c:v>0.25904471817851321</c:v>
                </c:pt>
                <c:pt idx="28">
                  <c:v>8.6298178260157746E-2</c:v>
                </c:pt>
                <c:pt idx="29">
                  <c:v>2.5917962140666082E-2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F-4611-B1B5-99834955E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1F-4611-B1B5-99834955E62D}"/>
              </c:ext>
            </c:extLst>
          </c:dPt>
          <c:cat>
            <c:numRef>
              <c:f>[2]Sta_Cu!$I$85:$I$114</c:f>
              <c:numCache>
                <c:formatCode>General</c:formatCode>
                <c:ptCount val="30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'Sta_Cu '!$I$144:$I$173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8</c:v>
                </c:pt>
                <c:pt idx="19">
                  <c:v>2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F-4611-B1B5-99834955E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(%Mo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'!$AS$110:$AS$139</c:f>
              <c:numCache>
                <c:formatCode>General</c:formatCode>
                <c:ptCount val="30"/>
                <c:pt idx="0">
                  <c:v>0.61346523140529297</c:v>
                </c:pt>
                <c:pt idx="1">
                  <c:v>0.93117685491144986</c:v>
                </c:pt>
                <c:pt idx="2">
                  <c:v>1.3787196609042907</c:v>
                </c:pt>
                <c:pt idx="3">
                  <c:v>1.9912296112532135</c:v>
                </c:pt>
                <c:pt idx="4">
                  <c:v>2.8052288215178551</c:v>
                </c:pt>
                <c:pt idx="5">
                  <c:v>3.8549328708600568</c:v>
                </c:pt>
                <c:pt idx="6">
                  <c:v>5.1673386453823378</c:v>
                </c:pt>
                <c:pt idx="7">
                  <c:v>6.7564506035756304</c:v>
                </c:pt>
                <c:pt idx="8">
                  <c:v>8.6173129411117344</c:v>
                </c:pt>
                <c:pt idx="9">
                  <c:v>10.720787819493113</c:v>
                </c:pt>
                <c:pt idx="10">
                  <c:v>13.010174267049988</c:v>
                </c:pt>
                <c:pt idx="11">
                  <c:v>15.400722801439334</c:v>
                </c:pt>
                <c:pt idx="12">
                  <c:v>17.7828215906159</c:v>
                </c:pt>
                <c:pt idx="13">
                  <c:v>20.029117569195378</c:v>
                </c:pt>
                <c:pt idx="14">
                  <c:v>22.005160341620954</c:v>
                </c:pt>
                <c:pt idx="15">
                  <c:v>23.582445320400424</c:v>
                </c:pt>
                <c:pt idx="16">
                  <c:v>24.65214491240841</c:v>
                </c:pt>
                <c:pt idx="17">
                  <c:v>25.137504708006155</c:v>
                </c:pt>
                <c:pt idx="18">
                  <c:v>25.002946697903148</c:v>
                </c:pt>
                <c:pt idx="19">
                  <c:v>24.258380413718694</c:v>
                </c:pt>
                <c:pt idx="20">
                  <c:v>22.957996567597551</c:v>
                </c:pt>
                <c:pt idx="21">
                  <c:v>21.193747119578255</c:v>
                </c:pt>
                <c:pt idx="22">
                  <c:v>19.084601091387167</c:v>
                </c:pt>
                <c:pt idx="23">
                  <c:v>16.763318725094759</c:v>
                </c:pt>
                <c:pt idx="24">
                  <c:v>14.362779570877338</c:v>
                </c:pt>
                <c:pt idx="25">
                  <c:v>12.003794870843324</c:v>
                </c:pt>
                <c:pt idx="26">
                  <c:v>9.7858873573497469</c:v>
                </c:pt>
                <c:pt idx="27">
                  <c:v>7.7818604177724717</c:v>
                </c:pt>
                <c:pt idx="28">
                  <c:v>6.0362641716558514</c:v>
                </c:pt>
                <c:pt idx="29">
                  <c:v>4.5672482338519593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E-4C69-95BC-4EFFC3F15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BCE-4C69-95BC-4EFFC3F15E3B}"/>
              </c:ext>
            </c:extLst>
          </c:dPt>
          <c:cat>
            <c:numRef>
              <c:f>[2]Sta_Cu!$AS$85:$AS$114</c:f>
              <c:numCache>
                <c:formatCode>General</c:formatCode>
                <c:ptCount val="30"/>
                <c:pt idx="0">
                  <c:v>1E-4</c:v>
                </c:pt>
                <c:pt idx="1">
                  <c:v>2.5999999999999999E-3</c:v>
                </c:pt>
                <c:pt idx="2">
                  <c:v>5.1000000000000004E-3</c:v>
                </c:pt>
                <c:pt idx="3">
                  <c:v>7.6000000000000009E-3</c:v>
                </c:pt>
                <c:pt idx="4">
                  <c:v>1.0100000000000001E-2</c:v>
                </c:pt>
                <c:pt idx="5">
                  <c:v>1.2600000000000002E-2</c:v>
                </c:pt>
                <c:pt idx="6">
                  <c:v>1.5100000000000002E-2</c:v>
                </c:pt>
                <c:pt idx="7">
                  <c:v>1.7600000000000001E-2</c:v>
                </c:pt>
                <c:pt idx="8">
                  <c:v>2.01E-2</c:v>
                </c:pt>
                <c:pt idx="9">
                  <c:v>2.2599999999999999E-2</c:v>
                </c:pt>
                <c:pt idx="10">
                  <c:v>2.5099999999999997E-2</c:v>
                </c:pt>
                <c:pt idx="11">
                  <c:v>2.7599999999999996E-2</c:v>
                </c:pt>
                <c:pt idx="12">
                  <c:v>3.0099999999999995E-2</c:v>
                </c:pt>
                <c:pt idx="13">
                  <c:v>3.2599999999999997E-2</c:v>
                </c:pt>
                <c:pt idx="14">
                  <c:v>3.5099999999999999E-2</c:v>
                </c:pt>
                <c:pt idx="15">
                  <c:v>3.7600000000000001E-2</c:v>
                </c:pt>
                <c:pt idx="16">
                  <c:v>4.0100000000000004E-2</c:v>
                </c:pt>
                <c:pt idx="17">
                  <c:v>4.2600000000000006E-2</c:v>
                </c:pt>
                <c:pt idx="18">
                  <c:v>4.5100000000000008E-2</c:v>
                </c:pt>
                <c:pt idx="19">
                  <c:v>4.760000000000001E-2</c:v>
                </c:pt>
                <c:pt idx="20">
                  <c:v>5.0100000000000013E-2</c:v>
                </c:pt>
                <c:pt idx="21">
                  <c:v>5.2600000000000015E-2</c:v>
                </c:pt>
                <c:pt idx="22">
                  <c:v>5.5100000000000017E-2</c:v>
                </c:pt>
                <c:pt idx="23">
                  <c:v>5.7600000000000019E-2</c:v>
                </c:pt>
                <c:pt idx="24">
                  <c:v>6.0100000000000021E-2</c:v>
                </c:pt>
                <c:pt idx="25">
                  <c:v>6.2600000000000017E-2</c:v>
                </c:pt>
                <c:pt idx="26">
                  <c:v>6.5100000000000019E-2</c:v>
                </c:pt>
                <c:pt idx="27">
                  <c:v>6.7600000000000021E-2</c:v>
                </c:pt>
                <c:pt idx="28">
                  <c:v>7.0100000000000023E-2</c:v>
                </c:pt>
                <c:pt idx="29">
                  <c:v>7.2600000000000026E-2</c:v>
                </c:pt>
              </c:numCache>
            </c:numRef>
          </c:cat>
          <c:val>
            <c:numRef>
              <c:f>'Sta_Cu '!$AS$144:$AS$173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E-4C69-95BC-4EFFC3F15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(%Mo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'!$AT$110:$AT$139</c:f>
              <c:numCache>
                <c:formatCode>General</c:formatCode>
                <c:ptCount val="30"/>
                <c:pt idx="0">
                  <c:v>1.4004993254279463</c:v>
                </c:pt>
                <c:pt idx="1">
                  <c:v>1.8980106675607959</c:v>
                </c:pt>
                <c:pt idx="2">
                  <c:v>2.5264602078752638</c:v>
                </c:pt>
                <c:pt idx="3">
                  <c:v>3.3031199441392247</c:v>
                </c:pt>
                <c:pt idx="4">
                  <c:v>4.2416447711890388</c:v>
                </c:pt>
                <c:pt idx="5">
                  <c:v>5.3498587177239401</c:v>
                </c:pt>
                <c:pt idx="6">
                  <c:v>6.6274796069928597</c:v>
                </c:pt>
                <c:pt idx="7">
                  <c:v>8.0640378113710849</c:v>
                </c:pt>
                <c:pt idx="8">
                  <c:v>9.6372867052969973</c:v>
                </c:pt>
                <c:pt idx="9">
                  <c:v>11.312408291434275</c:v>
                </c:pt>
                <c:pt idx="10">
                  <c:v>13.042277367655393</c:v>
                </c:pt>
                <c:pt idx="11">
                  <c:v>14.768958189087243</c:v>
                </c:pt>
                <c:pt idx="12">
                  <c:v>16.426474293809047</c:v>
                </c:pt>
                <c:pt idx="13">
                  <c:v>17.944729831064045</c:v>
                </c:pt>
                <c:pt idx="14">
                  <c:v>19.254292200000805</c:v>
                </c:pt>
                <c:pt idx="15">
                  <c:v>20.291598514638633</c:v>
                </c:pt>
                <c:pt idx="16">
                  <c:v>21.004049437620385</c:v>
                </c:pt>
                <c:pt idx="17">
                  <c:v>21.354424473053882</c:v>
                </c:pt>
                <c:pt idx="18">
                  <c:v>21.324103359488685</c:v>
                </c:pt>
                <c:pt idx="19">
                  <c:v>20.914705567192787</c:v>
                </c:pt>
                <c:pt idx="20">
                  <c:v>20.147946992092891</c:v>
                </c:pt>
                <c:pt idx="21">
                  <c:v>19.063731494903831</c:v>
                </c:pt>
                <c:pt idx="22">
                  <c:v>17.716710712147407</c:v>
                </c:pt>
                <c:pt idx="23">
                  <c:v>16.171724851304134</c:v>
                </c:pt>
                <c:pt idx="24">
                  <c:v>14.498653192665591</c:v>
                </c:pt>
                <c:pt idx="25">
                  <c:v>12.76724075863264</c:v>
                </c:pt>
                <c:pt idx="26">
                  <c:v>11.042426140788647</c:v>
                </c:pt>
                <c:pt idx="27">
                  <c:v>9.3805872316590726</c:v>
                </c:pt>
                <c:pt idx="28">
                  <c:v>7.8269690783891939</c:v>
                </c:pt>
                <c:pt idx="29">
                  <c:v>6.4143887641166071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83-42F2-8564-332BA2A00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483-42F2-8564-332BA2A0014F}"/>
              </c:ext>
            </c:extLst>
          </c:dPt>
          <c:cat>
            <c:numRef>
              <c:f>[2]Sta_Cu!$AT$85:$AT$114</c:f>
              <c:numCache>
                <c:formatCode>General</c:formatCode>
                <c:ptCount val="30"/>
                <c:pt idx="0">
                  <c:v>1E-4</c:v>
                </c:pt>
                <c:pt idx="1">
                  <c:v>2.5999999999999999E-3</c:v>
                </c:pt>
                <c:pt idx="2">
                  <c:v>5.1000000000000004E-3</c:v>
                </c:pt>
                <c:pt idx="3">
                  <c:v>7.6000000000000009E-3</c:v>
                </c:pt>
                <c:pt idx="4">
                  <c:v>1.0100000000000001E-2</c:v>
                </c:pt>
                <c:pt idx="5">
                  <c:v>1.2600000000000002E-2</c:v>
                </c:pt>
                <c:pt idx="6">
                  <c:v>1.5100000000000002E-2</c:v>
                </c:pt>
                <c:pt idx="7">
                  <c:v>1.7600000000000001E-2</c:v>
                </c:pt>
                <c:pt idx="8">
                  <c:v>2.01E-2</c:v>
                </c:pt>
                <c:pt idx="9">
                  <c:v>2.2599999999999999E-2</c:v>
                </c:pt>
                <c:pt idx="10">
                  <c:v>2.5099999999999997E-2</c:v>
                </c:pt>
                <c:pt idx="11">
                  <c:v>2.7599999999999996E-2</c:v>
                </c:pt>
                <c:pt idx="12">
                  <c:v>3.0099999999999995E-2</c:v>
                </c:pt>
                <c:pt idx="13">
                  <c:v>3.2599999999999997E-2</c:v>
                </c:pt>
                <c:pt idx="14">
                  <c:v>3.5099999999999999E-2</c:v>
                </c:pt>
                <c:pt idx="15">
                  <c:v>3.7600000000000001E-2</c:v>
                </c:pt>
                <c:pt idx="16">
                  <c:v>4.0100000000000004E-2</c:v>
                </c:pt>
                <c:pt idx="17">
                  <c:v>4.2600000000000006E-2</c:v>
                </c:pt>
                <c:pt idx="18">
                  <c:v>4.5100000000000008E-2</c:v>
                </c:pt>
                <c:pt idx="19">
                  <c:v>4.760000000000001E-2</c:v>
                </c:pt>
                <c:pt idx="20">
                  <c:v>5.0100000000000013E-2</c:v>
                </c:pt>
                <c:pt idx="21">
                  <c:v>5.2600000000000015E-2</c:v>
                </c:pt>
                <c:pt idx="22">
                  <c:v>5.5100000000000017E-2</c:v>
                </c:pt>
                <c:pt idx="23">
                  <c:v>5.7600000000000019E-2</c:v>
                </c:pt>
                <c:pt idx="24">
                  <c:v>6.0100000000000021E-2</c:v>
                </c:pt>
                <c:pt idx="25">
                  <c:v>6.2600000000000017E-2</c:v>
                </c:pt>
                <c:pt idx="26">
                  <c:v>6.5100000000000019E-2</c:v>
                </c:pt>
                <c:pt idx="27">
                  <c:v>6.7600000000000021E-2</c:v>
                </c:pt>
                <c:pt idx="28">
                  <c:v>7.0100000000000023E-2</c:v>
                </c:pt>
                <c:pt idx="29">
                  <c:v>7.2600000000000026E-2</c:v>
                </c:pt>
              </c:numCache>
            </c:numRef>
          </c:cat>
          <c:val>
            <c:numRef>
              <c:f>'Sta_Cu '!$AT$144:$AT$173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3-42F2-8564-332BA2A00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(%Mo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'Sta_Cu '!$AU$110:$AU$139</c:f>
              <c:numCache>
                <c:formatCode>General</c:formatCode>
                <c:ptCount val="30"/>
                <c:pt idx="0">
                  <c:v>0.51201972096123671</c:v>
                </c:pt>
                <c:pt idx="1">
                  <c:v>0.83650993573614774</c:v>
                </c:pt>
                <c:pt idx="2">
                  <c:v>1.3236685357683646</c:v>
                </c:pt>
                <c:pt idx="3">
                  <c:v>2.028668633005851</c:v>
                </c:pt>
                <c:pt idx="4">
                  <c:v>3.0113879599427014</c:v>
                </c:pt>
                <c:pt idx="5">
                  <c:v>4.3295826232679229</c:v>
                </c:pt>
                <c:pt idx="6">
                  <c:v>6.0290527111604479</c:v>
                </c:pt>
                <c:pt idx="7">
                  <c:v>8.131597180361279</c:v>
                </c:pt>
                <c:pt idx="8">
                  <c:v>10.622490689739291</c:v>
                </c:pt>
                <c:pt idx="9">
                  <c:v>13.440040840046569</c:v>
                </c:pt>
                <c:pt idx="10">
                  <c:v>16.470187544236332</c:v>
                </c:pt>
                <c:pt idx="11">
                  <c:v>19.548805574367091</c:v>
                </c:pt>
                <c:pt idx="12">
                  <c:v>22.473237261908576</c:v>
                </c:pt>
                <c:pt idx="13">
                  <c:v>25.022734807833235</c:v>
                </c:pt>
                <c:pt idx="14">
                  <c:v>26.985323975639844</c:v>
                </c:pt>
                <c:pt idx="15">
                  <c:v>28.186699555483468</c:v>
                </c:pt>
                <c:pt idx="16">
                  <c:v>28.515733220547745</c:v>
                </c:pt>
                <c:pt idx="17">
                  <c:v>27.941427271338949</c:v>
                </c:pt>
                <c:pt idx="18">
                  <c:v>26.517730752808543</c:v>
                </c:pt>
                <c:pt idx="19">
                  <c:v>24.375181248324012</c:v>
                </c:pt>
                <c:pt idx="20">
                  <c:v>21.701166420988894</c:v>
                </c:pt>
                <c:pt idx="21">
                  <c:v>18.712940125590464</c:v>
                </c:pt>
                <c:pt idx="22">
                  <c:v>15.628766594910072</c:v>
                </c:pt>
                <c:pt idx="23">
                  <c:v>12.642446061679303</c:v>
                </c:pt>
                <c:pt idx="24">
                  <c:v>9.9051541862940038</c:v>
                </c:pt>
                <c:pt idx="25">
                  <c:v>7.5164902404205796</c:v>
                </c:pt>
                <c:pt idx="26">
                  <c:v>5.5244962396626622</c:v>
                </c:pt>
                <c:pt idx="27">
                  <c:v>3.932728753545641</c:v>
                </c:pt>
                <c:pt idx="28">
                  <c:v>2.7115588305373004</c:v>
                </c:pt>
                <c:pt idx="29">
                  <c:v>1.8107887853040239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4-4555-9036-448CD29CA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834-4555-9036-448CD29CAAB7}"/>
              </c:ext>
            </c:extLst>
          </c:dPt>
          <c:cat>
            <c:numRef>
              <c:f>[2]Sta_Cu!$AU$85:$AU$114</c:f>
              <c:numCache>
                <c:formatCode>General</c:formatCode>
                <c:ptCount val="30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'Sta_Cu '!$AU$144:$AU$173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7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34-4555-9036-448CD29CA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(%Fe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'!$K$110:$K$139</c:f>
              <c:numCache>
                <c:formatCode>General</c:formatCode>
                <c:ptCount val="30"/>
                <c:pt idx="0">
                  <c:v>3.3281148969028132E-2</c:v>
                </c:pt>
                <c:pt idx="1">
                  <c:v>4.8687597174301003E-2</c:v>
                </c:pt>
                <c:pt idx="2">
                  <c:v>6.938959642071249E-2</c:v>
                </c:pt>
                <c:pt idx="3">
                  <c:v>9.6344376471389478E-2</c:v>
                </c:pt>
                <c:pt idx="4">
                  <c:v>0.13032098931633002</c:v>
                </c:pt>
                <c:pt idx="5">
                  <c:v>0.17173481835339086</c:v>
                </c:pt>
                <c:pt idx="6">
                  <c:v>0.22047448202227168</c:v>
                </c:pt>
                <c:pt idx="7">
                  <c:v>0.27574922205060987</c:v>
                </c:pt>
                <c:pt idx="8">
                  <c:v>0.33598992113134052</c:v>
                </c:pt>
                <c:pt idx="9">
                  <c:v>0.39883585381228781</c:v>
                </c:pt>
                <c:pt idx="10">
                  <c:v>0.46123061305106849</c:v>
                </c:pt>
                <c:pt idx="11">
                  <c:v>0.5196345819083964</c:v>
                </c:pt>
                <c:pt idx="12">
                  <c:v>0.57034016367023099</c:v>
                </c:pt>
                <c:pt idx="13">
                  <c:v>0.6098539695882832</c:v>
                </c:pt>
                <c:pt idx="14">
                  <c:v>0.63529252177433615</c:v>
                </c:pt>
                <c:pt idx="15">
                  <c:v>0.64472961613603363</c:v>
                </c:pt>
                <c:pt idx="16">
                  <c:v>0.63743732001328091</c:v>
                </c:pt>
                <c:pt idx="17">
                  <c:v>0.61397875196621787</c:v>
                </c:pt>
                <c:pt idx="18">
                  <c:v>0.57613622937038766</c:v>
                </c:pt>
                <c:pt idx="19">
                  <c:v>0.52668750968821543</c:v>
                </c:pt>
                <c:pt idx="20">
                  <c:v>0.4690691182452143</c:v>
                </c:pt>
                <c:pt idx="21">
                  <c:v>0.40698335996871954</c:v>
                </c:pt>
                <c:pt idx="22">
                  <c:v>0.34401109791000067</c:v>
                </c:pt>
                <c:pt idx="23">
                  <c:v>0.28328543281635532</c:v>
                </c:pt>
                <c:pt idx="24">
                  <c:v>0.22726471944118187</c:v>
                </c:pt>
                <c:pt idx="25">
                  <c:v>0.17762160439486199</c:v>
                </c:pt>
                <c:pt idx="26">
                  <c:v>0.13524323331364205</c:v>
                </c:pt>
                <c:pt idx="27">
                  <c:v>0.10032087018736914</c:v>
                </c:pt>
                <c:pt idx="28">
                  <c:v>7.2497499082435135E-2</c:v>
                </c:pt>
                <c:pt idx="29">
                  <c:v>5.104000975619883E-2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E-42E1-85F2-C287FD383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D4E-42E1-85F2-C287FD383E93}"/>
              </c:ext>
            </c:extLst>
          </c:dPt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'!$K$144:$K$173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6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E-42E1-85F2-C287FD383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(%Fe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'!$L$110:$L$139</c:f>
              <c:numCache>
                <c:formatCode>General</c:formatCode>
                <c:ptCount val="30"/>
                <c:pt idx="0">
                  <c:v>4.2088744911295738E-2</c:v>
                </c:pt>
                <c:pt idx="1">
                  <c:v>6.3493555158101345E-2</c:v>
                </c:pt>
                <c:pt idx="2">
                  <c:v>9.2748103219689626E-2</c:v>
                </c:pt>
                <c:pt idx="3">
                  <c:v>0.13118740771193407</c:v>
                </c:pt>
                <c:pt idx="4">
                  <c:v>0.17967637877102235</c:v>
                </c:pt>
                <c:pt idx="5">
                  <c:v>0.23828765530142965</c:v>
                </c:pt>
                <c:pt idx="6">
                  <c:v>0.30600168907166553</c:v>
                </c:pt>
                <c:pt idx="7">
                  <c:v>0.38050277245347824</c:v>
                </c:pt>
                <c:pt idx="8">
                  <c:v>0.45814563095817812</c:v>
                </c:pt>
                <c:pt idx="9">
                  <c:v>0.53414724797123703</c:v>
                </c:pt>
                <c:pt idx="10">
                  <c:v>0.60301784318092999</c:v>
                </c:pt>
                <c:pt idx="11">
                  <c:v>0.65919067157641364</c:v>
                </c:pt>
                <c:pt idx="12">
                  <c:v>0.69775613672866132</c:v>
                </c:pt>
                <c:pt idx="13">
                  <c:v>0.71516787623920142</c:v>
                </c:pt>
                <c:pt idx="14">
                  <c:v>0.70978048515447445</c:v>
                </c:pt>
                <c:pt idx="15">
                  <c:v>0.68210594158398474</c:v>
                </c:pt>
                <c:pt idx="16">
                  <c:v>0.6347333718965108</c:v>
                </c:pt>
                <c:pt idx="17">
                  <c:v>0.57192957442818848</c:v>
                </c:pt>
                <c:pt idx="18">
                  <c:v>0.4990056907735303</c:v>
                </c:pt>
                <c:pt idx="19">
                  <c:v>0.42158016010829047</c:v>
                </c:pt>
                <c:pt idx="20">
                  <c:v>0.34487884267590802</c:v>
                </c:pt>
                <c:pt idx="21">
                  <c:v>0.27318991467933756</c:v>
                </c:pt>
                <c:pt idx="22">
                  <c:v>0.20954364518895113</c:v>
                </c:pt>
                <c:pt idx="23">
                  <c:v>0.15563097872487069</c:v>
                </c:pt>
                <c:pt idx="24">
                  <c:v>0.11192557256172833</c:v>
                </c:pt>
                <c:pt idx="25">
                  <c:v>7.7942498417204298E-2</c:v>
                </c:pt>
                <c:pt idx="26">
                  <c:v>5.2557057555688652E-2</c:v>
                </c:pt>
                <c:pt idx="27">
                  <c:v>3.4316223293083134E-2</c:v>
                </c:pt>
                <c:pt idx="28">
                  <c:v>2.1695998853661625E-2</c:v>
                </c:pt>
                <c:pt idx="29">
                  <c:v>1.328224648575598E-2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53-495C-89CD-34477394C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153-495C-89CD-34477394CCA7}"/>
              </c:ext>
            </c:extLst>
          </c:dPt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'!$L$144:$L$173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53-495C-89CD-34477394C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(%Fe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'Sta_Cu '!$M$110:$M$139</c:f>
              <c:numCache>
                <c:formatCode>General</c:formatCode>
                <c:ptCount val="30"/>
                <c:pt idx="0">
                  <c:v>3.4088875695404796E-5</c:v>
                </c:pt>
                <c:pt idx="1">
                  <c:v>1.509641035581974E-4</c:v>
                </c:pt>
                <c:pt idx="2">
                  <c:v>5.995311359675992E-4</c:v>
                </c:pt>
                <c:pt idx="3">
                  <c:v>2.1351423178163609E-3</c:v>
                </c:pt>
                <c:pt idx="4">
                  <c:v>6.8189726608871744E-3</c:v>
                </c:pt>
                <c:pt idx="5">
                  <c:v>1.9529364251429052E-2</c:v>
                </c:pt>
                <c:pt idx="6">
                  <c:v>5.0157317041124361E-2</c:v>
                </c:pt>
                <c:pt idx="7">
                  <c:v>0.11552009171363441</c:v>
                </c:pt>
                <c:pt idx="8">
                  <c:v>0.2385930494070459</c:v>
                </c:pt>
                <c:pt idx="9">
                  <c:v>0.44191127878761227</c:v>
                </c:pt>
                <c:pt idx="10">
                  <c:v>0.73398877762544557</c:v>
                </c:pt>
                <c:pt idx="11">
                  <c:v>1.0932532798386974</c:v>
                </c:pt>
                <c:pt idx="12">
                  <c:v>1.4602566527916279</c:v>
                </c:pt>
                <c:pt idx="13">
                  <c:v>1.7490999748943505</c:v>
                </c:pt>
                <c:pt idx="14">
                  <c:v>1.8787851075365269</c:v>
                </c:pt>
                <c:pt idx="15">
                  <c:v>1.8097418101775982</c:v>
                </c:pt>
                <c:pt idx="16">
                  <c:v>1.5632670220380422</c:v>
                </c:pt>
                <c:pt idx="17">
                  <c:v>1.2109514961350689</c:v>
                </c:pt>
                <c:pt idx="18">
                  <c:v>0.84119632244067233</c:v>
                </c:pt>
                <c:pt idx="19">
                  <c:v>0.52401656754723758</c:v>
                </c:pt>
                <c:pt idx="20">
                  <c:v>0.29273166719790311</c:v>
                </c:pt>
                <c:pt idx="21">
                  <c:v>0.14664640801989881</c:v>
                </c:pt>
                <c:pt idx="22">
                  <c:v>6.5879483982824158E-2</c:v>
                </c:pt>
                <c:pt idx="23">
                  <c:v>2.6540309510656862E-2</c:v>
                </c:pt>
                <c:pt idx="24">
                  <c:v>9.5882381674340118E-3</c:v>
                </c:pt>
                <c:pt idx="25">
                  <c:v>3.1063377787587244E-3</c:v>
                </c:pt>
                <c:pt idx="26">
                  <c:v>9.0247582961150506E-4</c:v>
                </c:pt>
                <c:pt idx="27">
                  <c:v>2.3512538277041094E-4</c:v>
                </c:pt>
                <c:pt idx="28">
                  <c:v>5.4933906912995417E-5</c:v>
                </c:pt>
                <c:pt idx="29">
                  <c:v>1.1509553987145301E-5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B-49C6-A971-45B7EADB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09B-49C6-A971-45B7EADB75AC}"/>
              </c:ext>
            </c:extLst>
          </c:dPt>
          <c:cat>
            <c:numRef>
              <c:f>[2]Sta_Cu!$M$85:$M$114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'Sta_Cu '!$M$144:$M$173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9B-49C6-A971-45B7EADB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(%Fe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'!$AW$110:$AW$139</c:f>
              <c:numCache>
                <c:formatCode>General</c:formatCode>
                <c:ptCount val="30"/>
                <c:pt idx="0">
                  <c:v>3.9969992547865804E-2</c:v>
                </c:pt>
                <c:pt idx="1">
                  <c:v>5.6600808425086274E-2</c:v>
                </c:pt>
                <c:pt idx="2">
                  <c:v>7.8275278572443457E-2</c:v>
                </c:pt>
                <c:pt idx="3">
                  <c:v>0.10571583155710121</c:v>
                </c:pt>
                <c:pt idx="4">
                  <c:v>0.13943405556851432</c:v>
                </c:pt>
                <c:pt idx="5">
                  <c:v>0.17960197548108855</c:v>
                </c:pt>
                <c:pt idx="6">
                  <c:v>0.22592629474746084</c:v>
                </c:pt>
                <c:pt idx="7">
                  <c:v>0.27754657419816359</c:v>
                </c:pt>
                <c:pt idx="8">
                  <c:v>0.33298017956006454</c:v>
                </c:pt>
                <c:pt idx="9">
                  <c:v>0.39013446298766069</c:v>
                </c:pt>
                <c:pt idx="10">
                  <c:v>0.44639946907877753</c:v>
                </c:pt>
                <c:pt idx="11">
                  <c:v>0.49882296975160134</c:v>
                </c:pt>
                <c:pt idx="12">
                  <c:v>0.54435552920465724</c:v>
                </c:pt>
                <c:pt idx="13">
                  <c:v>0.58013925675731237</c:v>
                </c:pt>
                <c:pt idx="14">
                  <c:v>0.60380303354368514</c:v>
                </c:pt>
                <c:pt idx="15">
                  <c:v>0.61372207925416289</c:v>
                </c:pt>
                <c:pt idx="16">
                  <c:v>0.60920242802502611</c:v>
                </c:pt>
                <c:pt idx="17">
                  <c:v>0.59056121881149981</c:v>
                </c:pt>
                <c:pt idx="18">
                  <c:v>0.55908989574135659</c:v>
                </c:pt>
                <c:pt idx="19">
                  <c:v>0.51690625019336844</c:v>
                </c:pt>
                <c:pt idx="20">
                  <c:v>0.46671885276489689</c:v>
                </c:pt>
                <c:pt idx="21">
                  <c:v>0.411540258210779</c:v>
                </c:pt>
                <c:pt idx="22">
                  <c:v>0.35439103573227232</c:v>
                </c:pt>
                <c:pt idx="23">
                  <c:v>0.29803450731111303</c:v>
                </c:pt>
                <c:pt idx="24">
                  <c:v>0.24477315997491597</c:v>
                </c:pt>
                <c:pt idx="25">
                  <c:v>0.19632448140895511</c:v>
                </c:pt>
                <c:pt idx="26">
                  <c:v>0.15377953525175866</c:v>
                </c:pt>
                <c:pt idx="27">
                  <c:v>0.1176348626946481</c:v>
                </c:pt>
                <c:pt idx="28">
                  <c:v>8.7879378425990737E-2</c:v>
                </c:pt>
                <c:pt idx="29">
                  <c:v>6.4113771311386403E-2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1-4B58-AEE8-BE34A7E0A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F51-4B58-AEE8-BE34A7E0A2A9}"/>
              </c:ext>
            </c:extLst>
          </c:dPt>
          <c:cat>
            <c:numRef>
              <c:f>[2]Sta_Cu!$AW$85:$AW$114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'!$AW$144:$AW$173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51-4B58-AEE8-BE34A7E0A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(%Fe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'!$AX$110:$AX$139</c:f>
              <c:numCache>
                <c:formatCode>General</c:formatCode>
                <c:ptCount val="30"/>
                <c:pt idx="0">
                  <c:v>4.3117590468733397E-2</c:v>
                </c:pt>
                <c:pt idx="1">
                  <c:v>6.3486176972591943E-2</c:v>
                </c:pt>
                <c:pt idx="2">
                  <c:v>9.0787171478590403E-2</c:v>
                </c:pt>
                <c:pt idx="3">
                  <c:v>0.12609283636916355</c:v>
                </c:pt>
                <c:pt idx="4">
                  <c:v>0.17008928692399375</c:v>
                </c:pt>
                <c:pt idx="5">
                  <c:v>0.2228353693485087</c:v>
                </c:pt>
                <c:pt idx="6">
                  <c:v>0.28353841522763512</c:v>
                </c:pt>
                <c:pt idx="7">
                  <c:v>0.35039694287763268</c:v>
                </c:pt>
                <c:pt idx="8">
                  <c:v>0.42056132015372066</c:v>
                </c:pt>
                <c:pt idx="9">
                  <c:v>0.49025153738349347</c:v>
                </c:pt>
                <c:pt idx="10">
                  <c:v>0.55504630943813604</c:v>
                </c:pt>
                <c:pt idx="11">
                  <c:v>0.61032350012136183</c:v>
                </c:pt>
                <c:pt idx="12">
                  <c:v>0.65179583923794238</c:v>
                </c:pt>
                <c:pt idx="13">
                  <c:v>0.67605759044210079</c:v>
                </c:pt>
                <c:pt idx="14">
                  <c:v>0.68104595949980162</c:v>
                </c:pt>
                <c:pt idx="15">
                  <c:v>0.66633061290088058</c:v>
                </c:pt>
                <c:pt idx="16">
                  <c:v>0.63317495768671272</c:v>
                </c:pt>
                <c:pt idx="17">
                  <c:v>0.584357082105318</c:v>
                </c:pt>
                <c:pt idx="18">
                  <c:v>0.52378554837556102</c:v>
                </c:pt>
                <c:pt idx="19">
                  <c:v>0.45598371209151423</c:v>
                </c:pt>
                <c:pt idx="20">
                  <c:v>0.38553673569388663</c:v>
                </c:pt>
                <c:pt idx="21">
                  <c:v>0.31659410218284983</c:v>
                </c:pt>
                <c:pt idx="22">
                  <c:v>0.25249948257375132</c:v>
                </c:pt>
                <c:pt idx="23">
                  <c:v>0.19558645849300274</c:v>
                </c:pt>
                <c:pt idx="24">
                  <c:v>0.14714235123473116</c:v>
                </c:pt>
                <c:pt idx="25">
                  <c:v>0.10751206862750878</c:v>
                </c:pt>
                <c:pt idx="26">
                  <c:v>7.6295225841364112E-2</c:v>
                </c:pt>
                <c:pt idx="27">
                  <c:v>5.2584545647195162E-2</c:v>
                </c:pt>
                <c:pt idx="28">
                  <c:v>3.5199744145495079E-2</c:v>
                </c:pt>
                <c:pt idx="29">
                  <c:v>2.2884504099734436E-2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6-4921-B421-6A32CFBBB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FF6-4921-B421-6A32CFBBB9D2}"/>
              </c:ext>
            </c:extLst>
          </c:dPt>
          <c:cat>
            <c:numRef>
              <c:f>[2]Sta_Cu!$AX$85:$AX$114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'!$AX$144:$AX$173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F6-4921-B421-6A32CFBBB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COBRE (%Fe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[2]Sta_Cu!$AY$85:$AY$114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'Sta_Cu '!$AY$110:$AY$139</c:f>
              <c:numCache>
                <c:formatCode>General</c:formatCode>
                <c:ptCount val="30"/>
                <c:pt idx="0">
                  <c:v>6.9905597519997226E-2</c:v>
                </c:pt>
                <c:pt idx="1">
                  <c:v>0.10178222901689545</c:v>
                </c:pt>
                <c:pt idx="2">
                  <c:v>0.14396669327783482</c:v>
                </c:pt>
                <c:pt idx="3">
                  <c:v>0.19782545265188725</c:v>
                </c:pt>
                <c:pt idx="4">
                  <c:v>0.26407809181826308</c:v>
                </c:pt>
                <c:pt idx="5">
                  <c:v>0.34246220199590149</c:v>
                </c:pt>
                <c:pt idx="6">
                  <c:v>0.43144255878904014</c:v>
                </c:pt>
                <c:pt idx="7">
                  <c:v>0.52803582394506166</c:v>
                </c:pt>
                <c:pt idx="8">
                  <c:v>0.62781813863325531</c:v>
                </c:pt>
                <c:pt idx="9">
                  <c:v>0.72516092922201603</c:v>
                </c:pt>
                <c:pt idx="10">
                  <c:v>0.81370128375556783</c:v>
                </c:pt>
                <c:pt idx="11">
                  <c:v>0.88700419152877741</c:v>
                </c:pt>
                <c:pt idx="12">
                  <c:v>0.93932614282857274</c:v>
                </c:pt>
                <c:pt idx="13">
                  <c:v>0.96635614706255302</c:v>
                </c:pt>
                <c:pt idx="14">
                  <c:v>0.9658019638300086</c:v>
                </c:pt>
                <c:pt idx="15">
                  <c:v>0.93771102299428377</c:v>
                </c:pt>
                <c:pt idx="16">
                  <c:v>0.88446372353113967</c:v>
                </c:pt>
                <c:pt idx="17">
                  <c:v>0.81044042410655137</c:v>
                </c:pt>
                <c:pt idx="18">
                  <c:v>0.72142673388010015</c:v>
                </c:pt>
                <c:pt idx="19">
                  <c:v>0.62386904183093739</c:v>
                </c:pt>
                <c:pt idx="20">
                  <c:v>0.52411272617329252</c:v>
                </c:pt>
                <c:pt idx="21">
                  <c:v>0.427746083239887</c:v>
                </c:pt>
                <c:pt idx="22">
                  <c:v>0.33913877293094491</c:v>
                </c:pt>
                <c:pt idx="23">
                  <c:v>0.26121548223459168</c:v>
                </c:pt>
                <c:pt idx="24">
                  <c:v>0.19545664958557638</c:v>
                </c:pt>
                <c:pt idx="25">
                  <c:v>0.14207970694827404</c:v>
                </c:pt>
                <c:pt idx="26">
                  <c:v>0.10033298239482256</c:v>
                </c:pt>
                <c:pt idx="27">
                  <c:v>6.8831218456304605E-2</c:v>
                </c:pt>
                <c:pt idx="28">
                  <c:v>4.5873012334556956E-2</c:v>
                </c:pt>
                <c:pt idx="29">
                  <c:v>2.9700183229109806E-2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3-4BE0-BE01-A8FCEE95E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F23-4BE0-BE01-A8FCEE95E672}"/>
              </c:ext>
            </c:extLst>
          </c:dPt>
          <c:cat>
            <c:numRef>
              <c:f>[2]Sta_Cu!$AY$85:$AY$114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'Sta_Cu '!$AY$144:$AY$173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23-4BE0-BE01-A8FCEE95E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(%Cu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[2]Sta_Cu!$O$85:$O$114</c:f>
              <c:numCache>
                <c:formatCode>General</c:formatCode>
                <c:ptCount val="30"/>
                <c:pt idx="0">
                  <c:v>2.5000000000000001E-2</c:v>
                </c:pt>
                <c:pt idx="1">
                  <c:v>2.75E-2</c:v>
                </c:pt>
                <c:pt idx="2">
                  <c:v>0.03</c:v>
                </c:pt>
                <c:pt idx="3">
                  <c:v>3.2500000000000001E-2</c:v>
                </c:pt>
                <c:pt idx="4">
                  <c:v>3.5000000000000003E-2</c:v>
                </c:pt>
                <c:pt idx="5">
                  <c:v>3.7500000000000006E-2</c:v>
                </c:pt>
                <c:pt idx="6">
                  <c:v>4.0000000000000008E-2</c:v>
                </c:pt>
                <c:pt idx="7">
                  <c:v>4.250000000000001E-2</c:v>
                </c:pt>
                <c:pt idx="8">
                  <c:v>4.5000000000000012E-2</c:v>
                </c:pt>
                <c:pt idx="9">
                  <c:v>4.7500000000000014E-2</c:v>
                </c:pt>
                <c:pt idx="10">
                  <c:v>5.0000000000000017E-2</c:v>
                </c:pt>
                <c:pt idx="11">
                  <c:v>5.2500000000000019E-2</c:v>
                </c:pt>
                <c:pt idx="12">
                  <c:v>5.5000000000000021E-2</c:v>
                </c:pt>
                <c:pt idx="13">
                  <c:v>5.7500000000000023E-2</c:v>
                </c:pt>
                <c:pt idx="14">
                  <c:v>6.0000000000000026E-2</c:v>
                </c:pt>
                <c:pt idx="15">
                  <c:v>6.2500000000000028E-2</c:v>
                </c:pt>
                <c:pt idx="16">
                  <c:v>6.500000000000003E-2</c:v>
                </c:pt>
                <c:pt idx="17">
                  <c:v>6.7500000000000032E-2</c:v>
                </c:pt>
                <c:pt idx="18">
                  <c:v>7.0000000000000034E-2</c:v>
                </c:pt>
                <c:pt idx="19">
                  <c:v>7.2500000000000037E-2</c:v>
                </c:pt>
                <c:pt idx="20">
                  <c:v>7.5000000000000039E-2</c:v>
                </c:pt>
                <c:pt idx="21">
                  <c:v>7.7500000000000041E-2</c:v>
                </c:pt>
                <c:pt idx="22">
                  <c:v>8.0000000000000043E-2</c:v>
                </c:pt>
                <c:pt idx="23">
                  <c:v>8.2500000000000046E-2</c:v>
                </c:pt>
                <c:pt idx="24">
                  <c:v>8.5000000000000048E-2</c:v>
                </c:pt>
                <c:pt idx="25">
                  <c:v>8.750000000000005E-2</c:v>
                </c:pt>
                <c:pt idx="26">
                  <c:v>9.0000000000000052E-2</c:v>
                </c:pt>
                <c:pt idx="27">
                  <c:v>9.2500000000000054E-2</c:v>
                </c:pt>
                <c:pt idx="28">
                  <c:v>9.5000000000000057E-2</c:v>
                </c:pt>
                <c:pt idx="29">
                  <c:v>9.7500000000000059E-2</c:v>
                </c:pt>
              </c:numCache>
            </c:numRef>
          </c:cat>
          <c:val>
            <c:numRef>
              <c:f>'Sta_Cu '!$O$110:$O$139</c:f>
              <c:numCache>
                <c:formatCode>General</c:formatCode>
                <c:ptCount val="30"/>
                <c:pt idx="0">
                  <c:v>6.7430114489769153</c:v>
                </c:pt>
                <c:pt idx="1">
                  <c:v>10.16033081708502</c:v>
                </c:pt>
                <c:pt idx="2">
                  <c:v>14.479825353974377</c:v>
                </c:pt>
                <c:pt idx="3">
                  <c:v>19.517326268849981</c:v>
                </c:pt>
                <c:pt idx="4">
                  <c:v>24.881630947759636</c:v>
                </c:pt>
                <c:pt idx="5">
                  <c:v>30.001218200975313</c:v>
                </c:pt>
                <c:pt idx="6">
                  <c:v>34.213732734836064</c:v>
                </c:pt>
                <c:pt idx="7">
                  <c:v>36.903159546739161</c:v>
                </c:pt>
                <c:pt idx="8">
                  <c:v>37.646808652932897</c:v>
                </c:pt>
                <c:pt idx="9">
                  <c:v>36.324053436070734</c:v>
                </c:pt>
                <c:pt idx="10">
                  <c:v>33.148354034992543</c:v>
                </c:pt>
                <c:pt idx="11">
                  <c:v>28.61087597663316</c:v>
                </c:pt>
                <c:pt idx="12">
                  <c:v>23.356182731904951</c:v>
                </c:pt>
                <c:pt idx="13">
                  <c:v>18.033253902585248</c:v>
                </c:pt>
                <c:pt idx="14">
                  <c:v>13.168850095177211</c:v>
                </c:pt>
                <c:pt idx="15">
                  <c:v>9.0954278676402645</c:v>
                </c:pt>
                <c:pt idx="16">
                  <c:v>5.9415524794444226</c:v>
                </c:pt>
                <c:pt idx="17">
                  <c:v>3.6709482678711387</c:v>
                </c:pt>
                <c:pt idx="18">
                  <c:v>2.1451522177553151</c:v>
                </c:pt>
                <c:pt idx="19">
                  <c:v>1.1856035431378558</c:v>
                </c:pt>
                <c:pt idx="20">
                  <c:v>0.61975834865744261</c:v>
                </c:pt>
                <c:pt idx="21">
                  <c:v>0.30641273162061072</c:v>
                </c:pt>
                <c:pt idx="22">
                  <c:v>0.14328236809867118</c:v>
                </c:pt>
                <c:pt idx="23">
                  <c:v>6.3369490936981812E-2</c:v>
                </c:pt>
                <c:pt idx="24">
                  <c:v>2.6507526816836737E-2</c:v>
                </c:pt>
                <c:pt idx="25">
                  <c:v>1.0487204190619921E-2</c:v>
                </c:pt>
                <c:pt idx="26">
                  <c:v>3.9242056796447503E-3</c:v>
                </c:pt>
                <c:pt idx="27">
                  <c:v>1.3888179579956655E-3</c:v>
                </c:pt>
                <c:pt idx="28">
                  <c:v>4.6487951399685503E-4</c:v>
                </c:pt>
                <c:pt idx="29">
                  <c:v>1.4717600726524505E-4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D-4CAF-BCF6-31D2206C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01D-4CAF-BCF6-31D2206C226B}"/>
              </c:ext>
            </c:extLst>
          </c:dPt>
          <c:cat>
            <c:numRef>
              <c:f>[2]Sta_Cu!$O$85:$O$114</c:f>
              <c:numCache>
                <c:formatCode>General</c:formatCode>
                <c:ptCount val="30"/>
                <c:pt idx="0">
                  <c:v>2.5000000000000001E-2</c:v>
                </c:pt>
                <c:pt idx="1">
                  <c:v>2.75E-2</c:v>
                </c:pt>
                <c:pt idx="2">
                  <c:v>0.03</c:v>
                </c:pt>
                <c:pt idx="3">
                  <c:v>3.2500000000000001E-2</c:v>
                </c:pt>
                <c:pt idx="4">
                  <c:v>3.5000000000000003E-2</c:v>
                </c:pt>
                <c:pt idx="5">
                  <c:v>3.7500000000000006E-2</c:v>
                </c:pt>
                <c:pt idx="6">
                  <c:v>4.0000000000000008E-2</c:v>
                </c:pt>
                <c:pt idx="7">
                  <c:v>4.250000000000001E-2</c:v>
                </c:pt>
                <c:pt idx="8">
                  <c:v>4.5000000000000012E-2</c:v>
                </c:pt>
                <c:pt idx="9">
                  <c:v>4.7500000000000014E-2</c:v>
                </c:pt>
                <c:pt idx="10">
                  <c:v>5.0000000000000017E-2</c:v>
                </c:pt>
                <c:pt idx="11">
                  <c:v>5.2500000000000019E-2</c:v>
                </c:pt>
                <c:pt idx="12">
                  <c:v>5.5000000000000021E-2</c:v>
                </c:pt>
                <c:pt idx="13">
                  <c:v>5.7500000000000023E-2</c:v>
                </c:pt>
                <c:pt idx="14">
                  <c:v>6.0000000000000026E-2</c:v>
                </c:pt>
                <c:pt idx="15">
                  <c:v>6.2500000000000028E-2</c:v>
                </c:pt>
                <c:pt idx="16">
                  <c:v>6.500000000000003E-2</c:v>
                </c:pt>
                <c:pt idx="17">
                  <c:v>6.7500000000000032E-2</c:v>
                </c:pt>
                <c:pt idx="18">
                  <c:v>7.0000000000000034E-2</c:v>
                </c:pt>
                <c:pt idx="19">
                  <c:v>7.2500000000000037E-2</c:v>
                </c:pt>
                <c:pt idx="20">
                  <c:v>7.5000000000000039E-2</c:v>
                </c:pt>
                <c:pt idx="21">
                  <c:v>7.7500000000000041E-2</c:v>
                </c:pt>
                <c:pt idx="22">
                  <c:v>8.0000000000000043E-2</c:v>
                </c:pt>
                <c:pt idx="23">
                  <c:v>8.2500000000000046E-2</c:v>
                </c:pt>
                <c:pt idx="24">
                  <c:v>8.5000000000000048E-2</c:v>
                </c:pt>
                <c:pt idx="25">
                  <c:v>8.750000000000005E-2</c:v>
                </c:pt>
                <c:pt idx="26">
                  <c:v>9.0000000000000052E-2</c:v>
                </c:pt>
                <c:pt idx="27">
                  <c:v>9.2500000000000054E-2</c:v>
                </c:pt>
                <c:pt idx="28">
                  <c:v>9.5000000000000057E-2</c:v>
                </c:pt>
                <c:pt idx="29">
                  <c:v>9.7500000000000059E-2</c:v>
                </c:pt>
              </c:numCache>
            </c:numRef>
          </c:cat>
          <c:val>
            <c:numRef>
              <c:f>'Sta_Cu '!$O$144:$O$173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1D-4CAF-BCF6-31D2206C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(%Cu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[2]Sta_Cu!$P$85:$P$114</c:f>
              <c:numCache>
                <c:formatCode>General</c:formatCode>
                <c:ptCount val="30"/>
                <c:pt idx="0">
                  <c:v>1.4999999999999999E-2</c:v>
                </c:pt>
                <c:pt idx="1">
                  <c:v>1.7999999999999999E-2</c:v>
                </c:pt>
                <c:pt idx="2">
                  <c:v>2.0999999999999998E-2</c:v>
                </c:pt>
                <c:pt idx="3">
                  <c:v>2.3999999999999997E-2</c:v>
                </c:pt>
                <c:pt idx="4">
                  <c:v>2.6999999999999996E-2</c:v>
                </c:pt>
                <c:pt idx="5">
                  <c:v>2.9999999999999995E-2</c:v>
                </c:pt>
                <c:pt idx="6">
                  <c:v>3.2999999999999995E-2</c:v>
                </c:pt>
                <c:pt idx="7">
                  <c:v>3.5999999999999997E-2</c:v>
                </c:pt>
                <c:pt idx="8">
                  <c:v>3.9E-2</c:v>
                </c:pt>
                <c:pt idx="9">
                  <c:v>4.2000000000000003E-2</c:v>
                </c:pt>
                <c:pt idx="10">
                  <c:v>4.5000000000000005E-2</c:v>
                </c:pt>
                <c:pt idx="11">
                  <c:v>4.8000000000000008E-2</c:v>
                </c:pt>
                <c:pt idx="12">
                  <c:v>5.1000000000000011E-2</c:v>
                </c:pt>
                <c:pt idx="13">
                  <c:v>5.4000000000000013E-2</c:v>
                </c:pt>
                <c:pt idx="14">
                  <c:v>5.7000000000000016E-2</c:v>
                </c:pt>
                <c:pt idx="15">
                  <c:v>6.0000000000000019E-2</c:v>
                </c:pt>
                <c:pt idx="16">
                  <c:v>6.3000000000000014E-2</c:v>
                </c:pt>
                <c:pt idx="17">
                  <c:v>6.6000000000000017E-2</c:v>
                </c:pt>
                <c:pt idx="18">
                  <c:v>6.900000000000002E-2</c:v>
                </c:pt>
                <c:pt idx="19">
                  <c:v>7.2000000000000022E-2</c:v>
                </c:pt>
                <c:pt idx="20">
                  <c:v>7.5000000000000025E-2</c:v>
                </c:pt>
                <c:pt idx="21">
                  <c:v>7.8000000000000028E-2</c:v>
                </c:pt>
                <c:pt idx="22">
                  <c:v>8.100000000000003E-2</c:v>
                </c:pt>
                <c:pt idx="23">
                  <c:v>8.4000000000000033E-2</c:v>
                </c:pt>
                <c:pt idx="24">
                  <c:v>8.7000000000000036E-2</c:v>
                </c:pt>
                <c:pt idx="25">
                  <c:v>9.0000000000000038E-2</c:v>
                </c:pt>
                <c:pt idx="26">
                  <c:v>9.3000000000000041E-2</c:v>
                </c:pt>
                <c:pt idx="27">
                  <c:v>9.6000000000000044E-2</c:v>
                </c:pt>
                <c:pt idx="28">
                  <c:v>9.9000000000000046E-2</c:v>
                </c:pt>
                <c:pt idx="29">
                  <c:v>0.10200000000000005</c:v>
                </c:pt>
              </c:numCache>
            </c:numRef>
          </c:cat>
          <c:val>
            <c:numRef>
              <c:f>'Sta_Cu '!$P$110:$P$139</c:f>
              <c:numCache>
                <c:formatCode>General</c:formatCode>
                <c:ptCount val="30"/>
                <c:pt idx="0">
                  <c:v>9.1120426533066554E-2</c:v>
                </c:pt>
                <c:pt idx="1">
                  <c:v>0.24876958871996538</c:v>
                </c:pt>
                <c:pt idx="2">
                  <c:v>0.62038734792710082</c:v>
                </c:pt>
                <c:pt idx="3">
                  <c:v>1.4132294415165927</c:v>
                </c:pt>
                <c:pt idx="4">
                  <c:v>2.9406715540672677</c:v>
                </c:pt>
                <c:pt idx="5">
                  <c:v>5.5893906563951781</c:v>
                </c:pt>
                <c:pt idx="6">
                  <c:v>9.7043512762144051</c:v>
                </c:pt>
                <c:pt idx="7">
                  <c:v>15.390497287109602</c:v>
                </c:pt>
                <c:pt idx="8">
                  <c:v>22.295791617504566</c:v>
                </c:pt>
                <c:pt idx="9">
                  <c:v>29.503751445837899</c:v>
                </c:pt>
                <c:pt idx="10">
                  <c:v>35.662820251809499</c:v>
                </c:pt>
                <c:pt idx="11">
                  <c:v>39.376601326078955</c:v>
                </c:pt>
                <c:pt idx="12">
                  <c:v>39.714113486538217</c:v>
                </c:pt>
                <c:pt idx="13">
                  <c:v>36.587742710135686</c:v>
                </c:pt>
                <c:pt idx="14">
                  <c:v>30.790054688367508</c:v>
                </c:pt>
                <c:pt idx="15">
                  <c:v>23.668427457570854</c:v>
                </c:pt>
                <c:pt idx="16">
                  <c:v>16.619289304095759</c:v>
                </c:pt>
                <c:pt idx="17">
                  <c:v>10.659567690183277</c:v>
                </c:pt>
                <c:pt idx="18">
                  <c:v>6.2452644884366189</c:v>
                </c:pt>
                <c:pt idx="19">
                  <c:v>3.3423057749691352</c:v>
                </c:pt>
                <c:pt idx="20">
                  <c:v>1.6339005655093357</c:v>
                </c:pt>
                <c:pt idx="21">
                  <c:v>0.72960729359270204</c:v>
                </c:pt>
                <c:pt idx="22">
                  <c:v>0.2976026612723115</c:v>
                </c:pt>
                <c:pt idx="23">
                  <c:v>0.11088391574887581</c:v>
                </c:pt>
                <c:pt idx="24">
                  <c:v>3.7738479463844975E-2</c:v>
                </c:pt>
                <c:pt idx="25">
                  <c:v>1.1732331929584049E-2</c:v>
                </c:pt>
                <c:pt idx="26">
                  <c:v>3.331719150230116E-3</c:v>
                </c:pt>
                <c:pt idx="27">
                  <c:v>8.6424430953767762E-4</c:v>
                </c:pt>
                <c:pt idx="28">
                  <c:v>2.0478058167047175E-4</c:v>
                </c:pt>
                <c:pt idx="29">
                  <c:v>4.4322588495060544E-5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0-4FA6-943E-289A34E49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630-4FA6-943E-289A34E4932E}"/>
              </c:ext>
            </c:extLst>
          </c:dPt>
          <c:cat>
            <c:numRef>
              <c:f>[2]Sta_Cu!$P$85:$P$114</c:f>
              <c:numCache>
                <c:formatCode>General</c:formatCode>
                <c:ptCount val="30"/>
                <c:pt idx="0">
                  <c:v>1.4999999999999999E-2</c:v>
                </c:pt>
                <c:pt idx="1">
                  <c:v>1.7999999999999999E-2</c:v>
                </c:pt>
                <c:pt idx="2">
                  <c:v>2.0999999999999998E-2</c:v>
                </c:pt>
                <c:pt idx="3">
                  <c:v>2.3999999999999997E-2</c:v>
                </c:pt>
                <c:pt idx="4">
                  <c:v>2.6999999999999996E-2</c:v>
                </c:pt>
                <c:pt idx="5">
                  <c:v>2.9999999999999995E-2</c:v>
                </c:pt>
                <c:pt idx="6">
                  <c:v>3.2999999999999995E-2</c:v>
                </c:pt>
                <c:pt idx="7">
                  <c:v>3.5999999999999997E-2</c:v>
                </c:pt>
                <c:pt idx="8">
                  <c:v>3.9E-2</c:v>
                </c:pt>
                <c:pt idx="9">
                  <c:v>4.2000000000000003E-2</c:v>
                </c:pt>
                <c:pt idx="10">
                  <c:v>4.5000000000000005E-2</c:v>
                </c:pt>
                <c:pt idx="11">
                  <c:v>4.8000000000000008E-2</c:v>
                </c:pt>
                <c:pt idx="12">
                  <c:v>5.1000000000000011E-2</c:v>
                </c:pt>
                <c:pt idx="13">
                  <c:v>5.4000000000000013E-2</c:v>
                </c:pt>
                <c:pt idx="14">
                  <c:v>5.7000000000000016E-2</c:v>
                </c:pt>
                <c:pt idx="15">
                  <c:v>6.0000000000000019E-2</c:v>
                </c:pt>
                <c:pt idx="16">
                  <c:v>6.3000000000000014E-2</c:v>
                </c:pt>
                <c:pt idx="17">
                  <c:v>6.6000000000000017E-2</c:v>
                </c:pt>
                <c:pt idx="18">
                  <c:v>6.900000000000002E-2</c:v>
                </c:pt>
                <c:pt idx="19">
                  <c:v>7.2000000000000022E-2</c:v>
                </c:pt>
                <c:pt idx="20">
                  <c:v>7.5000000000000025E-2</c:v>
                </c:pt>
                <c:pt idx="21">
                  <c:v>7.8000000000000028E-2</c:v>
                </c:pt>
                <c:pt idx="22">
                  <c:v>8.100000000000003E-2</c:v>
                </c:pt>
                <c:pt idx="23">
                  <c:v>8.4000000000000033E-2</c:v>
                </c:pt>
                <c:pt idx="24">
                  <c:v>8.7000000000000036E-2</c:v>
                </c:pt>
                <c:pt idx="25">
                  <c:v>9.0000000000000038E-2</c:v>
                </c:pt>
                <c:pt idx="26">
                  <c:v>9.3000000000000041E-2</c:v>
                </c:pt>
                <c:pt idx="27">
                  <c:v>9.6000000000000044E-2</c:v>
                </c:pt>
                <c:pt idx="28">
                  <c:v>9.9000000000000046E-2</c:v>
                </c:pt>
                <c:pt idx="29">
                  <c:v>0.10200000000000005</c:v>
                </c:pt>
              </c:numCache>
            </c:numRef>
          </c:cat>
          <c:val>
            <c:numRef>
              <c:f>'Sta_Cu '!$P$144:$P$173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30-4FA6-943E-289A34E49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(%Cu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[2]Sta_Cu!$Q$85:$Q$114</c:f>
              <c:numCache>
                <c:formatCode>General</c:formatCode>
                <c:ptCount val="30"/>
                <c:pt idx="0">
                  <c:v>-4.4999999999999998E-2</c:v>
                </c:pt>
                <c:pt idx="1">
                  <c:v>-4.2099999999999999E-2</c:v>
                </c:pt>
                <c:pt idx="2">
                  <c:v>-3.9199999999999999E-2</c:v>
                </c:pt>
                <c:pt idx="3">
                  <c:v>-3.6299999999999999E-2</c:v>
                </c:pt>
                <c:pt idx="4">
                  <c:v>-3.3399999999999999E-2</c:v>
                </c:pt>
                <c:pt idx="5">
                  <c:v>-3.0499999999999999E-2</c:v>
                </c:pt>
                <c:pt idx="6">
                  <c:v>-2.76E-2</c:v>
                </c:pt>
                <c:pt idx="7">
                  <c:v>-2.47E-2</c:v>
                </c:pt>
                <c:pt idx="8">
                  <c:v>-2.18E-2</c:v>
                </c:pt>
                <c:pt idx="9">
                  <c:v>-1.89E-2</c:v>
                </c:pt>
                <c:pt idx="10">
                  <c:v>-1.6E-2</c:v>
                </c:pt>
                <c:pt idx="11">
                  <c:v>-1.3100000000000001E-2</c:v>
                </c:pt>
                <c:pt idx="12">
                  <c:v>-1.0200000000000001E-2</c:v>
                </c:pt>
                <c:pt idx="13">
                  <c:v>-7.3000000000000009E-3</c:v>
                </c:pt>
                <c:pt idx="14">
                  <c:v>-4.4000000000000011E-3</c:v>
                </c:pt>
                <c:pt idx="15">
                  <c:v>-1.5000000000000013E-3</c:v>
                </c:pt>
                <c:pt idx="16">
                  <c:v>1.3999999999999985E-3</c:v>
                </c:pt>
                <c:pt idx="17">
                  <c:v>4.2999999999999983E-3</c:v>
                </c:pt>
                <c:pt idx="18">
                  <c:v>7.1999999999999981E-3</c:v>
                </c:pt>
                <c:pt idx="19">
                  <c:v>1.0099999999999998E-2</c:v>
                </c:pt>
                <c:pt idx="20">
                  <c:v>1.2999999999999998E-2</c:v>
                </c:pt>
                <c:pt idx="21">
                  <c:v>1.5899999999999997E-2</c:v>
                </c:pt>
                <c:pt idx="22">
                  <c:v>1.8799999999999997E-2</c:v>
                </c:pt>
                <c:pt idx="23">
                  <c:v>2.1699999999999997E-2</c:v>
                </c:pt>
                <c:pt idx="24">
                  <c:v>2.4599999999999997E-2</c:v>
                </c:pt>
                <c:pt idx="25">
                  <c:v>2.7499999999999997E-2</c:v>
                </c:pt>
                <c:pt idx="26">
                  <c:v>3.0399999999999996E-2</c:v>
                </c:pt>
                <c:pt idx="27">
                  <c:v>3.3299999999999996E-2</c:v>
                </c:pt>
                <c:pt idx="28">
                  <c:v>3.6199999999999996E-2</c:v>
                </c:pt>
                <c:pt idx="29">
                  <c:v>3.9099999999999996E-2</c:v>
                </c:pt>
              </c:numCache>
            </c:numRef>
          </c:cat>
          <c:val>
            <c:numRef>
              <c:f>'Sta_Cu '!$Q$110:$Q$139</c:f>
              <c:numCache>
                <c:formatCode>General</c:formatCode>
                <c:ptCount val="30"/>
                <c:pt idx="0">
                  <c:v>9.1430179105409001E-2</c:v>
                </c:pt>
                <c:pt idx="1">
                  <c:v>0.21193009261515686</c:v>
                </c:pt>
                <c:pt idx="2">
                  <c:v>0.46074871773366427</c:v>
                </c:pt>
                <c:pt idx="3">
                  <c:v>0.93951580954102509</c:v>
                </c:pt>
                <c:pt idx="4">
                  <c:v>1.7968527958242808</c:v>
                </c:pt>
                <c:pt idx="5">
                  <c:v>3.2232156039008188</c:v>
                </c:pt>
                <c:pt idx="6">
                  <c:v>5.4229383084800276</c:v>
                </c:pt>
                <c:pt idx="7">
                  <c:v>8.5575298149023098</c:v>
                </c:pt>
                <c:pt idx="8">
                  <c:v>12.665741726227395</c:v>
                </c:pt>
                <c:pt idx="9">
                  <c:v>17.58252666525004</c:v>
                </c:pt>
                <c:pt idx="10">
                  <c:v>22.892877877747768</c:v>
                </c:pt>
                <c:pt idx="11">
                  <c:v>27.956831459416371</c:v>
                </c:pt>
                <c:pt idx="12">
                  <c:v>32.0216683313012</c:v>
                </c:pt>
                <c:pt idx="13">
                  <c:v>34.400789641670713</c:v>
                </c:pt>
                <c:pt idx="14">
                  <c:v>34.662614573380324</c:v>
                </c:pt>
                <c:pt idx="15">
                  <c:v>32.758399469812041</c:v>
                </c:pt>
                <c:pt idx="16">
                  <c:v>29.037049236657207</c:v>
                </c:pt>
                <c:pt idx="17">
                  <c:v>24.140748821089598</c:v>
                </c:pt>
                <c:pt idx="18">
                  <c:v>18.824239669217391</c:v>
                </c:pt>
                <c:pt idx="19">
                  <c:v>13.767421213474126</c:v>
                </c:pt>
                <c:pt idx="20">
                  <c:v>9.444004948775655</c:v>
                </c:pt>
                <c:pt idx="21">
                  <c:v>6.0761468583893725</c:v>
                </c:pt>
                <c:pt idx="22">
                  <c:v>3.6666441889852823</c:v>
                </c:pt>
                <c:pt idx="23">
                  <c:v>2.075284890096047</c:v>
                </c:pt>
                <c:pt idx="24">
                  <c:v>1.1016791492972851</c:v>
                </c:pt>
                <c:pt idx="25">
                  <c:v>0.54853075897625292</c:v>
                </c:pt>
                <c:pt idx="26">
                  <c:v>0.25616234572276908</c:v>
                </c:pt>
                <c:pt idx="27">
                  <c:v>0.11220134091533392</c:v>
                </c:pt>
                <c:pt idx="28">
                  <c:v>4.6094515325569262E-2</c:v>
                </c:pt>
                <c:pt idx="29">
                  <c:v>1.7761061103344768E-2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6-4F39-ADCB-D339DA930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E6-4F39-ADCB-D339DA930B29}"/>
              </c:ext>
            </c:extLst>
          </c:dPt>
          <c:cat>
            <c:numRef>
              <c:f>[2]Sta_Cu!$Q$85:$Q$114</c:f>
              <c:numCache>
                <c:formatCode>General</c:formatCode>
                <c:ptCount val="30"/>
                <c:pt idx="0">
                  <c:v>-4.4999999999999998E-2</c:v>
                </c:pt>
                <c:pt idx="1">
                  <c:v>-4.2099999999999999E-2</c:v>
                </c:pt>
                <c:pt idx="2">
                  <c:v>-3.9199999999999999E-2</c:v>
                </c:pt>
                <c:pt idx="3">
                  <c:v>-3.6299999999999999E-2</c:v>
                </c:pt>
                <c:pt idx="4">
                  <c:v>-3.3399999999999999E-2</c:v>
                </c:pt>
                <c:pt idx="5">
                  <c:v>-3.0499999999999999E-2</c:v>
                </c:pt>
                <c:pt idx="6">
                  <c:v>-2.76E-2</c:v>
                </c:pt>
                <c:pt idx="7">
                  <c:v>-2.47E-2</c:v>
                </c:pt>
                <c:pt idx="8">
                  <c:v>-2.18E-2</c:v>
                </c:pt>
                <c:pt idx="9">
                  <c:v>-1.89E-2</c:v>
                </c:pt>
                <c:pt idx="10">
                  <c:v>-1.6E-2</c:v>
                </c:pt>
                <c:pt idx="11">
                  <c:v>-1.3100000000000001E-2</c:v>
                </c:pt>
                <c:pt idx="12">
                  <c:v>-1.0200000000000001E-2</c:v>
                </c:pt>
                <c:pt idx="13">
                  <c:v>-7.3000000000000009E-3</c:v>
                </c:pt>
                <c:pt idx="14">
                  <c:v>-4.4000000000000011E-3</c:v>
                </c:pt>
                <c:pt idx="15">
                  <c:v>-1.5000000000000013E-3</c:v>
                </c:pt>
                <c:pt idx="16">
                  <c:v>1.3999999999999985E-3</c:v>
                </c:pt>
                <c:pt idx="17">
                  <c:v>4.2999999999999983E-3</c:v>
                </c:pt>
                <c:pt idx="18">
                  <c:v>7.1999999999999981E-3</c:v>
                </c:pt>
                <c:pt idx="19">
                  <c:v>1.0099999999999998E-2</c:v>
                </c:pt>
                <c:pt idx="20">
                  <c:v>1.2999999999999998E-2</c:v>
                </c:pt>
                <c:pt idx="21">
                  <c:v>1.5899999999999997E-2</c:v>
                </c:pt>
                <c:pt idx="22">
                  <c:v>1.8799999999999997E-2</c:v>
                </c:pt>
                <c:pt idx="23">
                  <c:v>2.1699999999999997E-2</c:v>
                </c:pt>
                <c:pt idx="24">
                  <c:v>2.4599999999999997E-2</c:v>
                </c:pt>
                <c:pt idx="25">
                  <c:v>2.7499999999999997E-2</c:v>
                </c:pt>
                <c:pt idx="26">
                  <c:v>3.0399999999999996E-2</c:v>
                </c:pt>
                <c:pt idx="27">
                  <c:v>3.3299999999999996E-2</c:v>
                </c:pt>
                <c:pt idx="28">
                  <c:v>3.6199999999999996E-2</c:v>
                </c:pt>
                <c:pt idx="29">
                  <c:v>3.9099999999999996E-2</c:v>
                </c:pt>
              </c:numCache>
            </c:numRef>
          </c:cat>
          <c:val>
            <c:numRef>
              <c:f>'Sta_Cu '!$Q$144:$Q$173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6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6-4F39-ADCB-D339DA930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(%Mo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[2]Sta_Cu!$S$85:$S$114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'Sta_Cu '!$S$110:$S$139</c:f>
              <c:numCache>
                <c:formatCode>General</c:formatCode>
                <c:ptCount val="30"/>
                <c:pt idx="0">
                  <c:v>15.472259866429644</c:v>
                </c:pt>
                <c:pt idx="1">
                  <c:v>19.089250049372197</c:v>
                </c:pt>
                <c:pt idx="2">
                  <c:v>23.243063344812157</c:v>
                </c:pt>
                <c:pt idx="3">
                  <c:v>27.929762844582655</c:v>
                </c:pt>
                <c:pt idx="4">
                  <c:v>33.121539411966268</c:v>
                </c:pt>
                <c:pt idx="5">
                  <c:v>38.763516000142069</c:v>
                </c:pt>
                <c:pt idx="6">
                  <c:v>44.771865907565342</c:v>
                </c:pt>
                <c:pt idx="7">
                  <c:v>51.033647513862931</c:v>
                </c:pt>
                <c:pt idx="8">
                  <c:v>57.408659769150695</c:v>
                </c:pt>
                <c:pt idx="9">
                  <c:v>63.733473738948746</c:v>
                </c:pt>
                <c:pt idx="10">
                  <c:v>69.827606364628608</c:v>
                </c:pt>
                <c:pt idx="11">
                  <c:v>75.5015909947913</c:v>
                </c:pt>
                <c:pt idx="12">
                  <c:v>80.566488425930331</c:v>
                </c:pt>
                <c:pt idx="13">
                  <c:v>84.844198173932071</c:v>
                </c:pt>
                <c:pt idx="14">
                  <c:v>88.17779768595156</c:v>
                </c:pt>
                <c:pt idx="15">
                  <c:v>90.441077763276837</c:v>
                </c:pt>
                <c:pt idx="16">
                  <c:v>91.546468090524911</c:v>
                </c:pt>
                <c:pt idx="17">
                  <c:v>91.450659444255677</c:v>
                </c:pt>
                <c:pt idx="18">
                  <c:v>90.157419460175646</c:v>
                </c:pt>
                <c:pt idx="19">
                  <c:v>87.717346777546112</c:v>
                </c:pt>
                <c:pt idx="20">
                  <c:v>84.224585923409805</c:v>
                </c:pt>
                <c:pt idx="21">
                  <c:v>79.810800239387163</c:v>
                </c:pt>
                <c:pt idx="22">
                  <c:v>74.636940650612871</c:v>
                </c:pt>
                <c:pt idx="23">
                  <c:v>68.883527146433892</c:v>
                </c:pt>
                <c:pt idx="24">
                  <c:v>62.740259039770841</c:v>
                </c:pt>
                <c:pt idx="25">
                  <c:v>56.395781773271636</c:v>
                </c:pt>
                <c:pt idx="26">
                  <c:v>50.028366005852298</c:v>
                </c:pt>
                <c:pt idx="27">
                  <c:v>43.798112910402494</c:v>
                </c:pt>
                <c:pt idx="28">
                  <c:v>37.841109594045435</c:v>
                </c:pt>
                <c:pt idx="29">
                  <c:v>32.265745905486234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8-491B-A7E3-C65BC204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B48-491B-A7E3-C65BC204CBC9}"/>
              </c:ext>
            </c:extLst>
          </c:dPt>
          <c:cat>
            <c:numRef>
              <c:f>[2]Sta_Cu!$S$85:$S$114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'Sta_Cu '!$S$144:$S$173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8-491B-A7E3-C65BC204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(%Mo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[2]Sta_Cu!$T$85:$T$114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'Sta_Cu '!$T$110:$T$139</c:f>
              <c:numCache>
                <c:formatCode>General</c:formatCode>
                <c:ptCount val="30"/>
                <c:pt idx="0">
                  <c:v>0.65934529367908057</c:v>
                </c:pt>
                <c:pt idx="1">
                  <c:v>4.1315926539093706</c:v>
                </c:pt>
                <c:pt idx="2">
                  <c:v>19.110794441972871</c:v>
                </c:pt>
                <c:pt idx="3">
                  <c:v>65.252423246282547</c:v>
                </c:pt>
                <c:pt idx="4">
                  <c:v>164.4641354665595</c:v>
                </c:pt>
                <c:pt idx="5">
                  <c:v>305.98661346455231</c:v>
                </c:pt>
                <c:pt idx="6">
                  <c:v>420.23314775611129</c:v>
                </c:pt>
                <c:pt idx="7">
                  <c:v>426.02476373113694</c:v>
                </c:pt>
                <c:pt idx="8">
                  <c:v>318.8130138577115</c:v>
                </c:pt>
                <c:pt idx="9">
                  <c:v>176.11400608134002</c:v>
                </c:pt>
                <c:pt idx="10">
                  <c:v>71.813883040220375</c:v>
                </c:pt>
                <c:pt idx="11">
                  <c:v>21.616211582504402</c:v>
                </c:pt>
                <c:pt idx="12">
                  <c:v>4.8029427931695423</c:v>
                </c:pt>
                <c:pt idx="13">
                  <c:v>0.78775633392583377</c:v>
                </c:pt>
                <c:pt idx="14">
                  <c:v>9.5374670893577332E-2</c:v>
                </c:pt>
                <c:pt idx="15">
                  <c:v>8.5237530644718621E-3</c:v>
                </c:pt>
                <c:pt idx="16">
                  <c:v>5.623223243800625E-4</c:v>
                </c:pt>
                <c:pt idx="17">
                  <c:v>2.738397250280688E-5</c:v>
                </c:pt>
                <c:pt idx="18">
                  <c:v>9.8438329080220839E-7</c:v>
                </c:pt>
                <c:pt idx="19">
                  <c:v>2.6120932393585702E-8</c:v>
                </c:pt>
                <c:pt idx="20">
                  <c:v>5.1164622675474799E-10</c:v>
                </c:pt>
                <c:pt idx="21">
                  <c:v>7.3978843007075917E-12</c:v>
                </c:pt>
                <c:pt idx="22">
                  <c:v>7.8959056961047561E-14</c:v>
                </c:pt>
                <c:pt idx="23">
                  <c:v>6.2208972653317845E-16</c:v>
                </c:pt>
                <c:pt idx="24">
                  <c:v>3.617935036816964E-18</c:v>
                </c:pt>
                <c:pt idx="25">
                  <c:v>1.5531920477092047E-20</c:v>
                </c:pt>
                <c:pt idx="26">
                  <c:v>4.922052150011756E-23</c:v>
                </c:pt>
                <c:pt idx="27">
                  <c:v>1.1513938939708453E-25</c:v>
                </c:pt>
                <c:pt idx="28">
                  <c:v>1.9881918620008141E-28</c:v>
                </c:pt>
                <c:pt idx="29">
                  <c:v>2.5342492131394544E-31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B-4250-BFB0-EEE0E8911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D5B-4250-BFB0-EEE0E8911520}"/>
              </c:ext>
            </c:extLst>
          </c:dPt>
          <c:cat>
            <c:numRef>
              <c:f>[2]Sta_Cu!$T$85:$T$114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'Sta_Cu '!$T$144:$T$173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9</c:v>
                </c:pt>
                <c:pt idx="8">
                  <c:v>12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5B-4250-BFB0-EEE0E8911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(%Mo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[2]Sta_Cu!$U$85:$U$114</c:f>
              <c:numCache>
                <c:formatCode>General</c:formatCode>
                <c:ptCount val="30"/>
                <c:pt idx="0">
                  <c:v>-7.0000000000000001E-3</c:v>
                </c:pt>
                <c:pt idx="1">
                  <c:v>-6.4900000000000001E-3</c:v>
                </c:pt>
                <c:pt idx="2">
                  <c:v>-5.9800000000000001E-3</c:v>
                </c:pt>
                <c:pt idx="3">
                  <c:v>-5.47E-3</c:v>
                </c:pt>
                <c:pt idx="4">
                  <c:v>-4.96E-3</c:v>
                </c:pt>
                <c:pt idx="5">
                  <c:v>-4.45E-3</c:v>
                </c:pt>
                <c:pt idx="6">
                  <c:v>-3.9399999999999999E-3</c:v>
                </c:pt>
                <c:pt idx="7">
                  <c:v>-3.4299999999999999E-3</c:v>
                </c:pt>
                <c:pt idx="8">
                  <c:v>-2.9199999999999999E-3</c:v>
                </c:pt>
                <c:pt idx="9">
                  <c:v>-2.4099999999999998E-3</c:v>
                </c:pt>
                <c:pt idx="10">
                  <c:v>-1.8999999999999998E-3</c:v>
                </c:pt>
                <c:pt idx="11">
                  <c:v>-1.3899999999999997E-3</c:v>
                </c:pt>
                <c:pt idx="12">
                  <c:v>-8.7999999999999971E-4</c:v>
                </c:pt>
                <c:pt idx="13">
                  <c:v>-3.6999999999999967E-4</c:v>
                </c:pt>
                <c:pt idx="14">
                  <c:v>1.4000000000000037E-4</c:v>
                </c:pt>
                <c:pt idx="15">
                  <c:v>6.500000000000004E-4</c:v>
                </c:pt>
                <c:pt idx="16">
                  <c:v>1.1600000000000004E-3</c:v>
                </c:pt>
                <c:pt idx="17">
                  <c:v>1.6700000000000005E-3</c:v>
                </c:pt>
                <c:pt idx="18">
                  <c:v>2.1800000000000005E-3</c:v>
                </c:pt>
                <c:pt idx="19">
                  <c:v>2.6900000000000006E-3</c:v>
                </c:pt>
                <c:pt idx="20">
                  <c:v>3.2000000000000006E-3</c:v>
                </c:pt>
                <c:pt idx="21">
                  <c:v>3.7100000000000006E-3</c:v>
                </c:pt>
                <c:pt idx="22">
                  <c:v>4.2200000000000007E-3</c:v>
                </c:pt>
                <c:pt idx="23">
                  <c:v>4.7300000000000007E-3</c:v>
                </c:pt>
                <c:pt idx="24">
                  <c:v>5.2400000000000007E-3</c:v>
                </c:pt>
                <c:pt idx="25">
                  <c:v>5.7500000000000008E-3</c:v>
                </c:pt>
                <c:pt idx="26">
                  <c:v>6.2600000000000008E-3</c:v>
                </c:pt>
                <c:pt idx="27">
                  <c:v>6.7700000000000008E-3</c:v>
                </c:pt>
                <c:pt idx="28">
                  <c:v>7.2800000000000009E-3</c:v>
                </c:pt>
                <c:pt idx="29">
                  <c:v>7.7900000000000009E-3</c:v>
                </c:pt>
              </c:numCache>
            </c:numRef>
          </c:cat>
          <c:val>
            <c:numRef>
              <c:f>'Sta_Cu '!$U$110:$U$139</c:f>
              <c:numCache>
                <c:formatCode>General</c:formatCode>
                <c:ptCount val="30"/>
                <c:pt idx="0">
                  <c:v>3.0722679916363642</c:v>
                </c:pt>
                <c:pt idx="1">
                  <c:v>4.0751229688892474</c:v>
                </c:pt>
                <c:pt idx="2">
                  <c:v>5.338438070863976</c:v>
                </c:pt>
                <c:pt idx="3">
                  <c:v>6.9068427470816296</c:v>
                </c:pt>
                <c:pt idx="4">
                  <c:v>8.8254487233984946</c:v>
                </c:pt>
                <c:pt idx="5">
                  <c:v>11.137453204876431</c:v>
                </c:pt>
                <c:pt idx="6">
                  <c:v>13.881195065217497</c:v>
                </c:pt>
                <c:pt idx="7">
                  <c:v>17.086758866588234</c:v>
                </c:pt>
                <c:pt idx="8">
                  <c:v>20.772290737646042</c:v>
                </c:pt>
                <c:pt idx="9">
                  <c:v>24.94025921784424</c:v>
                </c:pt>
                <c:pt idx="10">
                  <c:v>29.573954615640226</c:v>
                </c:pt>
                <c:pt idx="11">
                  <c:v>34.634562787614875</c:v>
                </c:pt>
                <c:pt idx="12">
                  <c:v>40.059164376461908</c:v>
                </c:pt>
                <c:pt idx="13">
                  <c:v>45.759991009652204</c:v>
                </c:pt>
                <c:pt idx="14">
                  <c:v>51.625211473857661</c:v>
                </c:pt>
                <c:pt idx="15">
                  <c:v>57.521423542797713</c:v>
                </c:pt>
                <c:pt idx="16">
                  <c:v>63.297896189258473</c:v>
                </c:pt>
                <c:pt idx="17">
                  <c:v>68.792452813841408</c:v>
                </c:pt>
                <c:pt idx="18">
                  <c:v>73.838723819030591</c:v>
                </c:pt>
                <c:pt idx="19">
                  <c:v>78.274344249639171</c:v>
                </c:pt>
                <c:pt idx="20">
                  <c:v>81.949547987068627</c:v>
                </c:pt>
                <c:pt idx="21">
                  <c:v>84.735531031270483</c:v>
                </c:pt>
                <c:pt idx="22">
                  <c:v>86.531935337348671</c:v>
                </c:pt>
                <c:pt idx="23">
                  <c:v>87.272847707806761</c:v>
                </c:pt>
                <c:pt idx="24">
                  <c:v>86.930813919150623</c:v>
                </c:pt>
                <c:pt idx="25">
                  <c:v>85.518527248179538</c:v>
                </c:pt>
                <c:pt idx="26">
                  <c:v>83.088046605296569</c:v>
                </c:pt>
                <c:pt idx="27">
                  <c:v>79.727611422306467</c:v>
                </c:pt>
                <c:pt idx="28">
                  <c:v>75.556324998411569</c:v>
                </c:pt>
                <c:pt idx="29">
                  <c:v>70.717152886783623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AF7-8AF4-BAC9D7FBD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773-4AF7-8AF4-BAC9D7FBDCD4}"/>
              </c:ext>
            </c:extLst>
          </c:dPt>
          <c:cat>
            <c:numRef>
              <c:f>[2]Sta_Cu!$U$85:$U$114</c:f>
              <c:numCache>
                <c:formatCode>General</c:formatCode>
                <c:ptCount val="30"/>
                <c:pt idx="0">
                  <c:v>-7.0000000000000001E-3</c:v>
                </c:pt>
                <c:pt idx="1">
                  <c:v>-6.4900000000000001E-3</c:v>
                </c:pt>
                <c:pt idx="2">
                  <c:v>-5.9800000000000001E-3</c:v>
                </c:pt>
                <c:pt idx="3">
                  <c:v>-5.47E-3</c:v>
                </c:pt>
                <c:pt idx="4">
                  <c:v>-4.96E-3</c:v>
                </c:pt>
                <c:pt idx="5">
                  <c:v>-4.45E-3</c:v>
                </c:pt>
                <c:pt idx="6">
                  <c:v>-3.9399999999999999E-3</c:v>
                </c:pt>
                <c:pt idx="7">
                  <c:v>-3.4299999999999999E-3</c:v>
                </c:pt>
                <c:pt idx="8">
                  <c:v>-2.9199999999999999E-3</c:v>
                </c:pt>
                <c:pt idx="9">
                  <c:v>-2.4099999999999998E-3</c:v>
                </c:pt>
                <c:pt idx="10">
                  <c:v>-1.8999999999999998E-3</c:v>
                </c:pt>
                <c:pt idx="11">
                  <c:v>-1.3899999999999997E-3</c:v>
                </c:pt>
                <c:pt idx="12">
                  <c:v>-8.7999999999999971E-4</c:v>
                </c:pt>
                <c:pt idx="13">
                  <c:v>-3.6999999999999967E-4</c:v>
                </c:pt>
                <c:pt idx="14">
                  <c:v>1.4000000000000037E-4</c:v>
                </c:pt>
                <c:pt idx="15">
                  <c:v>6.500000000000004E-4</c:v>
                </c:pt>
                <c:pt idx="16">
                  <c:v>1.1600000000000004E-3</c:v>
                </c:pt>
                <c:pt idx="17">
                  <c:v>1.6700000000000005E-3</c:v>
                </c:pt>
                <c:pt idx="18">
                  <c:v>2.1800000000000005E-3</c:v>
                </c:pt>
                <c:pt idx="19">
                  <c:v>2.6900000000000006E-3</c:v>
                </c:pt>
                <c:pt idx="20">
                  <c:v>3.2000000000000006E-3</c:v>
                </c:pt>
                <c:pt idx="21">
                  <c:v>3.7100000000000006E-3</c:v>
                </c:pt>
                <c:pt idx="22">
                  <c:v>4.2200000000000007E-3</c:v>
                </c:pt>
                <c:pt idx="23">
                  <c:v>4.7300000000000007E-3</c:v>
                </c:pt>
                <c:pt idx="24">
                  <c:v>5.2400000000000007E-3</c:v>
                </c:pt>
                <c:pt idx="25">
                  <c:v>5.7500000000000008E-3</c:v>
                </c:pt>
                <c:pt idx="26">
                  <c:v>6.2600000000000008E-3</c:v>
                </c:pt>
                <c:pt idx="27">
                  <c:v>6.7700000000000008E-3</c:v>
                </c:pt>
                <c:pt idx="28">
                  <c:v>7.2800000000000009E-3</c:v>
                </c:pt>
                <c:pt idx="29">
                  <c:v>7.7900000000000009E-3</c:v>
                </c:pt>
              </c:numCache>
            </c:numRef>
          </c:cat>
          <c:val>
            <c:numRef>
              <c:f>'Sta_Cu '!$U$144:$U$173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73-4AF7-8AF4-BAC9D7FBD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(%Cu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[2]Sta_Cu!$O$85:$O$114</c:f>
              <c:numCache>
                <c:formatCode>General</c:formatCode>
                <c:ptCount val="30"/>
                <c:pt idx="0">
                  <c:v>2.5000000000000001E-2</c:v>
                </c:pt>
                <c:pt idx="1">
                  <c:v>2.75E-2</c:v>
                </c:pt>
                <c:pt idx="2">
                  <c:v>0.03</c:v>
                </c:pt>
                <c:pt idx="3">
                  <c:v>3.2500000000000001E-2</c:v>
                </c:pt>
                <c:pt idx="4">
                  <c:v>3.5000000000000003E-2</c:v>
                </c:pt>
                <c:pt idx="5">
                  <c:v>3.7500000000000006E-2</c:v>
                </c:pt>
                <c:pt idx="6">
                  <c:v>4.0000000000000008E-2</c:v>
                </c:pt>
                <c:pt idx="7">
                  <c:v>4.250000000000001E-2</c:v>
                </c:pt>
                <c:pt idx="8">
                  <c:v>4.5000000000000012E-2</c:v>
                </c:pt>
                <c:pt idx="9">
                  <c:v>4.7500000000000014E-2</c:v>
                </c:pt>
                <c:pt idx="10">
                  <c:v>5.0000000000000017E-2</c:v>
                </c:pt>
                <c:pt idx="11">
                  <c:v>5.2500000000000019E-2</c:v>
                </c:pt>
                <c:pt idx="12">
                  <c:v>5.5000000000000021E-2</c:v>
                </c:pt>
                <c:pt idx="13">
                  <c:v>5.7500000000000023E-2</c:v>
                </c:pt>
                <c:pt idx="14">
                  <c:v>6.0000000000000026E-2</c:v>
                </c:pt>
                <c:pt idx="15">
                  <c:v>6.2500000000000028E-2</c:v>
                </c:pt>
                <c:pt idx="16">
                  <c:v>6.500000000000003E-2</c:v>
                </c:pt>
                <c:pt idx="17">
                  <c:v>6.7500000000000032E-2</c:v>
                </c:pt>
                <c:pt idx="18">
                  <c:v>7.0000000000000034E-2</c:v>
                </c:pt>
                <c:pt idx="19">
                  <c:v>7.2500000000000037E-2</c:v>
                </c:pt>
                <c:pt idx="20">
                  <c:v>7.5000000000000039E-2</c:v>
                </c:pt>
                <c:pt idx="21">
                  <c:v>7.7500000000000041E-2</c:v>
                </c:pt>
                <c:pt idx="22">
                  <c:v>8.0000000000000043E-2</c:v>
                </c:pt>
                <c:pt idx="23">
                  <c:v>8.2500000000000046E-2</c:v>
                </c:pt>
                <c:pt idx="24">
                  <c:v>8.5000000000000048E-2</c:v>
                </c:pt>
                <c:pt idx="25">
                  <c:v>8.750000000000005E-2</c:v>
                </c:pt>
                <c:pt idx="26">
                  <c:v>9.0000000000000052E-2</c:v>
                </c:pt>
                <c:pt idx="27">
                  <c:v>9.2500000000000054E-2</c:v>
                </c:pt>
                <c:pt idx="28">
                  <c:v>9.5000000000000057E-2</c:v>
                </c:pt>
                <c:pt idx="29">
                  <c:v>9.7500000000000059E-2</c:v>
                </c:pt>
              </c:numCache>
            </c:numRef>
          </c:cat>
          <c:val>
            <c:numRef>
              <c:f>'Sta_Cu '!$BA$110:$BA$139</c:f>
              <c:numCache>
                <c:formatCode>General</c:formatCode>
                <c:ptCount val="30"/>
                <c:pt idx="0">
                  <c:v>3.7534660642691877</c:v>
                </c:pt>
                <c:pt idx="1">
                  <c:v>6.2538776525578976</c:v>
                </c:pt>
                <c:pt idx="2">
                  <c:v>9.7922919981042078</c:v>
                </c:pt>
                <c:pt idx="3">
                  <c:v>14.409118650061956</c:v>
                </c:pt>
                <c:pt idx="4">
                  <c:v>19.925469681462793</c:v>
                </c:pt>
                <c:pt idx="5">
                  <c:v>25.893920171194182</c:v>
                </c:pt>
                <c:pt idx="6">
                  <c:v>31.623150126896551</c:v>
                </c:pt>
                <c:pt idx="7">
                  <c:v>36.293641283483439</c:v>
                </c:pt>
                <c:pt idx="8">
                  <c:v>39.144796775551121</c:v>
                </c:pt>
                <c:pt idx="9">
                  <c:v>39.676707934051436</c:v>
                </c:pt>
                <c:pt idx="10">
                  <c:v>37.793342742313477</c:v>
                </c:pt>
                <c:pt idx="11">
                  <c:v>33.830862429819994</c:v>
                </c:pt>
                <c:pt idx="12">
                  <c:v>28.459608391067984</c:v>
                </c:pt>
                <c:pt idx="13">
                  <c:v>22.498981475061129</c:v>
                </c:pt>
                <c:pt idx="14">
                  <c:v>16.715327267933194</c:v>
                </c:pt>
                <c:pt idx="15">
                  <c:v>11.670380004601048</c:v>
                </c:pt>
                <c:pt idx="16">
                  <c:v>7.6572565613749655</c:v>
                </c:pt>
                <c:pt idx="17">
                  <c:v>4.7214944920233233</c:v>
                </c:pt>
                <c:pt idx="18">
                  <c:v>2.7359229578812445</c:v>
                </c:pt>
                <c:pt idx="19">
                  <c:v>1.4898629755167814</c:v>
                </c:pt>
                <c:pt idx="20">
                  <c:v>0.76244211817436136</c:v>
                </c:pt>
                <c:pt idx="21">
                  <c:v>0.36667856104054525</c:v>
                </c:pt>
                <c:pt idx="22">
                  <c:v>0.16572279341884238</c:v>
                </c:pt>
                <c:pt idx="23">
                  <c:v>7.0387746217211791E-2</c:v>
                </c:pt>
                <c:pt idx="24">
                  <c:v>2.8095059843993676E-2</c:v>
                </c:pt>
                <c:pt idx="25">
                  <c:v>1.0538552201451636E-2</c:v>
                </c:pt>
                <c:pt idx="26">
                  <c:v>3.7149248118709503E-3</c:v>
                </c:pt>
                <c:pt idx="27">
                  <c:v>1.2306574726173238E-3</c:v>
                </c:pt>
                <c:pt idx="28">
                  <c:v>3.8312672347324048E-4</c:v>
                </c:pt>
                <c:pt idx="29">
                  <c:v>1.120897203198947E-4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1-4C19-A0AB-BA3E94EE0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11-4C19-A0AB-BA3E94EE032A}"/>
              </c:ext>
            </c:extLst>
          </c:dPt>
          <c:cat>
            <c:numRef>
              <c:f>[2]Sta_Cu!$BA$85:$BA$114</c:f>
              <c:numCache>
                <c:formatCode>General</c:formatCode>
                <c:ptCount val="30"/>
                <c:pt idx="0">
                  <c:v>2.5000000000000001E-2</c:v>
                </c:pt>
                <c:pt idx="1">
                  <c:v>2.75E-2</c:v>
                </c:pt>
                <c:pt idx="2">
                  <c:v>0.03</c:v>
                </c:pt>
                <c:pt idx="3">
                  <c:v>3.2500000000000001E-2</c:v>
                </c:pt>
                <c:pt idx="4">
                  <c:v>3.5000000000000003E-2</c:v>
                </c:pt>
                <c:pt idx="5">
                  <c:v>3.7500000000000006E-2</c:v>
                </c:pt>
                <c:pt idx="6">
                  <c:v>4.0000000000000008E-2</c:v>
                </c:pt>
                <c:pt idx="7">
                  <c:v>4.250000000000001E-2</c:v>
                </c:pt>
                <c:pt idx="8">
                  <c:v>4.5000000000000012E-2</c:v>
                </c:pt>
                <c:pt idx="9">
                  <c:v>4.7500000000000014E-2</c:v>
                </c:pt>
                <c:pt idx="10">
                  <c:v>5.0000000000000017E-2</c:v>
                </c:pt>
                <c:pt idx="11">
                  <c:v>5.2500000000000019E-2</c:v>
                </c:pt>
                <c:pt idx="12">
                  <c:v>5.5000000000000021E-2</c:v>
                </c:pt>
                <c:pt idx="13">
                  <c:v>5.7500000000000023E-2</c:v>
                </c:pt>
                <c:pt idx="14">
                  <c:v>6.0000000000000026E-2</c:v>
                </c:pt>
                <c:pt idx="15">
                  <c:v>6.2500000000000028E-2</c:v>
                </c:pt>
                <c:pt idx="16">
                  <c:v>6.500000000000003E-2</c:v>
                </c:pt>
                <c:pt idx="17">
                  <c:v>6.7500000000000032E-2</c:v>
                </c:pt>
                <c:pt idx="18">
                  <c:v>7.0000000000000034E-2</c:v>
                </c:pt>
                <c:pt idx="19">
                  <c:v>7.2500000000000037E-2</c:v>
                </c:pt>
                <c:pt idx="20">
                  <c:v>7.5000000000000039E-2</c:v>
                </c:pt>
                <c:pt idx="21">
                  <c:v>7.7500000000000041E-2</c:v>
                </c:pt>
                <c:pt idx="22">
                  <c:v>8.0000000000000043E-2</c:v>
                </c:pt>
                <c:pt idx="23">
                  <c:v>8.2500000000000046E-2</c:v>
                </c:pt>
                <c:pt idx="24">
                  <c:v>8.5000000000000048E-2</c:v>
                </c:pt>
                <c:pt idx="25">
                  <c:v>8.750000000000005E-2</c:v>
                </c:pt>
                <c:pt idx="26">
                  <c:v>9.0000000000000052E-2</c:v>
                </c:pt>
                <c:pt idx="27">
                  <c:v>9.2500000000000054E-2</c:v>
                </c:pt>
                <c:pt idx="28">
                  <c:v>9.5000000000000057E-2</c:v>
                </c:pt>
                <c:pt idx="29">
                  <c:v>9.7500000000000059E-2</c:v>
                </c:pt>
              </c:numCache>
            </c:numRef>
          </c:cat>
          <c:val>
            <c:numRef>
              <c:f>'Sta_Cu '!$BA$144:$BA$173</c:f>
              <c:numCache>
                <c:formatCode>General</c:formatCode>
                <c:ptCount val="30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1-4C19-A0AB-BA3E94EE0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(%Cu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[2]Sta_Cu!$P$85:$P$114</c:f>
              <c:numCache>
                <c:formatCode>General</c:formatCode>
                <c:ptCount val="30"/>
                <c:pt idx="0">
                  <c:v>1.4999999999999999E-2</c:v>
                </c:pt>
                <c:pt idx="1">
                  <c:v>1.7999999999999999E-2</c:v>
                </c:pt>
                <c:pt idx="2">
                  <c:v>2.0999999999999998E-2</c:v>
                </c:pt>
                <c:pt idx="3">
                  <c:v>2.3999999999999997E-2</c:v>
                </c:pt>
                <c:pt idx="4">
                  <c:v>2.6999999999999996E-2</c:v>
                </c:pt>
                <c:pt idx="5">
                  <c:v>2.9999999999999995E-2</c:v>
                </c:pt>
                <c:pt idx="6">
                  <c:v>3.2999999999999995E-2</c:v>
                </c:pt>
                <c:pt idx="7">
                  <c:v>3.5999999999999997E-2</c:v>
                </c:pt>
                <c:pt idx="8">
                  <c:v>3.9E-2</c:v>
                </c:pt>
                <c:pt idx="9">
                  <c:v>4.2000000000000003E-2</c:v>
                </c:pt>
                <c:pt idx="10">
                  <c:v>4.5000000000000005E-2</c:v>
                </c:pt>
                <c:pt idx="11">
                  <c:v>4.8000000000000008E-2</c:v>
                </c:pt>
                <c:pt idx="12">
                  <c:v>5.1000000000000011E-2</c:v>
                </c:pt>
                <c:pt idx="13">
                  <c:v>5.4000000000000013E-2</c:v>
                </c:pt>
                <c:pt idx="14">
                  <c:v>5.7000000000000016E-2</c:v>
                </c:pt>
                <c:pt idx="15">
                  <c:v>6.0000000000000019E-2</c:v>
                </c:pt>
                <c:pt idx="16">
                  <c:v>6.3000000000000014E-2</c:v>
                </c:pt>
                <c:pt idx="17">
                  <c:v>6.6000000000000017E-2</c:v>
                </c:pt>
                <c:pt idx="18">
                  <c:v>6.900000000000002E-2</c:v>
                </c:pt>
                <c:pt idx="19">
                  <c:v>7.2000000000000022E-2</c:v>
                </c:pt>
                <c:pt idx="20">
                  <c:v>7.5000000000000025E-2</c:v>
                </c:pt>
                <c:pt idx="21">
                  <c:v>7.8000000000000028E-2</c:v>
                </c:pt>
                <c:pt idx="22">
                  <c:v>8.100000000000003E-2</c:v>
                </c:pt>
                <c:pt idx="23">
                  <c:v>8.4000000000000033E-2</c:v>
                </c:pt>
                <c:pt idx="24">
                  <c:v>8.7000000000000036E-2</c:v>
                </c:pt>
                <c:pt idx="25">
                  <c:v>9.0000000000000038E-2</c:v>
                </c:pt>
                <c:pt idx="26">
                  <c:v>9.3000000000000041E-2</c:v>
                </c:pt>
                <c:pt idx="27">
                  <c:v>9.6000000000000044E-2</c:v>
                </c:pt>
                <c:pt idx="28">
                  <c:v>9.9000000000000046E-2</c:v>
                </c:pt>
                <c:pt idx="29">
                  <c:v>0.10200000000000005</c:v>
                </c:pt>
              </c:numCache>
            </c:numRef>
          </c:cat>
          <c:val>
            <c:numRef>
              <c:f>'Sta_Cu '!$BB$110:$BB$139</c:f>
              <c:numCache>
                <c:formatCode>General</c:formatCode>
                <c:ptCount val="30"/>
                <c:pt idx="0">
                  <c:v>0.12574308462402256</c:v>
                </c:pt>
                <c:pt idx="1">
                  <c:v>0.33101001851251161</c:v>
                </c:pt>
                <c:pt idx="2">
                  <c:v>0.7971102804801431</c:v>
                </c:pt>
                <c:pt idx="3">
                  <c:v>1.755965283080422</c:v>
                </c:pt>
                <c:pt idx="4">
                  <c:v>3.5386180085862868</c:v>
                </c:pt>
                <c:pt idx="5">
                  <c:v>6.5233650818124778</c:v>
                </c:pt>
                <c:pt idx="6">
                  <c:v>11.000943368285094</c:v>
                </c:pt>
                <c:pt idx="7">
                  <c:v>16.971038414685111</c:v>
                </c:pt>
                <c:pt idx="8">
                  <c:v>23.950089857800439</c:v>
                </c:pt>
                <c:pt idx="9">
                  <c:v>30.919048533679856</c:v>
                </c:pt>
                <c:pt idx="10">
                  <c:v>36.514498301834294</c:v>
                </c:pt>
                <c:pt idx="11">
                  <c:v>39.447982607713044</c:v>
                </c:pt>
                <c:pt idx="12">
                  <c:v>38.985625024039486</c:v>
                </c:pt>
                <c:pt idx="13">
                  <c:v>35.245562631795579</c:v>
                </c:pt>
                <c:pt idx="14">
                  <c:v>29.1490655740857</c:v>
                </c:pt>
                <c:pt idx="15">
                  <c:v>22.052867591252841</c:v>
                </c:pt>
                <c:pt idx="16">
                  <c:v>15.262502417232989</c:v>
                </c:pt>
                <c:pt idx="17">
                  <c:v>9.6628817463695071</c:v>
                </c:pt>
                <c:pt idx="18">
                  <c:v>5.5963881306437457</c:v>
                </c:pt>
                <c:pt idx="19">
                  <c:v>2.9650309571812441</c:v>
                </c:pt>
                <c:pt idx="20">
                  <c:v>1.4370466959534436</c:v>
                </c:pt>
                <c:pt idx="21">
                  <c:v>0.63713692043210091</c:v>
                </c:pt>
                <c:pt idx="22">
                  <c:v>0.25841332654253446</c:v>
                </c:pt>
                <c:pt idx="23">
                  <c:v>9.5877628769480958E-2</c:v>
                </c:pt>
                <c:pt idx="24">
                  <c:v>3.2541675164748103E-2</c:v>
                </c:pt>
                <c:pt idx="25">
                  <c:v>1.0103754138935873E-2</c:v>
                </c:pt>
                <c:pt idx="26">
                  <c:v>2.869761976306894E-3</c:v>
                </c:pt>
                <c:pt idx="27">
                  <c:v>7.4564005087642124E-4</c:v>
                </c:pt>
                <c:pt idx="28">
                  <c:v>1.7722819769247386E-4</c:v>
                </c:pt>
                <c:pt idx="29">
                  <c:v>3.8535114850071974E-5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6-4166-B637-F41D359DA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E6-4166-B637-F41D359DA631}"/>
              </c:ext>
            </c:extLst>
          </c:dPt>
          <c:cat>
            <c:numRef>
              <c:f>[2]Sta_Cu!$BB$85:$BB$114</c:f>
              <c:numCache>
                <c:formatCode>General</c:formatCode>
                <c:ptCount val="30"/>
                <c:pt idx="0">
                  <c:v>1.4999999999999999E-2</c:v>
                </c:pt>
                <c:pt idx="1">
                  <c:v>1.7999999999999999E-2</c:v>
                </c:pt>
                <c:pt idx="2">
                  <c:v>2.0999999999999998E-2</c:v>
                </c:pt>
                <c:pt idx="3">
                  <c:v>2.3999999999999997E-2</c:v>
                </c:pt>
                <c:pt idx="4">
                  <c:v>2.6999999999999996E-2</c:v>
                </c:pt>
                <c:pt idx="5">
                  <c:v>2.9999999999999995E-2</c:v>
                </c:pt>
                <c:pt idx="6">
                  <c:v>3.2999999999999995E-2</c:v>
                </c:pt>
                <c:pt idx="7">
                  <c:v>3.5999999999999997E-2</c:v>
                </c:pt>
                <c:pt idx="8">
                  <c:v>3.9E-2</c:v>
                </c:pt>
                <c:pt idx="9">
                  <c:v>4.2000000000000003E-2</c:v>
                </c:pt>
                <c:pt idx="10">
                  <c:v>4.5000000000000005E-2</c:v>
                </c:pt>
                <c:pt idx="11">
                  <c:v>4.8000000000000008E-2</c:v>
                </c:pt>
                <c:pt idx="12">
                  <c:v>5.1000000000000011E-2</c:v>
                </c:pt>
                <c:pt idx="13">
                  <c:v>5.4000000000000013E-2</c:v>
                </c:pt>
                <c:pt idx="14">
                  <c:v>5.7000000000000016E-2</c:v>
                </c:pt>
                <c:pt idx="15">
                  <c:v>6.0000000000000019E-2</c:v>
                </c:pt>
                <c:pt idx="16">
                  <c:v>6.3000000000000014E-2</c:v>
                </c:pt>
                <c:pt idx="17">
                  <c:v>6.6000000000000017E-2</c:v>
                </c:pt>
                <c:pt idx="18">
                  <c:v>6.900000000000002E-2</c:v>
                </c:pt>
                <c:pt idx="19">
                  <c:v>7.2000000000000022E-2</c:v>
                </c:pt>
                <c:pt idx="20">
                  <c:v>7.5000000000000025E-2</c:v>
                </c:pt>
                <c:pt idx="21">
                  <c:v>7.8000000000000028E-2</c:v>
                </c:pt>
                <c:pt idx="22">
                  <c:v>8.100000000000003E-2</c:v>
                </c:pt>
                <c:pt idx="23">
                  <c:v>8.4000000000000033E-2</c:v>
                </c:pt>
                <c:pt idx="24">
                  <c:v>8.7000000000000036E-2</c:v>
                </c:pt>
                <c:pt idx="25">
                  <c:v>9.0000000000000038E-2</c:v>
                </c:pt>
                <c:pt idx="26">
                  <c:v>9.3000000000000041E-2</c:v>
                </c:pt>
                <c:pt idx="27">
                  <c:v>9.6000000000000044E-2</c:v>
                </c:pt>
                <c:pt idx="28">
                  <c:v>9.9000000000000046E-2</c:v>
                </c:pt>
                <c:pt idx="29">
                  <c:v>0.10200000000000005</c:v>
                </c:pt>
              </c:numCache>
            </c:numRef>
          </c:cat>
          <c:val>
            <c:numRef>
              <c:f>'Sta_Cu '!$BB$144:$BB$173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E6-4166-B637-F41D359DA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(%Cu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[2]Sta_Cu!$Q$85:$Q$114</c:f>
              <c:numCache>
                <c:formatCode>General</c:formatCode>
                <c:ptCount val="30"/>
                <c:pt idx="0">
                  <c:v>-4.4999999999999998E-2</c:v>
                </c:pt>
                <c:pt idx="1">
                  <c:v>-4.2099999999999999E-2</c:v>
                </c:pt>
                <c:pt idx="2">
                  <c:v>-3.9199999999999999E-2</c:v>
                </c:pt>
                <c:pt idx="3">
                  <c:v>-3.6299999999999999E-2</c:v>
                </c:pt>
                <c:pt idx="4">
                  <c:v>-3.3399999999999999E-2</c:v>
                </c:pt>
                <c:pt idx="5">
                  <c:v>-3.0499999999999999E-2</c:v>
                </c:pt>
                <c:pt idx="6">
                  <c:v>-2.76E-2</c:v>
                </c:pt>
                <c:pt idx="7">
                  <c:v>-2.47E-2</c:v>
                </c:pt>
                <c:pt idx="8">
                  <c:v>-2.18E-2</c:v>
                </c:pt>
                <c:pt idx="9">
                  <c:v>-1.89E-2</c:v>
                </c:pt>
                <c:pt idx="10">
                  <c:v>-1.6E-2</c:v>
                </c:pt>
                <c:pt idx="11">
                  <c:v>-1.3100000000000001E-2</c:v>
                </c:pt>
                <c:pt idx="12">
                  <c:v>-1.0200000000000001E-2</c:v>
                </c:pt>
                <c:pt idx="13">
                  <c:v>-7.3000000000000009E-3</c:v>
                </c:pt>
                <c:pt idx="14">
                  <c:v>-4.4000000000000011E-3</c:v>
                </c:pt>
                <c:pt idx="15">
                  <c:v>-1.5000000000000013E-3</c:v>
                </c:pt>
                <c:pt idx="16">
                  <c:v>1.3999999999999985E-3</c:v>
                </c:pt>
                <c:pt idx="17">
                  <c:v>4.2999999999999983E-3</c:v>
                </c:pt>
                <c:pt idx="18">
                  <c:v>7.1999999999999981E-3</c:v>
                </c:pt>
                <c:pt idx="19">
                  <c:v>1.0099999999999998E-2</c:v>
                </c:pt>
                <c:pt idx="20">
                  <c:v>1.2999999999999998E-2</c:v>
                </c:pt>
                <c:pt idx="21">
                  <c:v>1.5899999999999997E-2</c:v>
                </c:pt>
                <c:pt idx="22">
                  <c:v>1.8799999999999997E-2</c:v>
                </c:pt>
                <c:pt idx="23">
                  <c:v>2.1699999999999997E-2</c:v>
                </c:pt>
                <c:pt idx="24">
                  <c:v>2.4599999999999997E-2</c:v>
                </c:pt>
                <c:pt idx="25">
                  <c:v>2.7499999999999997E-2</c:v>
                </c:pt>
                <c:pt idx="26">
                  <c:v>3.0399999999999996E-2</c:v>
                </c:pt>
                <c:pt idx="27">
                  <c:v>3.3299999999999996E-2</c:v>
                </c:pt>
                <c:pt idx="28">
                  <c:v>3.6199999999999996E-2</c:v>
                </c:pt>
                <c:pt idx="29">
                  <c:v>3.9099999999999996E-2</c:v>
                </c:pt>
              </c:numCache>
            </c:numRef>
          </c:cat>
          <c:val>
            <c:numRef>
              <c:f>'Sta_Cu '!$BC$110:$BC$139</c:f>
              <c:numCache>
                <c:formatCode>General</c:formatCode>
                <c:ptCount val="30"/>
                <c:pt idx="0">
                  <c:v>2.1083849554513791E-3</c:v>
                </c:pt>
                <c:pt idx="1">
                  <c:v>7.7200967806918801E-3</c:v>
                </c:pt>
                <c:pt idx="2">
                  <c:v>2.5802292114986379E-2</c:v>
                </c:pt>
                <c:pt idx="3">
                  <c:v>7.8714825565337376E-2</c:v>
                </c:pt>
                <c:pt idx="4">
                  <c:v>0.21918836333345507</c:v>
                </c:pt>
                <c:pt idx="5">
                  <c:v>0.55711026040568867</c:v>
                </c:pt>
                <c:pt idx="6">
                  <c:v>1.292490997984042</c:v>
                </c:pt>
                <c:pt idx="7">
                  <c:v>2.7370113835592238</c:v>
                </c:pt>
                <c:pt idx="8">
                  <c:v>5.2903985075120001</c:v>
                </c:pt>
                <c:pt idx="9">
                  <c:v>9.3338942769436066</c:v>
                </c:pt>
                <c:pt idx="10">
                  <c:v>15.031422236423564</c:v>
                </c:pt>
                <c:pt idx="11">
                  <c:v>22.095303845157673</c:v>
                </c:pt>
                <c:pt idx="12">
                  <c:v>29.645760018613085</c:v>
                </c:pt>
                <c:pt idx="13">
                  <c:v>36.30679440792391</c:v>
                </c:pt>
                <c:pt idx="14">
                  <c:v>40.58596999882694</c:v>
                </c:pt>
                <c:pt idx="15">
                  <c:v>41.412043430239464</c:v>
                </c:pt>
                <c:pt idx="16">
                  <c:v>38.569152709767408</c:v>
                </c:pt>
                <c:pt idx="17">
                  <c:v>32.788099373730269</c:v>
                </c:pt>
                <c:pt idx="18">
                  <c:v>25.442225277349234</c:v>
                </c:pt>
                <c:pt idx="19">
                  <c:v>18.020077381231015</c:v>
                </c:pt>
                <c:pt idx="20">
                  <c:v>11.649865628739942</c:v>
                </c:pt>
                <c:pt idx="21">
                  <c:v>6.8746071834256108</c:v>
                </c:pt>
                <c:pt idx="22">
                  <c:v>3.7028623306590163</c:v>
                </c:pt>
                <c:pt idx="23">
                  <c:v>1.8204969283998553</c:v>
                </c:pt>
                <c:pt idx="24">
                  <c:v>0.81696799296221834</c:v>
                </c:pt>
                <c:pt idx="25">
                  <c:v>0.33464384420656823</c:v>
                </c:pt>
                <c:pt idx="26">
                  <c:v>0.12511902333985001</c:v>
                </c:pt>
                <c:pt idx="27">
                  <c:v>4.2699870470809337E-2</c:v>
                </c:pt>
                <c:pt idx="28">
                  <c:v>1.3301250614840405E-2</c:v>
                </c:pt>
                <c:pt idx="29">
                  <c:v>3.7819963180674323E-3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9-41F2-87D2-DB0B9C791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839-41F2-87D2-DB0B9C791D72}"/>
              </c:ext>
            </c:extLst>
          </c:dPt>
          <c:cat>
            <c:numRef>
              <c:f>[2]Sta_Cu!$BC$85:$BC$114</c:f>
              <c:numCache>
                <c:formatCode>General</c:formatCode>
                <c:ptCount val="30"/>
                <c:pt idx="0">
                  <c:v>-4.4999999999999998E-2</c:v>
                </c:pt>
                <c:pt idx="1">
                  <c:v>-4.2099999999999999E-2</c:v>
                </c:pt>
                <c:pt idx="2">
                  <c:v>-3.9199999999999999E-2</c:v>
                </c:pt>
                <c:pt idx="3">
                  <c:v>-3.6299999999999999E-2</c:v>
                </c:pt>
                <c:pt idx="4">
                  <c:v>-3.3399999999999999E-2</c:v>
                </c:pt>
                <c:pt idx="5">
                  <c:v>-3.0499999999999999E-2</c:v>
                </c:pt>
                <c:pt idx="6">
                  <c:v>-2.76E-2</c:v>
                </c:pt>
                <c:pt idx="7">
                  <c:v>-2.47E-2</c:v>
                </c:pt>
                <c:pt idx="8">
                  <c:v>-2.18E-2</c:v>
                </c:pt>
                <c:pt idx="9">
                  <c:v>-1.89E-2</c:v>
                </c:pt>
                <c:pt idx="10">
                  <c:v>-1.6E-2</c:v>
                </c:pt>
                <c:pt idx="11">
                  <c:v>-1.3100000000000001E-2</c:v>
                </c:pt>
                <c:pt idx="12">
                  <c:v>-1.0200000000000001E-2</c:v>
                </c:pt>
                <c:pt idx="13">
                  <c:v>-7.3000000000000009E-3</c:v>
                </c:pt>
                <c:pt idx="14">
                  <c:v>-4.4000000000000011E-3</c:v>
                </c:pt>
                <c:pt idx="15">
                  <c:v>-1.5000000000000013E-3</c:v>
                </c:pt>
                <c:pt idx="16">
                  <c:v>1.3999999999999985E-3</c:v>
                </c:pt>
                <c:pt idx="17">
                  <c:v>4.2999999999999983E-3</c:v>
                </c:pt>
                <c:pt idx="18">
                  <c:v>7.1999999999999981E-3</c:v>
                </c:pt>
                <c:pt idx="19">
                  <c:v>1.0099999999999998E-2</c:v>
                </c:pt>
                <c:pt idx="20">
                  <c:v>1.2999999999999998E-2</c:v>
                </c:pt>
                <c:pt idx="21">
                  <c:v>1.5899999999999997E-2</c:v>
                </c:pt>
                <c:pt idx="22">
                  <c:v>1.8799999999999997E-2</c:v>
                </c:pt>
                <c:pt idx="23">
                  <c:v>2.1699999999999997E-2</c:v>
                </c:pt>
                <c:pt idx="24">
                  <c:v>2.4599999999999997E-2</c:v>
                </c:pt>
                <c:pt idx="25">
                  <c:v>2.7499999999999997E-2</c:v>
                </c:pt>
                <c:pt idx="26">
                  <c:v>3.0399999999999996E-2</c:v>
                </c:pt>
                <c:pt idx="27">
                  <c:v>3.3299999999999996E-2</c:v>
                </c:pt>
                <c:pt idx="28">
                  <c:v>3.6199999999999996E-2</c:v>
                </c:pt>
                <c:pt idx="29">
                  <c:v>3.9099999999999996E-2</c:v>
                </c:pt>
              </c:numCache>
            </c:numRef>
          </c:cat>
          <c:val>
            <c:numRef>
              <c:f>'Sta_Cu '!$BC$144:$BC$173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39-41F2-87D2-DB0B9C791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(%Fe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[2]Sta_Cu!$W$85:$W$114</c:f>
              <c:numCache>
                <c:formatCode>General</c:formatCode>
                <c:ptCount val="30"/>
                <c:pt idx="0">
                  <c:v>1</c:v>
                </c:pt>
                <c:pt idx="1">
                  <c:v>1.08</c:v>
                </c:pt>
                <c:pt idx="2">
                  <c:v>1.1600000000000001</c:v>
                </c:pt>
                <c:pt idx="3">
                  <c:v>1.2400000000000002</c:v>
                </c:pt>
                <c:pt idx="4">
                  <c:v>1.3200000000000003</c:v>
                </c:pt>
                <c:pt idx="5">
                  <c:v>1.4000000000000004</c:v>
                </c:pt>
                <c:pt idx="6">
                  <c:v>1.4800000000000004</c:v>
                </c:pt>
                <c:pt idx="7">
                  <c:v>1.5600000000000005</c:v>
                </c:pt>
                <c:pt idx="8">
                  <c:v>1.6400000000000006</c:v>
                </c:pt>
                <c:pt idx="9">
                  <c:v>1.7200000000000006</c:v>
                </c:pt>
                <c:pt idx="10">
                  <c:v>1.8000000000000007</c:v>
                </c:pt>
                <c:pt idx="11">
                  <c:v>1.8800000000000008</c:v>
                </c:pt>
                <c:pt idx="12">
                  <c:v>1.9600000000000009</c:v>
                </c:pt>
                <c:pt idx="13">
                  <c:v>2.0400000000000009</c:v>
                </c:pt>
                <c:pt idx="14">
                  <c:v>2.120000000000001</c:v>
                </c:pt>
                <c:pt idx="15">
                  <c:v>2.2000000000000011</c:v>
                </c:pt>
                <c:pt idx="16">
                  <c:v>2.2800000000000011</c:v>
                </c:pt>
                <c:pt idx="17">
                  <c:v>2.3600000000000012</c:v>
                </c:pt>
                <c:pt idx="18">
                  <c:v>2.4400000000000013</c:v>
                </c:pt>
                <c:pt idx="19">
                  <c:v>2.5200000000000014</c:v>
                </c:pt>
                <c:pt idx="20">
                  <c:v>2.6000000000000014</c:v>
                </c:pt>
                <c:pt idx="21">
                  <c:v>2.6800000000000015</c:v>
                </c:pt>
                <c:pt idx="22">
                  <c:v>2.7600000000000016</c:v>
                </c:pt>
                <c:pt idx="23">
                  <c:v>2.8400000000000016</c:v>
                </c:pt>
                <c:pt idx="24">
                  <c:v>2.9200000000000017</c:v>
                </c:pt>
                <c:pt idx="25">
                  <c:v>3.0000000000000018</c:v>
                </c:pt>
                <c:pt idx="26">
                  <c:v>3.0800000000000018</c:v>
                </c:pt>
                <c:pt idx="27">
                  <c:v>3.1600000000000019</c:v>
                </c:pt>
                <c:pt idx="28">
                  <c:v>3.240000000000002</c:v>
                </c:pt>
                <c:pt idx="29">
                  <c:v>3.3200000000000021</c:v>
                </c:pt>
              </c:numCache>
            </c:numRef>
          </c:cat>
          <c:val>
            <c:numRef>
              <c:f>'Sta_Cu '!$W$110:$W$139</c:f>
              <c:numCache>
                <c:formatCode>General</c:formatCode>
                <c:ptCount val="30"/>
                <c:pt idx="0">
                  <c:v>0.19097478584324679</c:v>
                </c:pt>
                <c:pt idx="1">
                  <c:v>0.22316639295300697</c:v>
                </c:pt>
                <c:pt idx="2">
                  <c:v>0.25759095676832172</c:v>
                </c:pt>
                <c:pt idx="3">
                  <c:v>0.29368481130022328</c:v>
                </c:pt>
                <c:pt idx="4">
                  <c:v>0.33073595957151114</c:v>
                </c:pt>
                <c:pt idx="5">
                  <c:v>0.36790052083226366</c:v>
                </c:pt>
                <c:pt idx="6">
                  <c:v>0.40422990981480011</c:v>
                </c:pt>
                <c:pt idx="7">
                  <c:v>0.43870798863810867</c:v>
                </c:pt>
                <c:pt idx="8">
                  <c:v>0.47029644589822039</c:v>
                </c:pt>
                <c:pt idx="9">
                  <c:v>0.49798573989492345</c:v>
                </c:pt>
                <c:pt idx="10">
                  <c:v>0.52084820592876357</c:v>
                </c:pt>
                <c:pt idx="11">
                  <c:v>0.5380894713636698</c:v>
                </c:pt>
                <c:pt idx="12">
                  <c:v>0.54909422008367426</c:v>
                </c:pt>
                <c:pt idx="13">
                  <c:v>0.55346263448343869</c:v>
                </c:pt>
                <c:pt idx="14">
                  <c:v>0.55103450641882423</c:v>
                </c:pt>
                <c:pt idx="15">
                  <c:v>0.54189898980389239</c:v>
                </c:pt>
                <c:pt idx="16">
                  <c:v>0.52638916707506511</c:v>
                </c:pt>
                <c:pt idx="17">
                  <c:v>0.50506189124555423</c:v>
                </c:pt>
                <c:pt idx="18">
                  <c:v>0.47866460453451193</c:v>
                </c:pt>
                <c:pt idx="19">
                  <c:v>0.44809189002128119</c:v>
                </c:pt>
                <c:pt idx="20">
                  <c:v>0.41433527506578466</c:v>
                </c:pt>
                <c:pt idx="21">
                  <c:v>0.37843020292364526</c:v>
                </c:pt>
                <c:pt idx="22">
                  <c:v>0.34140409658854537</c:v>
                </c:pt>
                <c:pt idx="23">
                  <c:v>0.30422907806777499</c:v>
                </c:pt>
                <c:pt idx="24">
                  <c:v>0.26778224033527764</c:v>
                </c:pt>
                <c:pt idx="25">
                  <c:v>0.23281549209203695</c:v>
                </c:pt>
                <c:pt idx="26">
                  <c:v>0.19993601746953804</c:v>
                </c:pt>
                <c:pt idx="27">
                  <c:v>0.16959742509330014</c:v>
                </c:pt>
                <c:pt idx="28">
                  <c:v>0.14210080147721929</c:v>
                </c:pt>
                <c:pt idx="29">
                  <c:v>0.11760420664864457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D-474F-BE14-7B71505D3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5AD-474F-BE14-7B71505D32C4}"/>
              </c:ext>
            </c:extLst>
          </c:dPt>
          <c:cat>
            <c:numRef>
              <c:f>[2]Sta_Cu!$W$85:$W$114</c:f>
              <c:numCache>
                <c:formatCode>General</c:formatCode>
                <c:ptCount val="30"/>
                <c:pt idx="0">
                  <c:v>1</c:v>
                </c:pt>
                <c:pt idx="1">
                  <c:v>1.08</c:v>
                </c:pt>
                <c:pt idx="2">
                  <c:v>1.1600000000000001</c:v>
                </c:pt>
                <c:pt idx="3">
                  <c:v>1.2400000000000002</c:v>
                </c:pt>
                <c:pt idx="4">
                  <c:v>1.3200000000000003</c:v>
                </c:pt>
                <c:pt idx="5">
                  <c:v>1.4000000000000004</c:v>
                </c:pt>
                <c:pt idx="6">
                  <c:v>1.4800000000000004</c:v>
                </c:pt>
                <c:pt idx="7">
                  <c:v>1.5600000000000005</c:v>
                </c:pt>
                <c:pt idx="8">
                  <c:v>1.6400000000000006</c:v>
                </c:pt>
                <c:pt idx="9">
                  <c:v>1.7200000000000006</c:v>
                </c:pt>
                <c:pt idx="10">
                  <c:v>1.8000000000000007</c:v>
                </c:pt>
                <c:pt idx="11">
                  <c:v>1.8800000000000008</c:v>
                </c:pt>
                <c:pt idx="12">
                  <c:v>1.9600000000000009</c:v>
                </c:pt>
                <c:pt idx="13">
                  <c:v>2.0400000000000009</c:v>
                </c:pt>
                <c:pt idx="14">
                  <c:v>2.120000000000001</c:v>
                </c:pt>
                <c:pt idx="15">
                  <c:v>2.2000000000000011</c:v>
                </c:pt>
                <c:pt idx="16">
                  <c:v>2.2800000000000011</c:v>
                </c:pt>
                <c:pt idx="17">
                  <c:v>2.3600000000000012</c:v>
                </c:pt>
                <c:pt idx="18">
                  <c:v>2.4400000000000013</c:v>
                </c:pt>
                <c:pt idx="19">
                  <c:v>2.5200000000000014</c:v>
                </c:pt>
                <c:pt idx="20">
                  <c:v>2.6000000000000014</c:v>
                </c:pt>
                <c:pt idx="21">
                  <c:v>2.6800000000000015</c:v>
                </c:pt>
                <c:pt idx="22">
                  <c:v>2.7600000000000016</c:v>
                </c:pt>
                <c:pt idx="23">
                  <c:v>2.8400000000000016</c:v>
                </c:pt>
                <c:pt idx="24">
                  <c:v>2.9200000000000017</c:v>
                </c:pt>
                <c:pt idx="25">
                  <c:v>3.0000000000000018</c:v>
                </c:pt>
                <c:pt idx="26">
                  <c:v>3.0800000000000018</c:v>
                </c:pt>
                <c:pt idx="27">
                  <c:v>3.1600000000000019</c:v>
                </c:pt>
                <c:pt idx="28">
                  <c:v>3.240000000000002</c:v>
                </c:pt>
                <c:pt idx="29">
                  <c:v>3.3200000000000021</c:v>
                </c:pt>
              </c:numCache>
            </c:numRef>
          </c:cat>
          <c:val>
            <c:numRef>
              <c:f>'Sta_Cu '!$W$144:$W$173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AD-474F-BE14-7B71505D3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(%Fe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[2]Sta_Cu!$X$85:$X$114</c:f>
              <c:numCache>
                <c:formatCode>General</c:formatCode>
                <c:ptCount val="30"/>
                <c:pt idx="0">
                  <c:v>1</c:v>
                </c:pt>
                <c:pt idx="1">
                  <c:v>1.07</c:v>
                </c:pt>
                <c:pt idx="2">
                  <c:v>1.1400000000000001</c:v>
                </c:pt>
                <c:pt idx="3">
                  <c:v>1.2100000000000002</c:v>
                </c:pt>
                <c:pt idx="4">
                  <c:v>1.2800000000000002</c:v>
                </c:pt>
                <c:pt idx="5">
                  <c:v>1.3500000000000003</c:v>
                </c:pt>
                <c:pt idx="6">
                  <c:v>1.4200000000000004</c:v>
                </c:pt>
                <c:pt idx="7">
                  <c:v>1.4900000000000004</c:v>
                </c:pt>
                <c:pt idx="8">
                  <c:v>1.5600000000000005</c:v>
                </c:pt>
                <c:pt idx="9">
                  <c:v>1.6300000000000006</c:v>
                </c:pt>
                <c:pt idx="10">
                  <c:v>1.7000000000000006</c:v>
                </c:pt>
                <c:pt idx="11">
                  <c:v>1.7700000000000007</c:v>
                </c:pt>
                <c:pt idx="12">
                  <c:v>1.8400000000000007</c:v>
                </c:pt>
                <c:pt idx="13">
                  <c:v>1.9100000000000008</c:v>
                </c:pt>
                <c:pt idx="14">
                  <c:v>1.9800000000000009</c:v>
                </c:pt>
                <c:pt idx="15">
                  <c:v>2.0500000000000007</c:v>
                </c:pt>
                <c:pt idx="16">
                  <c:v>2.1200000000000006</c:v>
                </c:pt>
                <c:pt idx="17">
                  <c:v>2.1900000000000004</c:v>
                </c:pt>
                <c:pt idx="18">
                  <c:v>2.2600000000000002</c:v>
                </c:pt>
                <c:pt idx="19">
                  <c:v>2.33</c:v>
                </c:pt>
                <c:pt idx="20">
                  <c:v>2.4</c:v>
                </c:pt>
                <c:pt idx="21">
                  <c:v>2.4699999999999998</c:v>
                </c:pt>
                <c:pt idx="22">
                  <c:v>2.5399999999999996</c:v>
                </c:pt>
                <c:pt idx="23">
                  <c:v>2.6099999999999994</c:v>
                </c:pt>
                <c:pt idx="24">
                  <c:v>2.6799999999999993</c:v>
                </c:pt>
                <c:pt idx="25">
                  <c:v>2.7499999999999991</c:v>
                </c:pt>
                <c:pt idx="26">
                  <c:v>2.819999999999999</c:v>
                </c:pt>
                <c:pt idx="27">
                  <c:v>2.8899999999999988</c:v>
                </c:pt>
                <c:pt idx="28">
                  <c:v>2.9599999999999986</c:v>
                </c:pt>
                <c:pt idx="29">
                  <c:v>3.0299999999999985</c:v>
                </c:pt>
              </c:numCache>
            </c:numRef>
          </c:cat>
          <c:val>
            <c:numRef>
              <c:f>'Sta_Cu '!$X$110:$X$139</c:f>
              <c:numCache>
                <c:formatCode>General</c:formatCode>
                <c:ptCount val="30"/>
                <c:pt idx="0">
                  <c:v>0.21510093886953602</c:v>
                </c:pt>
                <c:pt idx="1">
                  <c:v>0.26523344003800792</c:v>
                </c:pt>
                <c:pt idx="2">
                  <c:v>0.32101503178140334</c:v>
                </c:pt>
                <c:pt idx="3">
                  <c:v>0.38135863021494698</c:v>
                </c:pt>
                <c:pt idx="4">
                  <c:v>0.44468543791756743</c:v>
                </c:pt>
                <c:pt idx="5">
                  <c:v>0.50895965301206691</c:v>
                </c:pt>
                <c:pt idx="6">
                  <c:v>0.57177468383715724</c:v>
                </c:pt>
                <c:pt idx="7">
                  <c:v>0.63048913670337459</c:v>
                </c:pt>
                <c:pt idx="8">
                  <c:v>0.68240376253775759</c:v>
                </c:pt>
                <c:pt idx="9">
                  <c:v>0.72496382505268608</c:v>
                </c:pt>
                <c:pt idx="10">
                  <c:v>0.75596620096150402</c:v>
                </c:pt>
                <c:pt idx="11">
                  <c:v>0.77374800127217658</c:v>
                </c:pt>
                <c:pt idx="12">
                  <c:v>0.77733428046252839</c:v>
                </c:pt>
                <c:pt idx="13">
                  <c:v>0.766526581435368</c:v>
                </c:pt>
                <c:pt idx="14">
                  <c:v>0.74192112663387177</c:v>
                </c:pt>
                <c:pt idx="15">
                  <c:v>0.70485433519204543</c:v>
                </c:pt>
                <c:pt idx="16">
                  <c:v>0.65728259362659791</c:v>
                </c:pt>
                <c:pt idx="17">
                  <c:v>0.60161132960314412</c:v>
                </c:pt>
                <c:pt idx="18">
                  <c:v>0.54049415316811222</c:v>
                </c:pt>
                <c:pt idx="19">
                  <c:v>0.4766253236735476</c:v>
                </c:pt>
                <c:pt idx="20">
                  <c:v>0.41254786607638844</c:v>
                </c:pt>
                <c:pt idx="21">
                  <c:v>0.35049570125825807</c:v>
                </c:pt>
                <c:pt idx="22">
                  <c:v>0.29228206400240803</c:v>
                </c:pt>
                <c:pt idx="23">
                  <c:v>0.23923942733673939</c:v>
                </c:pt>
                <c:pt idx="24">
                  <c:v>0.19220932862853704</c:v>
                </c:pt>
                <c:pt idx="25">
                  <c:v>0.15157489926346832</c:v>
                </c:pt>
                <c:pt idx="26">
                  <c:v>0.11732518122881148</c:v>
                </c:pt>
                <c:pt idx="27">
                  <c:v>8.9138700425804893E-2</c:v>
                </c:pt>
                <c:pt idx="28">
                  <c:v>6.6474102350013428E-2</c:v>
                </c:pt>
                <c:pt idx="29">
                  <c:v>4.8657499146041776E-2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5-4107-887A-98583056F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EE5-4107-887A-98583056F897}"/>
              </c:ext>
            </c:extLst>
          </c:dPt>
          <c:cat>
            <c:numRef>
              <c:f>[2]Sta_Cu!$X$85:$X$114</c:f>
              <c:numCache>
                <c:formatCode>General</c:formatCode>
                <c:ptCount val="30"/>
                <c:pt idx="0">
                  <c:v>1</c:v>
                </c:pt>
                <c:pt idx="1">
                  <c:v>1.07</c:v>
                </c:pt>
                <c:pt idx="2">
                  <c:v>1.1400000000000001</c:v>
                </c:pt>
                <c:pt idx="3">
                  <c:v>1.2100000000000002</c:v>
                </c:pt>
                <c:pt idx="4">
                  <c:v>1.2800000000000002</c:v>
                </c:pt>
                <c:pt idx="5">
                  <c:v>1.3500000000000003</c:v>
                </c:pt>
                <c:pt idx="6">
                  <c:v>1.4200000000000004</c:v>
                </c:pt>
                <c:pt idx="7">
                  <c:v>1.4900000000000004</c:v>
                </c:pt>
                <c:pt idx="8">
                  <c:v>1.5600000000000005</c:v>
                </c:pt>
                <c:pt idx="9">
                  <c:v>1.6300000000000006</c:v>
                </c:pt>
                <c:pt idx="10">
                  <c:v>1.7000000000000006</c:v>
                </c:pt>
                <c:pt idx="11">
                  <c:v>1.7700000000000007</c:v>
                </c:pt>
                <c:pt idx="12">
                  <c:v>1.8400000000000007</c:v>
                </c:pt>
                <c:pt idx="13">
                  <c:v>1.9100000000000008</c:v>
                </c:pt>
                <c:pt idx="14">
                  <c:v>1.9800000000000009</c:v>
                </c:pt>
                <c:pt idx="15">
                  <c:v>2.0500000000000007</c:v>
                </c:pt>
                <c:pt idx="16">
                  <c:v>2.1200000000000006</c:v>
                </c:pt>
                <c:pt idx="17">
                  <c:v>2.1900000000000004</c:v>
                </c:pt>
                <c:pt idx="18">
                  <c:v>2.2600000000000002</c:v>
                </c:pt>
                <c:pt idx="19">
                  <c:v>2.33</c:v>
                </c:pt>
                <c:pt idx="20">
                  <c:v>2.4</c:v>
                </c:pt>
                <c:pt idx="21">
                  <c:v>2.4699999999999998</c:v>
                </c:pt>
                <c:pt idx="22">
                  <c:v>2.5399999999999996</c:v>
                </c:pt>
                <c:pt idx="23">
                  <c:v>2.6099999999999994</c:v>
                </c:pt>
                <c:pt idx="24">
                  <c:v>2.6799999999999993</c:v>
                </c:pt>
                <c:pt idx="25">
                  <c:v>2.7499999999999991</c:v>
                </c:pt>
                <c:pt idx="26">
                  <c:v>2.819999999999999</c:v>
                </c:pt>
                <c:pt idx="27">
                  <c:v>2.8899999999999988</c:v>
                </c:pt>
                <c:pt idx="28">
                  <c:v>2.9599999999999986</c:v>
                </c:pt>
                <c:pt idx="29">
                  <c:v>3.0299999999999985</c:v>
                </c:pt>
              </c:numCache>
            </c:numRef>
          </c:cat>
          <c:val>
            <c:numRef>
              <c:f>'Sta_Cu '!$X$144:$X$173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E5-4107-887A-98583056F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(%Fe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[2]Sta_Cu!$Y$85:$Y$114</c:f>
              <c:numCache>
                <c:formatCode>General</c:formatCode>
                <c:ptCount val="30"/>
                <c:pt idx="0">
                  <c:v>-1</c:v>
                </c:pt>
                <c:pt idx="1">
                  <c:v>-0.92</c:v>
                </c:pt>
                <c:pt idx="2">
                  <c:v>-0.84000000000000008</c:v>
                </c:pt>
                <c:pt idx="3">
                  <c:v>-0.76000000000000012</c:v>
                </c:pt>
                <c:pt idx="4">
                  <c:v>-0.68000000000000016</c:v>
                </c:pt>
                <c:pt idx="5">
                  <c:v>-0.6000000000000002</c:v>
                </c:pt>
                <c:pt idx="6">
                  <c:v>-0.52000000000000024</c:v>
                </c:pt>
                <c:pt idx="7">
                  <c:v>-0.44000000000000022</c:v>
                </c:pt>
                <c:pt idx="8">
                  <c:v>-0.36000000000000021</c:v>
                </c:pt>
                <c:pt idx="9">
                  <c:v>-0.28000000000000019</c:v>
                </c:pt>
                <c:pt idx="10">
                  <c:v>-0.20000000000000018</c:v>
                </c:pt>
                <c:pt idx="11">
                  <c:v>-0.12000000000000018</c:v>
                </c:pt>
                <c:pt idx="12">
                  <c:v>-4.0000000000000174E-2</c:v>
                </c:pt>
                <c:pt idx="13">
                  <c:v>3.9999999999999827E-2</c:v>
                </c:pt>
                <c:pt idx="14">
                  <c:v>0.11999999999999983</c:v>
                </c:pt>
                <c:pt idx="15">
                  <c:v>0.19999999999999984</c:v>
                </c:pt>
                <c:pt idx="16">
                  <c:v>0.27999999999999986</c:v>
                </c:pt>
                <c:pt idx="17">
                  <c:v>0.35999999999999988</c:v>
                </c:pt>
                <c:pt idx="18">
                  <c:v>0.43999999999999989</c:v>
                </c:pt>
                <c:pt idx="19">
                  <c:v>0.51999999999999991</c:v>
                </c:pt>
                <c:pt idx="20">
                  <c:v>0.59999999999999987</c:v>
                </c:pt>
                <c:pt idx="21">
                  <c:v>0.67999999999999983</c:v>
                </c:pt>
                <c:pt idx="22">
                  <c:v>0.75999999999999979</c:v>
                </c:pt>
                <c:pt idx="23">
                  <c:v>0.83999999999999975</c:v>
                </c:pt>
                <c:pt idx="24">
                  <c:v>0.91999999999999971</c:v>
                </c:pt>
                <c:pt idx="25">
                  <c:v>0.99999999999999967</c:v>
                </c:pt>
                <c:pt idx="26">
                  <c:v>1.0799999999999996</c:v>
                </c:pt>
                <c:pt idx="27">
                  <c:v>1.1599999999999997</c:v>
                </c:pt>
                <c:pt idx="28">
                  <c:v>1.2399999999999998</c:v>
                </c:pt>
                <c:pt idx="29">
                  <c:v>1.3199999999999998</c:v>
                </c:pt>
              </c:numCache>
            </c:numRef>
          </c:cat>
          <c:val>
            <c:numRef>
              <c:f>'Sta_Cu '!$Y$110:$Y$139</c:f>
              <c:numCache>
                <c:formatCode>General</c:formatCode>
                <c:ptCount val="30"/>
                <c:pt idx="0">
                  <c:v>7.2086068810721087E-3</c:v>
                </c:pt>
                <c:pt idx="1">
                  <c:v>1.3480708266544563E-2</c:v>
                </c:pt>
                <c:pt idx="2">
                  <c:v>2.4167446170997788E-2</c:v>
                </c:pt>
                <c:pt idx="3">
                  <c:v>4.1534165679577711E-2</c:v>
                </c:pt>
                <c:pt idx="4">
                  <c:v>6.8428481614491263E-2</c:v>
                </c:pt>
                <c:pt idx="5">
                  <c:v>0.10807493852631865</c:v>
                </c:pt>
                <c:pt idx="6">
                  <c:v>0.16363257788517571</c:v>
                </c:pt>
                <c:pt idx="7">
                  <c:v>0.23750416439237113</c:v>
                </c:pt>
                <c:pt idx="8">
                  <c:v>0.33046796561042063</c:v>
                </c:pt>
                <c:pt idx="9">
                  <c:v>0.44080263936647612</c:v>
                </c:pt>
                <c:pt idx="10">
                  <c:v>0.56365801513791491</c:v>
                </c:pt>
                <c:pt idx="11">
                  <c:v>0.69094562157924155</c:v>
                </c:pt>
                <c:pt idx="12">
                  <c:v>0.81194896515339976</c:v>
                </c:pt>
                <c:pt idx="13">
                  <c:v>0.91468230503398251</c:v>
                </c:pt>
                <c:pt idx="14">
                  <c:v>0.98779882180741718</c:v>
                </c:pt>
                <c:pt idx="15">
                  <c:v>1.0226414966348019</c:v>
                </c:pt>
                <c:pt idx="16">
                  <c:v>1.0149274543412417</c:v>
                </c:pt>
                <c:pt idx="17">
                  <c:v>0.9656133713324847</c:v>
                </c:pt>
                <c:pt idx="18">
                  <c:v>0.88070045936603503</c:v>
                </c:pt>
                <c:pt idx="19">
                  <c:v>0.77003391969858215</c:v>
                </c:pt>
                <c:pt idx="20">
                  <c:v>0.64542854787075365</c:v>
                </c:pt>
                <c:pt idx="21">
                  <c:v>0.51861272266690173</c:v>
                </c:pt>
                <c:pt idx="22">
                  <c:v>0.3994798187163715</c:v>
                </c:pt>
                <c:pt idx="23">
                  <c:v>0.29498722126017324</c:v>
                </c:pt>
                <c:pt idx="24">
                  <c:v>0.20881814962271256</c:v>
                </c:pt>
                <c:pt idx="25">
                  <c:v>0.14170656300089618</c:v>
                </c:pt>
                <c:pt idx="26">
                  <c:v>9.2186720958568821E-2</c:v>
                </c:pt>
                <c:pt idx="27">
                  <c:v>5.7491475116932859E-2</c:v>
                </c:pt>
                <c:pt idx="28">
                  <c:v>3.4371241371227067E-2</c:v>
                </c:pt>
                <c:pt idx="29">
                  <c:v>1.9698976620435172E-2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7-4EE1-B107-3E20B1D66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67-4EE1-B107-3E20B1D66AE5}"/>
              </c:ext>
            </c:extLst>
          </c:dPt>
          <c:cat>
            <c:numRef>
              <c:f>[2]Sta_Cu!$Y$85:$Y$114</c:f>
              <c:numCache>
                <c:formatCode>General</c:formatCode>
                <c:ptCount val="30"/>
                <c:pt idx="0">
                  <c:v>-1</c:v>
                </c:pt>
                <c:pt idx="1">
                  <c:v>-0.92</c:v>
                </c:pt>
                <c:pt idx="2">
                  <c:v>-0.84000000000000008</c:v>
                </c:pt>
                <c:pt idx="3">
                  <c:v>-0.76000000000000012</c:v>
                </c:pt>
                <c:pt idx="4">
                  <c:v>-0.68000000000000016</c:v>
                </c:pt>
                <c:pt idx="5">
                  <c:v>-0.6000000000000002</c:v>
                </c:pt>
                <c:pt idx="6">
                  <c:v>-0.52000000000000024</c:v>
                </c:pt>
                <c:pt idx="7">
                  <c:v>-0.44000000000000022</c:v>
                </c:pt>
                <c:pt idx="8">
                  <c:v>-0.36000000000000021</c:v>
                </c:pt>
                <c:pt idx="9">
                  <c:v>-0.28000000000000019</c:v>
                </c:pt>
                <c:pt idx="10">
                  <c:v>-0.20000000000000018</c:v>
                </c:pt>
                <c:pt idx="11">
                  <c:v>-0.12000000000000018</c:v>
                </c:pt>
                <c:pt idx="12">
                  <c:v>-4.0000000000000174E-2</c:v>
                </c:pt>
                <c:pt idx="13">
                  <c:v>3.9999999999999827E-2</c:v>
                </c:pt>
                <c:pt idx="14">
                  <c:v>0.11999999999999983</c:v>
                </c:pt>
                <c:pt idx="15">
                  <c:v>0.19999999999999984</c:v>
                </c:pt>
                <c:pt idx="16">
                  <c:v>0.27999999999999986</c:v>
                </c:pt>
                <c:pt idx="17">
                  <c:v>0.35999999999999988</c:v>
                </c:pt>
                <c:pt idx="18">
                  <c:v>0.43999999999999989</c:v>
                </c:pt>
                <c:pt idx="19">
                  <c:v>0.51999999999999991</c:v>
                </c:pt>
                <c:pt idx="20">
                  <c:v>0.59999999999999987</c:v>
                </c:pt>
                <c:pt idx="21">
                  <c:v>0.67999999999999983</c:v>
                </c:pt>
                <c:pt idx="22">
                  <c:v>0.75999999999999979</c:v>
                </c:pt>
                <c:pt idx="23">
                  <c:v>0.83999999999999975</c:v>
                </c:pt>
                <c:pt idx="24">
                  <c:v>0.91999999999999971</c:v>
                </c:pt>
                <c:pt idx="25">
                  <c:v>0.99999999999999967</c:v>
                </c:pt>
                <c:pt idx="26">
                  <c:v>1.0799999999999996</c:v>
                </c:pt>
                <c:pt idx="27">
                  <c:v>1.1599999999999997</c:v>
                </c:pt>
                <c:pt idx="28">
                  <c:v>1.2399999999999998</c:v>
                </c:pt>
                <c:pt idx="29">
                  <c:v>1.3199999999999998</c:v>
                </c:pt>
              </c:numCache>
            </c:numRef>
          </c:cat>
          <c:val>
            <c:numRef>
              <c:f>'Sta_Cu '!$Y$144:$Y$173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67-4EE1-B107-3E20B1D66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(%Mo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[2]Sta_Cu!$S$85:$S$114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'Sta_Cu '!$BE$110:$BE$139</c:f>
              <c:numCache>
                <c:formatCode>General</c:formatCode>
                <c:ptCount val="30"/>
                <c:pt idx="0">
                  <c:v>8.8210318519911564</c:v>
                </c:pt>
                <c:pt idx="1">
                  <c:v>11.977503609972837</c:v>
                </c:pt>
                <c:pt idx="2">
                  <c:v>15.947413065397642</c:v>
                </c:pt>
                <c:pt idx="3">
                  <c:v>20.820501642187928</c:v>
                </c:pt>
                <c:pt idx="4">
                  <c:v>26.654414525732161</c:v>
                </c:pt>
                <c:pt idx="5">
                  <c:v>33.459859945146242</c:v>
                </c:pt>
                <c:pt idx="6">
                  <c:v>41.186615256412225</c:v>
                </c:pt>
                <c:pt idx="7">
                  <c:v>49.712442266030259</c:v>
                </c:pt>
                <c:pt idx="8">
                  <c:v>58.837079733663145</c:v>
                </c:pt>
                <c:pt idx="9">
                  <c:v>68.283241827895679</c:v>
                </c:pt>
                <c:pt idx="10">
                  <c:v>77.705930749466546</c:v>
                </c:pt>
                <c:pt idx="11">
                  <c:v>86.710404989652602</c:v>
                </c:pt>
                <c:pt idx="12">
                  <c:v>94.877946263322741</c:v>
                </c:pt>
                <c:pt idx="13">
                  <c:v>101.79732099952632</c:v>
                </c:pt>
                <c:pt idx="14">
                  <c:v>107.09875815551949</c:v>
                </c:pt>
                <c:pt idx="15">
                  <c:v>110.48658088351999</c:v>
                </c:pt>
                <c:pt idx="16">
                  <c:v>111.7664986704139</c:v>
                </c:pt>
                <c:pt idx="17">
                  <c:v>110.86405782490762</c:v>
                </c:pt>
                <c:pt idx="18">
                  <c:v>107.83181317816022</c:v>
                </c:pt>
                <c:pt idx="19">
                  <c:v>102.84426009360266</c:v>
                </c:pt>
                <c:pt idx="20">
                  <c:v>96.18120658165661</c:v>
                </c:pt>
                <c:pt idx="21">
                  <c:v>88.201789530601829</c:v>
                </c:pt>
                <c:pt idx="22">
                  <c:v>79.312490080468194</c:v>
                </c:pt>
                <c:pt idx="23">
                  <c:v>69.933101009735964</c:v>
                </c:pt>
                <c:pt idx="24">
                  <c:v>60.464574416408531</c:v>
                </c:pt>
                <c:pt idx="25">
                  <c:v>51.262080374182752</c:v>
                </c:pt>
                <c:pt idx="26">
                  <c:v>42.615586204033185</c:v>
                </c:pt>
                <c:pt idx="27">
                  <c:v>34.739032517995291</c:v>
                </c:pt>
                <c:pt idx="28">
                  <c:v>27.767960592383854</c:v>
                </c:pt>
                <c:pt idx="29">
                  <c:v>21.764428224362671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2-4719-A466-A192BC844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5F2-4719-A466-A192BC844259}"/>
              </c:ext>
            </c:extLst>
          </c:dPt>
          <c:cat>
            <c:numRef>
              <c:f>[2]Sta_Cu!$BE$85:$BE$114</c:f>
              <c:numCache>
                <c:formatCode>General</c:formatCode>
                <c:ptCount val="30"/>
                <c:pt idx="0">
                  <c:v>6.0000000000000002E-5</c:v>
                </c:pt>
                <c:pt idx="1">
                  <c:v>5.6000000000000006E-4</c:v>
                </c:pt>
                <c:pt idx="2">
                  <c:v>1.0600000000000002E-3</c:v>
                </c:pt>
                <c:pt idx="3">
                  <c:v>1.5600000000000002E-3</c:v>
                </c:pt>
                <c:pt idx="4">
                  <c:v>2.0600000000000002E-3</c:v>
                </c:pt>
                <c:pt idx="5">
                  <c:v>2.5600000000000002E-3</c:v>
                </c:pt>
                <c:pt idx="6">
                  <c:v>3.0600000000000002E-3</c:v>
                </c:pt>
                <c:pt idx="7">
                  <c:v>3.5600000000000002E-3</c:v>
                </c:pt>
                <c:pt idx="8">
                  <c:v>4.0600000000000002E-3</c:v>
                </c:pt>
                <c:pt idx="9">
                  <c:v>4.5599999999999998E-3</c:v>
                </c:pt>
                <c:pt idx="10">
                  <c:v>5.0600000000000003E-3</c:v>
                </c:pt>
                <c:pt idx="11">
                  <c:v>5.5600000000000007E-3</c:v>
                </c:pt>
                <c:pt idx="12">
                  <c:v>6.0600000000000011E-3</c:v>
                </c:pt>
                <c:pt idx="13">
                  <c:v>6.5600000000000016E-3</c:v>
                </c:pt>
                <c:pt idx="14">
                  <c:v>7.060000000000002E-3</c:v>
                </c:pt>
                <c:pt idx="15">
                  <c:v>7.5600000000000025E-3</c:v>
                </c:pt>
                <c:pt idx="16">
                  <c:v>8.0600000000000029E-3</c:v>
                </c:pt>
                <c:pt idx="17">
                  <c:v>8.5600000000000034E-3</c:v>
                </c:pt>
                <c:pt idx="18">
                  <c:v>9.0600000000000038E-3</c:v>
                </c:pt>
                <c:pt idx="19">
                  <c:v>9.5600000000000043E-3</c:v>
                </c:pt>
                <c:pt idx="20">
                  <c:v>1.0060000000000005E-2</c:v>
                </c:pt>
                <c:pt idx="21">
                  <c:v>1.0560000000000005E-2</c:v>
                </c:pt>
                <c:pt idx="22">
                  <c:v>1.1060000000000006E-2</c:v>
                </c:pt>
                <c:pt idx="23">
                  <c:v>1.1560000000000006E-2</c:v>
                </c:pt>
                <c:pt idx="24">
                  <c:v>1.2060000000000006E-2</c:v>
                </c:pt>
                <c:pt idx="25">
                  <c:v>1.2560000000000007E-2</c:v>
                </c:pt>
                <c:pt idx="26">
                  <c:v>1.3060000000000007E-2</c:v>
                </c:pt>
                <c:pt idx="27">
                  <c:v>1.3560000000000008E-2</c:v>
                </c:pt>
                <c:pt idx="28">
                  <c:v>1.4060000000000008E-2</c:v>
                </c:pt>
                <c:pt idx="29">
                  <c:v>1.4560000000000009E-2</c:v>
                </c:pt>
              </c:numCache>
            </c:numRef>
          </c:cat>
          <c:val>
            <c:numRef>
              <c:f>'Sta_Cu '!$BE$144:$BE$173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2-4719-A466-A192BC844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(%Mo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[2]Sta_Cu!$T$85:$T$114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'Sta_Cu '!$BF$110:$BF$139</c:f>
              <c:numCache>
                <c:formatCode>General</c:formatCode>
                <c:ptCount val="30"/>
                <c:pt idx="0">
                  <c:v>1.646535575743084</c:v>
                </c:pt>
                <c:pt idx="1">
                  <c:v>3.2346447338774165</c:v>
                </c:pt>
                <c:pt idx="2">
                  <c:v>6.0310153729796241</c:v>
                </c:pt>
                <c:pt idx="3">
                  <c:v>10.672413905158448</c:v>
                </c:pt>
                <c:pt idx="4">
                  <c:v>17.924343660536916</c:v>
                </c:pt>
                <c:pt idx="5">
                  <c:v>28.571447368302152</c:v>
                </c:pt>
                <c:pt idx="6">
                  <c:v>43.224462171119526</c:v>
                </c:pt>
                <c:pt idx="7">
                  <c:v>62.063366947231025</c:v>
                </c:pt>
                <c:pt idx="8">
                  <c:v>84.576448427354038</c:v>
                </c:pt>
                <c:pt idx="9">
                  <c:v>109.38856703265579</c:v>
                </c:pt>
                <c:pt idx="10">
                  <c:v>134.27736174609174</c:v>
                </c:pt>
                <c:pt idx="11">
                  <c:v>156.43792387312982</c:v>
                </c:pt>
                <c:pt idx="12">
                  <c:v>172.97751951740753</c:v>
                </c:pt>
                <c:pt idx="13">
                  <c:v>181.52885314035584</c:v>
                </c:pt>
                <c:pt idx="14">
                  <c:v>180.80483505163409</c:v>
                </c:pt>
                <c:pt idx="15">
                  <c:v>170.91602890765458</c:v>
                </c:pt>
                <c:pt idx="16">
                  <c:v>153.34298917840087</c:v>
                </c:pt>
                <c:pt idx="17">
                  <c:v>130.57301532767596</c:v>
                </c:pt>
                <c:pt idx="18">
                  <c:v>105.52401800751099</c:v>
                </c:pt>
                <c:pt idx="19">
                  <c:v>80.93895310016039</c:v>
                </c:pt>
                <c:pt idx="20">
                  <c:v>58.921286878569013</c:v>
                </c:pt>
                <c:pt idx="21">
                  <c:v>40.709450641189953</c:v>
                </c:pt>
                <c:pt idx="22">
                  <c:v>26.694797910672683</c:v>
                </c:pt>
                <c:pt idx="23">
                  <c:v>16.613701780826549</c:v>
                </c:pt>
                <c:pt idx="24">
                  <c:v>9.8132883695989008</c:v>
                </c:pt>
                <c:pt idx="25">
                  <c:v>5.5013729662056168</c:v>
                </c:pt>
                <c:pt idx="26">
                  <c:v>2.9270894497557469</c:v>
                </c:pt>
                <c:pt idx="27">
                  <c:v>1.4781185835413577</c:v>
                </c:pt>
                <c:pt idx="28">
                  <c:v>0.70842020189468047</c:v>
                </c:pt>
                <c:pt idx="29">
                  <c:v>0.3222411324025739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9-423E-8421-B18AF8026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259-423E-8421-B18AF8026433}"/>
              </c:ext>
            </c:extLst>
          </c:dPt>
          <c:cat>
            <c:numRef>
              <c:f>[2]Sta_Cu!$BF$85:$BF$114</c:f>
              <c:numCache>
                <c:formatCode>General</c:formatCode>
                <c:ptCount val="30"/>
                <c:pt idx="0">
                  <c:v>6.0000000000000002E-5</c:v>
                </c:pt>
                <c:pt idx="1">
                  <c:v>5.6000000000000006E-4</c:v>
                </c:pt>
                <c:pt idx="2">
                  <c:v>1.0600000000000002E-3</c:v>
                </c:pt>
                <c:pt idx="3">
                  <c:v>1.5600000000000002E-3</c:v>
                </c:pt>
                <c:pt idx="4">
                  <c:v>2.0600000000000002E-3</c:v>
                </c:pt>
                <c:pt idx="5">
                  <c:v>2.5600000000000002E-3</c:v>
                </c:pt>
                <c:pt idx="6">
                  <c:v>3.0600000000000002E-3</c:v>
                </c:pt>
                <c:pt idx="7">
                  <c:v>3.5600000000000002E-3</c:v>
                </c:pt>
                <c:pt idx="8">
                  <c:v>4.0600000000000002E-3</c:v>
                </c:pt>
                <c:pt idx="9">
                  <c:v>4.5599999999999998E-3</c:v>
                </c:pt>
                <c:pt idx="10">
                  <c:v>5.0600000000000003E-3</c:v>
                </c:pt>
                <c:pt idx="11">
                  <c:v>5.5600000000000007E-3</c:v>
                </c:pt>
                <c:pt idx="12">
                  <c:v>6.0600000000000011E-3</c:v>
                </c:pt>
                <c:pt idx="13">
                  <c:v>6.5600000000000016E-3</c:v>
                </c:pt>
                <c:pt idx="14">
                  <c:v>7.060000000000002E-3</c:v>
                </c:pt>
                <c:pt idx="15">
                  <c:v>7.5600000000000025E-3</c:v>
                </c:pt>
                <c:pt idx="16">
                  <c:v>8.0600000000000029E-3</c:v>
                </c:pt>
                <c:pt idx="17">
                  <c:v>8.5600000000000034E-3</c:v>
                </c:pt>
                <c:pt idx="18">
                  <c:v>9.0600000000000038E-3</c:v>
                </c:pt>
                <c:pt idx="19">
                  <c:v>9.5600000000000043E-3</c:v>
                </c:pt>
                <c:pt idx="20">
                  <c:v>1.0060000000000005E-2</c:v>
                </c:pt>
                <c:pt idx="21">
                  <c:v>1.0560000000000005E-2</c:v>
                </c:pt>
                <c:pt idx="22">
                  <c:v>1.1060000000000006E-2</c:v>
                </c:pt>
                <c:pt idx="23">
                  <c:v>1.1560000000000006E-2</c:v>
                </c:pt>
                <c:pt idx="24">
                  <c:v>1.2060000000000006E-2</c:v>
                </c:pt>
                <c:pt idx="25">
                  <c:v>1.2560000000000007E-2</c:v>
                </c:pt>
                <c:pt idx="26">
                  <c:v>1.3060000000000007E-2</c:v>
                </c:pt>
                <c:pt idx="27">
                  <c:v>1.3560000000000008E-2</c:v>
                </c:pt>
                <c:pt idx="28">
                  <c:v>1.4060000000000008E-2</c:v>
                </c:pt>
                <c:pt idx="29">
                  <c:v>1.4560000000000009E-2</c:v>
                </c:pt>
              </c:numCache>
            </c:numRef>
          </c:cat>
          <c:val>
            <c:numRef>
              <c:f>'Sta_Cu '!$BF$144:$BF$173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59-423E-8421-B18AF8026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(%Mo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[2]Sta_Cu!$U$85:$U$114</c:f>
              <c:numCache>
                <c:formatCode>General</c:formatCode>
                <c:ptCount val="30"/>
                <c:pt idx="0">
                  <c:v>-7.0000000000000001E-3</c:v>
                </c:pt>
                <c:pt idx="1">
                  <c:v>-6.4900000000000001E-3</c:v>
                </c:pt>
                <c:pt idx="2">
                  <c:v>-5.9800000000000001E-3</c:v>
                </c:pt>
                <c:pt idx="3">
                  <c:v>-5.47E-3</c:v>
                </c:pt>
                <c:pt idx="4">
                  <c:v>-4.96E-3</c:v>
                </c:pt>
                <c:pt idx="5">
                  <c:v>-4.45E-3</c:v>
                </c:pt>
                <c:pt idx="6">
                  <c:v>-3.9399999999999999E-3</c:v>
                </c:pt>
                <c:pt idx="7">
                  <c:v>-3.4299999999999999E-3</c:v>
                </c:pt>
                <c:pt idx="8">
                  <c:v>-2.9199999999999999E-3</c:v>
                </c:pt>
                <c:pt idx="9">
                  <c:v>-2.4099999999999998E-3</c:v>
                </c:pt>
                <c:pt idx="10">
                  <c:v>-1.8999999999999998E-3</c:v>
                </c:pt>
                <c:pt idx="11">
                  <c:v>-1.3899999999999997E-3</c:v>
                </c:pt>
                <c:pt idx="12">
                  <c:v>-8.7999999999999971E-4</c:v>
                </c:pt>
                <c:pt idx="13">
                  <c:v>-3.6999999999999967E-4</c:v>
                </c:pt>
                <c:pt idx="14">
                  <c:v>1.4000000000000037E-4</c:v>
                </c:pt>
                <c:pt idx="15">
                  <c:v>6.500000000000004E-4</c:v>
                </c:pt>
                <c:pt idx="16">
                  <c:v>1.1600000000000004E-3</c:v>
                </c:pt>
                <c:pt idx="17">
                  <c:v>1.6700000000000005E-3</c:v>
                </c:pt>
                <c:pt idx="18">
                  <c:v>2.1800000000000005E-3</c:v>
                </c:pt>
                <c:pt idx="19">
                  <c:v>2.6900000000000006E-3</c:v>
                </c:pt>
                <c:pt idx="20">
                  <c:v>3.2000000000000006E-3</c:v>
                </c:pt>
                <c:pt idx="21">
                  <c:v>3.7100000000000006E-3</c:v>
                </c:pt>
                <c:pt idx="22">
                  <c:v>4.2200000000000007E-3</c:v>
                </c:pt>
                <c:pt idx="23">
                  <c:v>4.7300000000000007E-3</c:v>
                </c:pt>
                <c:pt idx="24">
                  <c:v>5.2400000000000007E-3</c:v>
                </c:pt>
                <c:pt idx="25">
                  <c:v>5.7500000000000008E-3</c:v>
                </c:pt>
                <c:pt idx="26">
                  <c:v>6.2600000000000008E-3</c:v>
                </c:pt>
                <c:pt idx="27">
                  <c:v>6.7700000000000008E-3</c:v>
                </c:pt>
                <c:pt idx="28">
                  <c:v>7.2800000000000009E-3</c:v>
                </c:pt>
                <c:pt idx="29">
                  <c:v>7.7900000000000009E-3</c:v>
                </c:pt>
              </c:numCache>
            </c:numRef>
          </c:cat>
          <c:val>
            <c:numRef>
              <c:f>'Sta_Cu '!$BG$110:$BG$139</c:f>
              <c:numCache>
                <c:formatCode>General</c:formatCode>
                <c:ptCount val="30"/>
                <c:pt idx="0">
                  <c:v>1.9738413323809174</c:v>
                </c:pt>
                <c:pt idx="1">
                  <c:v>3.2101534918305248</c:v>
                </c:pt>
                <c:pt idx="2">
                  <c:v>5.0692208745534701</c:v>
                </c:pt>
                <c:pt idx="3">
                  <c:v>7.7724598489213843</c:v>
                </c:pt>
                <c:pt idx="4">
                  <c:v>11.571179119515287</c:v>
                </c:pt>
                <c:pt idx="5">
                  <c:v>16.726250710586903</c:v>
                </c:pt>
                <c:pt idx="6">
                  <c:v>23.475856406659219</c:v>
                </c:pt>
                <c:pt idx="7">
                  <c:v>31.992350062648072</c:v>
                </c:pt>
                <c:pt idx="8">
                  <c:v>42.332381230824353</c:v>
                </c:pt>
                <c:pt idx="9">
                  <c:v>54.387752237649103</c:v>
                </c:pt>
                <c:pt idx="10">
                  <c:v>67.847113999569785</c:v>
                </c:pt>
                <c:pt idx="11">
                  <c:v>82.179501752461121</c:v>
                </c:pt>
                <c:pt idx="12">
                  <c:v>96.649026810791838</c:v>
                </c:pt>
                <c:pt idx="13">
                  <c:v>110.36549700601518</c:v>
                </c:pt>
                <c:pt idx="14">
                  <c:v>122.36888925376489</c:v>
                </c:pt>
                <c:pt idx="15">
                  <c:v>131.73784930574706</c:v>
                </c:pt>
                <c:pt idx="16">
                  <c:v>137.70571886516993</c:v>
                </c:pt>
                <c:pt idx="17">
                  <c:v>139.76397405598027</c:v>
                </c:pt>
                <c:pt idx="18">
                  <c:v>137.7337467298359</c:v>
                </c:pt>
                <c:pt idx="19">
                  <c:v>131.7914811577935</c:v>
                </c:pt>
                <c:pt idx="20">
                  <c:v>122.4436233348134</c:v>
                </c:pt>
                <c:pt idx="21">
                  <c:v>110.45537718703443</c:v>
                </c:pt>
                <c:pt idx="22">
                  <c:v>96.74742391389168</c:v>
                </c:pt>
                <c:pt idx="23">
                  <c:v>82.279911015105668</c:v>
                </c:pt>
                <c:pt idx="24">
                  <c:v>67.94383764241131</c:v>
                </c:pt>
                <c:pt idx="25">
                  <c:v>54.476373621414773</c:v>
                </c:pt>
                <c:pt idx="26">
                  <c:v>42.409989293576757</c:v>
                </c:pt>
                <c:pt idx="27">
                  <c:v>32.057525204437312</c:v>
                </c:pt>
                <c:pt idx="28">
                  <c:v>23.528469541515676</c:v>
                </c:pt>
                <c:pt idx="29">
                  <c:v>16.76714890240692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D-445A-B1AB-9853DB25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DDD-445A-B1AB-9853DB25E401}"/>
              </c:ext>
            </c:extLst>
          </c:dPt>
          <c:cat>
            <c:numRef>
              <c:f>[2]Sta_Cu!$BG$85:$BG$114</c:f>
              <c:numCache>
                <c:formatCode>General</c:formatCode>
                <c:ptCount val="30"/>
                <c:pt idx="0">
                  <c:v>-7.0000000000000001E-3</c:v>
                </c:pt>
                <c:pt idx="1">
                  <c:v>-6.5100000000000002E-3</c:v>
                </c:pt>
                <c:pt idx="2">
                  <c:v>-6.0200000000000002E-3</c:v>
                </c:pt>
                <c:pt idx="3">
                  <c:v>-5.5300000000000002E-3</c:v>
                </c:pt>
                <c:pt idx="4">
                  <c:v>-5.0400000000000002E-3</c:v>
                </c:pt>
                <c:pt idx="5">
                  <c:v>-4.5500000000000002E-3</c:v>
                </c:pt>
                <c:pt idx="6">
                  <c:v>-4.0600000000000002E-3</c:v>
                </c:pt>
                <c:pt idx="7">
                  <c:v>-3.5700000000000003E-3</c:v>
                </c:pt>
                <c:pt idx="8">
                  <c:v>-3.0800000000000003E-3</c:v>
                </c:pt>
                <c:pt idx="9">
                  <c:v>-2.5900000000000003E-3</c:v>
                </c:pt>
                <c:pt idx="10">
                  <c:v>-2.1000000000000003E-3</c:v>
                </c:pt>
                <c:pt idx="11">
                  <c:v>-1.6100000000000003E-3</c:v>
                </c:pt>
                <c:pt idx="12">
                  <c:v>-1.1200000000000003E-3</c:v>
                </c:pt>
                <c:pt idx="13">
                  <c:v>-6.3000000000000035E-4</c:v>
                </c:pt>
                <c:pt idx="14">
                  <c:v>-1.4000000000000037E-4</c:v>
                </c:pt>
                <c:pt idx="15">
                  <c:v>3.4999999999999962E-4</c:v>
                </c:pt>
                <c:pt idx="16">
                  <c:v>8.399999999999996E-4</c:v>
                </c:pt>
                <c:pt idx="17">
                  <c:v>1.3299999999999996E-3</c:v>
                </c:pt>
                <c:pt idx="18">
                  <c:v>1.8199999999999996E-3</c:v>
                </c:pt>
                <c:pt idx="19">
                  <c:v>2.3099999999999996E-3</c:v>
                </c:pt>
                <c:pt idx="20">
                  <c:v>2.7999999999999995E-3</c:v>
                </c:pt>
                <c:pt idx="21">
                  <c:v>3.2899999999999995E-3</c:v>
                </c:pt>
                <c:pt idx="22">
                  <c:v>3.7799999999999995E-3</c:v>
                </c:pt>
                <c:pt idx="23">
                  <c:v>4.2699999999999995E-3</c:v>
                </c:pt>
                <c:pt idx="24">
                  <c:v>4.7599999999999995E-3</c:v>
                </c:pt>
                <c:pt idx="25">
                  <c:v>5.2499999999999995E-3</c:v>
                </c:pt>
                <c:pt idx="26">
                  <c:v>5.7399999999999994E-3</c:v>
                </c:pt>
                <c:pt idx="27">
                  <c:v>6.2299999999999994E-3</c:v>
                </c:pt>
                <c:pt idx="28">
                  <c:v>6.7199999999999994E-3</c:v>
                </c:pt>
                <c:pt idx="29">
                  <c:v>7.2099999999999994E-3</c:v>
                </c:pt>
              </c:numCache>
            </c:numRef>
          </c:cat>
          <c:val>
            <c:numRef>
              <c:f>'Sta_Cu '!$BG$144:$BG$173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DD-445A-B1AB-9853DB25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(%Fe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[2]Sta_Cu!$W$85:$W$114</c:f>
              <c:numCache>
                <c:formatCode>General</c:formatCode>
                <c:ptCount val="30"/>
                <c:pt idx="0">
                  <c:v>1</c:v>
                </c:pt>
                <c:pt idx="1">
                  <c:v>1.08</c:v>
                </c:pt>
                <c:pt idx="2">
                  <c:v>1.1600000000000001</c:v>
                </c:pt>
                <c:pt idx="3">
                  <c:v>1.2400000000000002</c:v>
                </c:pt>
                <c:pt idx="4">
                  <c:v>1.3200000000000003</c:v>
                </c:pt>
                <c:pt idx="5">
                  <c:v>1.4000000000000004</c:v>
                </c:pt>
                <c:pt idx="6">
                  <c:v>1.4800000000000004</c:v>
                </c:pt>
                <c:pt idx="7">
                  <c:v>1.5600000000000005</c:v>
                </c:pt>
                <c:pt idx="8">
                  <c:v>1.6400000000000006</c:v>
                </c:pt>
                <c:pt idx="9">
                  <c:v>1.7200000000000006</c:v>
                </c:pt>
                <c:pt idx="10">
                  <c:v>1.8000000000000007</c:v>
                </c:pt>
                <c:pt idx="11">
                  <c:v>1.8800000000000008</c:v>
                </c:pt>
                <c:pt idx="12">
                  <c:v>1.9600000000000009</c:v>
                </c:pt>
                <c:pt idx="13">
                  <c:v>2.0400000000000009</c:v>
                </c:pt>
                <c:pt idx="14">
                  <c:v>2.120000000000001</c:v>
                </c:pt>
                <c:pt idx="15">
                  <c:v>2.2000000000000011</c:v>
                </c:pt>
                <c:pt idx="16">
                  <c:v>2.2800000000000011</c:v>
                </c:pt>
                <c:pt idx="17">
                  <c:v>2.3600000000000012</c:v>
                </c:pt>
                <c:pt idx="18">
                  <c:v>2.4400000000000013</c:v>
                </c:pt>
                <c:pt idx="19">
                  <c:v>2.5200000000000014</c:v>
                </c:pt>
                <c:pt idx="20">
                  <c:v>2.6000000000000014</c:v>
                </c:pt>
                <c:pt idx="21">
                  <c:v>2.6800000000000015</c:v>
                </c:pt>
                <c:pt idx="22">
                  <c:v>2.7600000000000016</c:v>
                </c:pt>
                <c:pt idx="23">
                  <c:v>2.8400000000000016</c:v>
                </c:pt>
                <c:pt idx="24">
                  <c:v>2.9200000000000017</c:v>
                </c:pt>
                <c:pt idx="25">
                  <c:v>3.0000000000000018</c:v>
                </c:pt>
                <c:pt idx="26">
                  <c:v>3.0800000000000018</c:v>
                </c:pt>
                <c:pt idx="27">
                  <c:v>3.1600000000000019</c:v>
                </c:pt>
                <c:pt idx="28">
                  <c:v>3.240000000000002</c:v>
                </c:pt>
                <c:pt idx="29">
                  <c:v>3.3200000000000021</c:v>
                </c:pt>
              </c:numCache>
            </c:numRef>
          </c:cat>
          <c:val>
            <c:numRef>
              <c:f>'Sta_Cu '!$BI$110:$BI$139</c:f>
              <c:numCache>
                <c:formatCode>General</c:formatCode>
                <c:ptCount val="30"/>
                <c:pt idx="0">
                  <c:v>0.18662218482528786</c:v>
                </c:pt>
                <c:pt idx="1">
                  <c:v>0.23087697391043499</c:v>
                </c:pt>
                <c:pt idx="2">
                  <c:v>0.27986809850062627</c:v>
                </c:pt>
                <c:pt idx="3">
                  <c:v>0.33241575272895402</c:v>
                </c:pt>
                <c:pt idx="4">
                  <c:v>0.38687014736974573</c:v>
                </c:pt>
                <c:pt idx="5">
                  <c:v>0.44116826581651852</c:v>
                </c:pt>
                <c:pt idx="6">
                  <c:v>0.49294530542247372</c:v>
                </c:pt>
                <c:pt idx="7">
                  <c:v>0.53969529047447595</c:v>
                </c:pt>
                <c:pt idx="8">
                  <c:v>0.57896717962292921</c:v>
                </c:pt>
                <c:pt idx="9">
                  <c:v>0.60857580986255955</c:v>
                </c:pt>
                <c:pt idx="10">
                  <c:v>0.6268026872489938</c:v>
                </c:pt>
                <c:pt idx="11">
                  <c:v>0.63256103633995175</c:v>
                </c:pt>
                <c:pt idx="12">
                  <c:v>0.62550307413533235</c:v>
                </c:pt>
                <c:pt idx="13">
                  <c:v>0.60605478313645555</c:v>
                </c:pt>
                <c:pt idx="14">
                  <c:v>0.57537334856539502</c:v>
                </c:pt>
                <c:pt idx="15">
                  <c:v>0.53523317379695112</c:v>
                </c:pt>
                <c:pt idx="16">
                  <c:v>0.48785608755990412</c:v>
                </c:pt>
                <c:pt idx="17">
                  <c:v>0.43570832448731828</c:v>
                </c:pt>
                <c:pt idx="18">
                  <c:v>0.38128999533028957</c:v>
                </c:pt>
                <c:pt idx="19">
                  <c:v>0.32694175232586437</c:v>
                </c:pt>
                <c:pt idx="20">
                  <c:v>0.27468869467835305</c:v>
                </c:pt>
                <c:pt idx="21">
                  <c:v>0.22613438732639929</c:v>
                </c:pt>
                <c:pt idx="22">
                  <c:v>0.18240966907232323</c:v>
                </c:pt>
                <c:pt idx="23">
                  <c:v>0.14417319593382152</c:v>
                </c:pt>
                <c:pt idx="24">
                  <c:v>0.11165459986555451</c:v>
                </c:pt>
                <c:pt idx="25">
                  <c:v>8.4727450203341159E-2</c:v>
                </c:pt>
                <c:pt idx="26">
                  <c:v>6.2998045798196456E-2</c:v>
                </c:pt>
                <c:pt idx="27">
                  <c:v>4.58971207910902E-2</c:v>
                </c:pt>
                <c:pt idx="28">
                  <c:v>3.2764174505196378E-2</c:v>
                </c:pt>
                <c:pt idx="29">
                  <c:v>2.2917563425829391E-2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A-4389-8AA4-3EBA88F68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6FA-4389-8AA4-3EBA88F68BF3}"/>
              </c:ext>
            </c:extLst>
          </c:dPt>
          <c:cat>
            <c:numRef>
              <c:f>[2]Sta_Cu!$BI$85:$BI$114</c:f>
              <c:numCache>
                <c:formatCode>General</c:formatCode>
                <c:ptCount val="30"/>
                <c:pt idx="0">
                  <c:v>1</c:v>
                </c:pt>
                <c:pt idx="1">
                  <c:v>1.0900000000000001</c:v>
                </c:pt>
                <c:pt idx="2">
                  <c:v>1.1800000000000002</c:v>
                </c:pt>
                <c:pt idx="3">
                  <c:v>1.2700000000000002</c:v>
                </c:pt>
                <c:pt idx="4">
                  <c:v>1.3600000000000003</c:v>
                </c:pt>
                <c:pt idx="5">
                  <c:v>1.4500000000000004</c:v>
                </c:pt>
                <c:pt idx="6">
                  <c:v>1.5400000000000005</c:v>
                </c:pt>
                <c:pt idx="7">
                  <c:v>1.6300000000000006</c:v>
                </c:pt>
                <c:pt idx="8">
                  <c:v>1.7200000000000006</c:v>
                </c:pt>
                <c:pt idx="9">
                  <c:v>1.8100000000000007</c:v>
                </c:pt>
                <c:pt idx="10">
                  <c:v>1.9000000000000008</c:v>
                </c:pt>
                <c:pt idx="11">
                  <c:v>1.9900000000000009</c:v>
                </c:pt>
                <c:pt idx="12">
                  <c:v>2.080000000000001</c:v>
                </c:pt>
                <c:pt idx="13">
                  <c:v>2.1700000000000008</c:v>
                </c:pt>
                <c:pt idx="14">
                  <c:v>2.2600000000000007</c:v>
                </c:pt>
                <c:pt idx="15">
                  <c:v>2.3500000000000005</c:v>
                </c:pt>
                <c:pt idx="16">
                  <c:v>2.4400000000000004</c:v>
                </c:pt>
                <c:pt idx="17">
                  <c:v>2.5300000000000002</c:v>
                </c:pt>
                <c:pt idx="18">
                  <c:v>2.62</c:v>
                </c:pt>
                <c:pt idx="19">
                  <c:v>2.71</c:v>
                </c:pt>
                <c:pt idx="20">
                  <c:v>2.8</c:v>
                </c:pt>
                <c:pt idx="21">
                  <c:v>2.8899999999999997</c:v>
                </c:pt>
                <c:pt idx="22">
                  <c:v>2.9799999999999995</c:v>
                </c:pt>
                <c:pt idx="23">
                  <c:v>3.0699999999999994</c:v>
                </c:pt>
                <c:pt idx="24">
                  <c:v>3.1599999999999993</c:v>
                </c:pt>
                <c:pt idx="25">
                  <c:v>3.2499999999999991</c:v>
                </c:pt>
                <c:pt idx="26">
                  <c:v>3.339999999999999</c:v>
                </c:pt>
                <c:pt idx="27">
                  <c:v>3.4299999999999988</c:v>
                </c:pt>
                <c:pt idx="28">
                  <c:v>3.5199999999999987</c:v>
                </c:pt>
                <c:pt idx="29">
                  <c:v>3.6099999999999985</c:v>
                </c:pt>
              </c:numCache>
            </c:numRef>
          </c:cat>
          <c:val>
            <c:numRef>
              <c:f>'Sta_Cu '!$BI$144:$BI$173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FA-4389-8AA4-3EBA88F68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(%Fe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[2]Sta_Cu!$X$85:$X$114</c:f>
              <c:numCache>
                <c:formatCode>General</c:formatCode>
                <c:ptCount val="30"/>
                <c:pt idx="0">
                  <c:v>1</c:v>
                </c:pt>
                <c:pt idx="1">
                  <c:v>1.07</c:v>
                </c:pt>
                <c:pt idx="2">
                  <c:v>1.1400000000000001</c:v>
                </c:pt>
                <c:pt idx="3">
                  <c:v>1.2100000000000002</c:v>
                </c:pt>
                <c:pt idx="4">
                  <c:v>1.2800000000000002</c:v>
                </c:pt>
                <c:pt idx="5">
                  <c:v>1.3500000000000003</c:v>
                </c:pt>
                <c:pt idx="6">
                  <c:v>1.4200000000000004</c:v>
                </c:pt>
                <c:pt idx="7">
                  <c:v>1.4900000000000004</c:v>
                </c:pt>
                <c:pt idx="8">
                  <c:v>1.5600000000000005</c:v>
                </c:pt>
                <c:pt idx="9">
                  <c:v>1.6300000000000006</c:v>
                </c:pt>
                <c:pt idx="10">
                  <c:v>1.7000000000000006</c:v>
                </c:pt>
                <c:pt idx="11">
                  <c:v>1.7700000000000007</c:v>
                </c:pt>
                <c:pt idx="12">
                  <c:v>1.8400000000000007</c:v>
                </c:pt>
                <c:pt idx="13">
                  <c:v>1.9100000000000008</c:v>
                </c:pt>
                <c:pt idx="14">
                  <c:v>1.9800000000000009</c:v>
                </c:pt>
                <c:pt idx="15">
                  <c:v>2.0500000000000007</c:v>
                </c:pt>
                <c:pt idx="16">
                  <c:v>2.1200000000000006</c:v>
                </c:pt>
                <c:pt idx="17">
                  <c:v>2.1900000000000004</c:v>
                </c:pt>
                <c:pt idx="18">
                  <c:v>2.2600000000000002</c:v>
                </c:pt>
                <c:pt idx="19">
                  <c:v>2.33</c:v>
                </c:pt>
                <c:pt idx="20">
                  <c:v>2.4</c:v>
                </c:pt>
                <c:pt idx="21">
                  <c:v>2.4699999999999998</c:v>
                </c:pt>
                <c:pt idx="22">
                  <c:v>2.5399999999999996</c:v>
                </c:pt>
                <c:pt idx="23">
                  <c:v>2.6099999999999994</c:v>
                </c:pt>
                <c:pt idx="24">
                  <c:v>2.6799999999999993</c:v>
                </c:pt>
                <c:pt idx="25">
                  <c:v>2.7499999999999991</c:v>
                </c:pt>
                <c:pt idx="26">
                  <c:v>2.819999999999999</c:v>
                </c:pt>
                <c:pt idx="27">
                  <c:v>2.8899999999999988</c:v>
                </c:pt>
                <c:pt idx="28">
                  <c:v>2.9599999999999986</c:v>
                </c:pt>
                <c:pt idx="29">
                  <c:v>3.0299999999999985</c:v>
                </c:pt>
              </c:numCache>
            </c:numRef>
          </c:cat>
          <c:val>
            <c:numRef>
              <c:f>'Sta_Cu '!$BJ$110:$BJ$139</c:f>
              <c:numCache>
                <c:formatCode>General</c:formatCode>
                <c:ptCount val="30"/>
                <c:pt idx="0">
                  <c:v>5.2175349792900078E-3</c:v>
                </c:pt>
                <c:pt idx="1">
                  <c:v>9.7800188232377225E-3</c:v>
                </c:pt>
                <c:pt idx="2">
                  <c:v>1.7583133345190394E-2</c:v>
                </c:pt>
                <c:pt idx="3">
                  <c:v>3.0320412565024896E-2</c:v>
                </c:pt>
                <c:pt idx="4">
                  <c:v>5.0148298326804439E-2</c:v>
                </c:pt>
                <c:pt idx="5">
                  <c:v>7.9553547887716014E-2</c:v>
                </c:pt>
                <c:pt idx="6">
                  <c:v>0.12104452837394025</c:v>
                </c:pt>
                <c:pt idx="7">
                  <c:v>0.17664975119869944</c:v>
                </c:pt>
                <c:pt idx="8">
                  <c:v>0.24726528939135928</c:v>
                </c:pt>
                <c:pt idx="9">
                  <c:v>0.33196747724757592</c:v>
                </c:pt>
                <c:pt idx="10">
                  <c:v>0.4274744661578963</c:v>
                </c:pt>
                <c:pt idx="11">
                  <c:v>0.52796736296677982</c:v>
                </c:pt>
                <c:pt idx="12">
                  <c:v>0.62544083480798773</c:v>
                </c:pt>
                <c:pt idx="13">
                  <c:v>0.71063672291815649</c:v>
                </c:pt>
                <c:pt idx="14">
                  <c:v>0.77444631505690342</c:v>
                </c:pt>
                <c:pt idx="15">
                  <c:v>0.80950073357107422</c:v>
                </c:pt>
                <c:pt idx="16">
                  <c:v>0.81156896946196133</c:v>
                </c:pt>
                <c:pt idx="17">
                  <c:v>0.7803975147777481</c:v>
                </c:pt>
                <c:pt idx="18">
                  <c:v>0.71976144562562794</c:v>
                </c:pt>
                <c:pt idx="19">
                  <c:v>0.63671273960329278</c:v>
                </c:pt>
                <c:pt idx="20">
                  <c:v>0.54023256150224985</c:v>
                </c:pt>
                <c:pt idx="21">
                  <c:v>0.43964307019507526</c:v>
                </c:pt>
                <c:pt idx="22">
                  <c:v>0.34316419236003076</c:v>
                </c:pt>
                <c:pt idx="23">
                  <c:v>0.2569129259987446</c:v>
                </c:pt>
                <c:pt idx="24">
                  <c:v>0.18448123765250654</c:v>
                </c:pt>
                <c:pt idx="25">
                  <c:v>0.12705761807875748</c:v>
                </c:pt>
                <c:pt idx="26">
                  <c:v>8.3932753926324627E-2</c:v>
                </c:pt>
                <c:pt idx="27">
                  <c:v>5.317952994746019E-2</c:v>
                </c:pt>
                <c:pt idx="28">
                  <c:v>3.2317650001480194E-2</c:v>
                </c:pt>
                <c:pt idx="29">
                  <c:v>1.8837241685493888E-2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8-4B04-B471-C3D75ED6E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1E8-4B04-B471-C3D75ED6E62C}"/>
              </c:ext>
            </c:extLst>
          </c:dPt>
          <c:cat>
            <c:numRef>
              <c:f>[2]Sta_Cu!$BJ$85:$BJ$114</c:f>
              <c:numCache>
                <c:formatCode>General</c:formatCode>
                <c:ptCount val="30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  <c:pt idx="6">
                  <c:v>0.89999999999999991</c:v>
                </c:pt>
                <c:pt idx="7">
                  <c:v>0.99999999999999989</c:v>
                </c:pt>
                <c:pt idx="8">
                  <c:v>1.0999999999999999</c:v>
                </c:pt>
                <c:pt idx="9">
                  <c:v>1.2</c:v>
                </c:pt>
                <c:pt idx="10">
                  <c:v>1.3</c:v>
                </c:pt>
                <c:pt idx="11">
                  <c:v>1.4000000000000001</c:v>
                </c:pt>
                <c:pt idx="12">
                  <c:v>1.5000000000000002</c:v>
                </c:pt>
                <c:pt idx="13">
                  <c:v>1.6000000000000003</c:v>
                </c:pt>
                <c:pt idx="14">
                  <c:v>1.7000000000000004</c:v>
                </c:pt>
                <c:pt idx="15">
                  <c:v>1.8000000000000005</c:v>
                </c:pt>
                <c:pt idx="16">
                  <c:v>1.9000000000000006</c:v>
                </c:pt>
                <c:pt idx="17">
                  <c:v>2.0000000000000004</c:v>
                </c:pt>
                <c:pt idx="18">
                  <c:v>2.1000000000000005</c:v>
                </c:pt>
                <c:pt idx="19">
                  <c:v>2.2000000000000006</c:v>
                </c:pt>
                <c:pt idx="20">
                  <c:v>2.3000000000000007</c:v>
                </c:pt>
                <c:pt idx="21">
                  <c:v>2.4000000000000008</c:v>
                </c:pt>
                <c:pt idx="22">
                  <c:v>2.5000000000000009</c:v>
                </c:pt>
                <c:pt idx="23">
                  <c:v>2.600000000000001</c:v>
                </c:pt>
                <c:pt idx="24">
                  <c:v>2.7000000000000011</c:v>
                </c:pt>
                <c:pt idx="25">
                  <c:v>2.8000000000000012</c:v>
                </c:pt>
                <c:pt idx="26">
                  <c:v>2.9000000000000012</c:v>
                </c:pt>
                <c:pt idx="27">
                  <c:v>3.0000000000000013</c:v>
                </c:pt>
                <c:pt idx="28">
                  <c:v>3.1000000000000014</c:v>
                </c:pt>
                <c:pt idx="29">
                  <c:v>3.2000000000000015</c:v>
                </c:pt>
              </c:numCache>
            </c:numRef>
          </c:cat>
          <c:val>
            <c:numRef>
              <c:f>'Sta_Cu '!$BJ$144:$BJ$173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7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8-4B04-B471-C3D75ED6E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FINAL - PLANTA DE COBRE (%Fe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[2]Sta_Cu!$Y$85:$Y$114</c:f>
              <c:numCache>
                <c:formatCode>General</c:formatCode>
                <c:ptCount val="30"/>
                <c:pt idx="0">
                  <c:v>-1</c:v>
                </c:pt>
                <c:pt idx="1">
                  <c:v>-0.92</c:v>
                </c:pt>
                <c:pt idx="2">
                  <c:v>-0.84000000000000008</c:v>
                </c:pt>
                <c:pt idx="3">
                  <c:v>-0.76000000000000012</c:v>
                </c:pt>
                <c:pt idx="4">
                  <c:v>-0.68000000000000016</c:v>
                </c:pt>
                <c:pt idx="5">
                  <c:v>-0.6000000000000002</c:v>
                </c:pt>
                <c:pt idx="6">
                  <c:v>-0.52000000000000024</c:v>
                </c:pt>
                <c:pt idx="7">
                  <c:v>-0.44000000000000022</c:v>
                </c:pt>
                <c:pt idx="8">
                  <c:v>-0.36000000000000021</c:v>
                </c:pt>
                <c:pt idx="9">
                  <c:v>-0.28000000000000019</c:v>
                </c:pt>
                <c:pt idx="10">
                  <c:v>-0.20000000000000018</c:v>
                </c:pt>
                <c:pt idx="11">
                  <c:v>-0.12000000000000018</c:v>
                </c:pt>
                <c:pt idx="12">
                  <c:v>-4.0000000000000174E-2</c:v>
                </c:pt>
                <c:pt idx="13">
                  <c:v>3.9999999999999827E-2</c:v>
                </c:pt>
                <c:pt idx="14">
                  <c:v>0.11999999999999983</c:v>
                </c:pt>
                <c:pt idx="15">
                  <c:v>0.19999999999999984</c:v>
                </c:pt>
                <c:pt idx="16">
                  <c:v>0.27999999999999986</c:v>
                </c:pt>
                <c:pt idx="17">
                  <c:v>0.35999999999999988</c:v>
                </c:pt>
                <c:pt idx="18">
                  <c:v>0.43999999999999989</c:v>
                </c:pt>
                <c:pt idx="19">
                  <c:v>0.51999999999999991</c:v>
                </c:pt>
                <c:pt idx="20">
                  <c:v>0.59999999999999987</c:v>
                </c:pt>
                <c:pt idx="21">
                  <c:v>0.67999999999999983</c:v>
                </c:pt>
                <c:pt idx="22">
                  <c:v>0.75999999999999979</c:v>
                </c:pt>
                <c:pt idx="23">
                  <c:v>0.83999999999999975</c:v>
                </c:pt>
                <c:pt idx="24">
                  <c:v>0.91999999999999971</c:v>
                </c:pt>
                <c:pt idx="25">
                  <c:v>0.99999999999999967</c:v>
                </c:pt>
                <c:pt idx="26">
                  <c:v>1.0799999999999996</c:v>
                </c:pt>
                <c:pt idx="27">
                  <c:v>1.1599999999999997</c:v>
                </c:pt>
                <c:pt idx="28">
                  <c:v>1.2399999999999998</c:v>
                </c:pt>
                <c:pt idx="29">
                  <c:v>1.3199999999999998</c:v>
                </c:pt>
              </c:numCache>
            </c:numRef>
          </c:cat>
          <c:val>
            <c:numRef>
              <c:f>'Sta_Cu '!$BK$110:$BK$139</c:f>
              <c:numCache>
                <c:formatCode>General</c:formatCode>
                <c:ptCount val="30"/>
                <c:pt idx="0">
                  <c:v>4.5694690321177534E-3</c:v>
                </c:pt>
                <c:pt idx="1">
                  <c:v>9.7578250392925999E-3</c:v>
                </c:pt>
                <c:pt idx="2">
                  <c:v>1.9707982135183027E-2</c:v>
                </c:pt>
                <c:pt idx="3">
                  <c:v>3.7647239574038364E-2</c:v>
                </c:pt>
                <c:pt idx="4">
                  <c:v>6.8018329277503356E-2</c:v>
                </c:pt>
                <c:pt idx="5">
                  <c:v>0.11623063953356312</c:v>
                </c:pt>
                <c:pt idx="6">
                  <c:v>0.18785256926933233</c:v>
                </c:pt>
                <c:pt idx="7">
                  <c:v>0.28715441364014876</c:v>
                </c:pt>
                <c:pt idx="8">
                  <c:v>0.41516018534641869</c:v>
                </c:pt>
                <c:pt idx="9">
                  <c:v>0.56769849532969607</c:v>
                </c:pt>
                <c:pt idx="10">
                  <c:v>0.73421226280072549</c:v>
                </c:pt>
                <c:pt idx="11">
                  <c:v>0.89810552719737968</c:v>
                </c:pt>
                <c:pt idx="12">
                  <c:v>1.0390464173160998</c:v>
                </c:pt>
                <c:pt idx="13">
                  <c:v>1.1369578746693456</c:v>
                </c:pt>
                <c:pt idx="14">
                  <c:v>1.1766726076789407</c:v>
                </c:pt>
                <c:pt idx="15">
                  <c:v>1.1517779435332631</c:v>
                </c:pt>
                <c:pt idx="16">
                  <c:v>1.0663105752735902</c:v>
                </c:pt>
                <c:pt idx="17">
                  <c:v>0.93368529705462611</c:v>
                </c:pt>
                <c:pt idx="18">
                  <c:v>0.77324864591735387</c:v>
                </c:pt>
                <c:pt idx="19">
                  <c:v>0.60567501826419923</c:v>
                </c:pt>
                <c:pt idx="20">
                  <c:v>0.448706125870108</c:v>
                </c:pt>
                <c:pt idx="21">
                  <c:v>0.31440263775703792</c:v>
                </c:pt>
                <c:pt idx="22">
                  <c:v>0.20835897293983</c:v>
                </c:pt>
                <c:pt idx="23">
                  <c:v>0.13059906861055812</c:v>
                </c:pt>
                <c:pt idx="24">
                  <c:v>7.7422964465116359E-2</c:v>
                </c:pt>
                <c:pt idx="25">
                  <c:v>4.3411156632189481E-2</c:v>
                </c:pt>
                <c:pt idx="26">
                  <c:v>2.3021560730052296E-2</c:v>
                </c:pt>
                <c:pt idx="27">
                  <c:v>1.1547022536932561E-2</c:v>
                </c:pt>
                <c:pt idx="28">
                  <c:v>5.4778118178036841E-3</c:v>
                </c:pt>
                <c:pt idx="29">
                  <c:v>2.4577972190422508E-3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3-4C07-8251-BBA6FB147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F3-4C07-8251-BBA6FB147B50}"/>
              </c:ext>
            </c:extLst>
          </c:dPt>
          <c:cat>
            <c:numRef>
              <c:f>[2]Sta_Cu!$BK$85:$BK$114</c:f>
              <c:numCache>
                <c:formatCode>General</c:formatCode>
                <c:ptCount val="30"/>
                <c:pt idx="0">
                  <c:v>-1</c:v>
                </c:pt>
                <c:pt idx="1">
                  <c:v>-0.92</c:v>
                </c:pt>
                <c:pt idx="2">
                  <c:v>-0.84000000000000008</c:v>
                </c:pt>
                <c:pt idx="3">
                  <c:v>-0.76000000000000012</c:v>
                </c:pt>
                <c:pt idx="4">
                  <c:v>-0.68000000000000016</c:v>
                </c:pt>
                <c:pt idx="5">
                  <c:v>-0.6000000000000002</c:v>
                </c:pt>
                <c:pt idx="6">
                  <c:v>-0.52000000000000024</c:v>
                </c:pt>
                <c:pt idx="7">
                  <c:v>-0.44000000000000022</c:v>
                </c:pt>
                <c:pt idx="8">
                  <c:v>-0.36000000000000021</c:v>
                </c:pt>
                <c:pt idx="9">
                  <c:v>-0.28000000000000019</c:v>
                </c:pt>
                <c:pt idx="10">
                  <c:v>-0.20000000000000018</c:v>
                </c:pt>
                <c:pt idx="11">
                  <c:v>-0.12000000000000018</c:v>
                </c:pt>
                <c:pt idx="12">
                  <c:v>-4.0000000000000174E-2</c:v>
                </c:pt>
                <c:pt idx="13">
                  <c:v>3.9999999999999827E-2</c:v>
                </c:pt>
                <c:pt idx="14">
                  <c:v>0.11999999999999983</c:v>
                </c:pt>
                <c:pt idx="15">
                  <c:v>0.19999999999999984</c:v>
                </c:pt>
                <c:pt idx="16">
                  <c:v>0.27999999999999986</c:v>
                </c:pt>
                <c:pt idx="17">
                  <c:v>0.35999999999999988</c:v>
                </c:pt>
                <c:pt idx="18">
                  <c:v>0.43999999999999989</c:v>
                </c:pt>
                <c:pt idx="19">
                  <c:v>0.51999999999999991</c:v>
                </c:pt>
                <c:pt idx="20">
                  <c:v>0.59999999999999987</c:v>
                </c:pt>
                <c:pt idx="21">
                  <c:v>0.67999999999999983</c:v>
                </c:pt>
                <c:pt idx="22">
                  <c:v>0.75999999999999979</c:v>
                </c:pt>
                <c:pt idx="23">
                  <c:v>0.83999999999999975</c:v>
                </c:pt>
                <c:pt idx="24">
                  <c:v>0.91999999999999971</c:v>
                </c:pt>
                <c:pt idx="25">
                  <c:v>0.99999999999999967</c:v>
                </c:pt>
                <c:pt idx="26">
                  <c:v>1.0799999999999996</c:v>
                </c:pt>
                <c:pt idx="27">
                  <c:v>1.1599999999999997</c:v>
                </c:pt>
                <c:pt idx="28">
                  <c:v>1.2399999999999998</c:v>
                </c:pt>
                <c:pt idx="29">
                  <c:v>1.3199999999999998</c:v>
                </c:pt>
              </c:numCache>
            </c:numRef>
          </c:cat>
          <c:val>
            <c:numRef>
              <c:f>'Sta_Cu '!$BK$144:$BK$173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3-4C07-8251-BBA6FB147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(%Cu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'!$AA$110:$AA$139</c:f>
              <c:numCache>
                <c:formatCode>General</c:formatCode>
                <c:ptCount val="30"/>
                <c:pt idx="0">
                  <c:v>3.3658196007105561E-2</c:v>
                </c:pt>
                <c:pt idx="1">
                  <c:v>5.0184052111163585E-2</c:v>
                </c:pt>
                <c:pt idx="2">
                  <c:v>7.1321743309763333E-2</c:v>
                </c:pt>
                <c:pt idx="3">
                  <c:v>9.6618326035651125E-2</c:v>
                </c:pt>
                <c:pt idx="4">
                  <c:v>0.12476087208971468</c:v>
                </c:pt>
                <c:pt idx="5">
                  <c:v>0.1535601858687034</c:v>
                </c:pt>
                <c:pt idx="6">
                  <c:v>0.18016075393799799</c:v>
                </c:pt>
                <c:pt idx="7">
                  <c:v>0.20147589160047732</c:v>
                </c:pt>
                <c:pt idx="8">
                  <c:v>0.21476688410731334</c:v>
                </c:pt>
                <c:pt idx="9">
                  <c:v>0.21821916042672548</c:v>
                </c:pt>
                <c:pt idx="10">
                  <c:v>0.21134879643270144</c:v>
                </c:pt>
                <c:pt idx="11">
                  <c:v>0.19511381098342612</c:v>
                </c:pt>
                <c:pt idx="12">
                  <c:v>0.17169497253977625</c:v>
                </c:pt>
                <c:pt idx="13">
                  <c:v>0.14401524905037061</c:v>
                </c:pt>
                <c:pt idx="14">
                  <c:v>0.11514384166813002</c:v>
                </c:pt>
                <c:pt idx="15">
                  <c:v>8.775144664331766E-2</c:v>
                </c:pt>
                <c:pt idx="16">
                  <c:v>6.3745449622909317E-2</c:v>
                </c:pt>
                <c:pt idx="17">
                  <c:v>4.4139298515601437E-2</c:v>
                </c:pt>
                <c:pt idx="18">
                  <c:v>2.9132851775668173E-2</c:v>
                </c:pt>
                <c:pt idx="19">
                  <c:v>1.8328288224800773E-2</c:v>
                </c:pt>
                <c:pt idx="20">
                  <c:v>1.0991124990006524E-2</c:v>
                </c:pt>
                <c:pt idx="21">
                  <c:v>6.2826623750669996E-3</c:v>
                </c:pt>
                <c:pt idx="22">
                  <c:v>3.4231555254481587E-3</c:v>
                </c:pt>
                <c:pt idx="23">
                  <c:v>1.7778326369670284E-3</c:v>
                </c:pt>
                <c:pt idx="24">
                  <c:v>8.8010898029512263E-4</c:v>
                </c:pt>
                <c:pt idx="25">
                  <c:v>4.1530137062488395E-4</c:v>
                </c:pt>
                <c:pt idx="26">
                  <c:v>1.8679773704937227E-4</c:v>
                </c:pt>
                <c:pt idx="27">
                  <c:v>8.0086846127446921E-5</c:v>
                </c:pt>
                <c:pt idx="28">
                  <c:v>3.2728952510571023E-5</c:v>
                </c:pt>
                <c:pt idx="29">
                  <c:v>1.2749241711140646E-5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C-422A-A2D4-9F0D399A9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64C-422A-A2D4-9F0D399A95A1}"/>
              </c:ext>
            </c:extLst>
          </c:dPt>
          <c:cat>
            <c:numRef>
              <c:f>[2]Sta_Cu!$AA$85:$AA$114</c:f>
              <c:numCache>
                <c:formatCode>General</c:formatCode>
                <c:ptCount val="30"/>
                <c:pt idx="0">
                  <c:v>20</c:v>
                </c:pt>
                <c:pt idx="1">
                  <c:v>20.399999999999999</c:v>
                </c:pt>
                <c:pt idx="2">
                  <c:v>20.799999999999997</c:v>
                </c:pt>
                <c:pt idx="3">
                  <c:v>21.199999999999996</c:v>
                </c:pt>
                <c:pt idx="4">
                  <c:v>21.599999999999994</c:v>
                </c:pt>
                <c:pt idx="5">
                  <c:v>21.999999999999993</c:v>
                </c:pt>
                <c:pt idx="6">
                  <c:v>22.399999999999991</c:v>
                </c:pt>
                <c:pt idx="7">
                  <c:v>22.79999999999999</c:v>
                </c:pt>
                <c:pt idx="8">
                  <c:v>23.199999999999989</c:v>
                </c:pt>
                <c:pt idx="9">
                  <c:v>23.599999999999987</c:v>
                </c:pt>
                <c:pt idx="10">
                  <c:v>23.999999999999986</c:v>
                </c:pt>
                <c:pt idx="11">
                  <c:v>24.399999999999984</c:v>
                </c:pt>
                <c:pt idx="12">
                  <c:v>24.799999999999983</c:v>
                </c:pt>
                <c:pt idx="13">
                  <c:v>25.199999999999982</c:v>
                </c:pt>
                <c:pt idx="14">
                  <c:v>25.59999999999998</c:v>
                </c:pt>
                <c:pt idx="15">
                  <c:v>25.999999999999979</c:v>
                </c:pt>
                <c:pt idx="16">
                  <c:v>26.399999999999977</c:v>
                </c:pt>
                <c:pt idx="17">
                  <c:v>26.799999999999976</c:v>
                </c:pt>
                <c:pt idx="18">
                  <c:v>27.199999999999974</c:v>
                </c:pt>
                <c:pt idx="19">
                  <c:v>27.599999999999973</c:v>
                </c:pt>
                <c:pt idx="20">
                  <c:v>27.999999999999972</c:v>
                </c:pt>
                <c:pt idx="21">
                  <c:v>28.39999999999997</c:v>
                </c:pt>
                <c:pt idx="22">
                  <c:v>28.799999999999969</c:v>
                </c:pt>
                <c:pt idx="23">
                  <c:v>29.199999999999967</c:v>
                </c:pt>
                <c:pt idx="24">
                  <c:v>29.599999999999966</c:v>
                </c:pt>
                <c:pt idx="25">
                  <c:v>29.999999999999964</c:v>
                </c:pt>
                <c:pt idx="26">
                  <c:v>30.399999999999963</c:v>
                </c:pt>
                <c:pt idx="27">
                  <c:v>30.799999999999962</c:v>
                </c:pt>
                <c:pt idx="28">
                  <c:v>31.19999999999996</c:v>
                </c:pt>
                <c:pt idx="29">
                  <c:v>31.599999999999959</c:v>
                </c:pt>
              </c:numCache>
            </c:numRef>
          </c:cat>
          <c:val>
            <c:numRef>
              <c:f>'Sta_Cu '!$AA$144:$AA$173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C-422A-A2D4-9F0D399A9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(%Cu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'!$AB$110:$AB$139</c:f>
              <c:numCache>
                <c:formatCode>General</c:formatCode>
                <c:ptCount val="30"/>
                <c:pt idx="0">
                  <c:v>3.2339861958928878E-2</c:v>
                </c:pt>
                <c:pt idx="1">
                  <c:v>5.3706541251536004E-2</c:v>
                </c:pt>
                <c:pt idx="2">
                  <c:v>8.3157834387411311E-2</c:v>
                </c:pt>
                <c:pt idx="3">
                  <c:v>0.12005109379314198</c:v>
                </c:pt>
                <c:pt idx="4">
                  <c:v>0.16159057850048106</c:v>
                </c:pt>
                <c:pt idx="5">
                  <c:v>0.20279297861494855</c:v>
                </c:pt>
                <c:pt idx="6">
                  <c:v>0.23728853582837098</c:v>
                </c:pt>
                <c:pt idx="7">
                  <c:v>0.25887348061262128</c:v>
                </c:pt>
                <c:pt idx="8">
                  <c:v>0.26332090151264737</c:v>
                </c:pt>
                <c:pt idx="9">
                  <c:v>0.249729626488151</c:v>
                </c:pt>
                <c:pt idx="10">
                  <c:v>0.22082170860801806</c:v>
                </c:pt>
                <c:pt idx="11">
                  <c:v>0.18205408497482445</c:v>
                </c:pt>
                <c:pt idx="12">
                  <c:v>0.13994134846868186</c:v>
                </c:pt>
                <c:pt idx="13">
                  <c:v>0.10029485265267776</c:v>
                </c:pt>
                <c:pt idx="14">
                  <c:v>6.7019039426714153E-2</c:v>
                </c:pt>
                <c:pt idx="15">
                  <c:v>4.1754637443596768E-2</c:v>
                </c:pt>
                <c:pt idx="16">
                  <c:v>2.4254827998550613E-2</c:v>
                </c:pt>
                <c:pt idx="17">
                  <c:v>1.3136469001243462E-2</c:v>
                </c:pt>
                <c:pt idx="18">
                  <c:v>6.6335507405498569E-3</c:v>
                </c:pt>
                <c:pt idx="19">
                  <c:v>3.1232045560283276E-3</c:v>
                </c:pt>
                <c:pt idx="20">
                  <c:v>1.3710136148719363E-3</c:v>
                </c:pt>
                <c:pt idx="21">
                  <c:v>5.6113850351373329E-4</c:v>
                </c:pt>
                <c:pt idx="22">
                  <c:v>2.141338550261463E-4</c:v>
                </c:pt>
                <c:pt idx="23">
                  <c:v>7.6188174110907342E-5</c:v>
                </c:pt>
                <c:pt idx="24">
                  <c:v>2.5274161691641767E-5</c:v>
                </c:pt>
                <c:pt idx="25">
                  <c:v>7.817230494326777E-6</c:v>
                </c:pt>
                <c:pt idx="26">
                  <c:v>2.2543224675063669E-6</c:v>
                </c:pt>
                <c:pt idx="27">
                  <c:v>6.0613048240132245E-7</c:v>
                </c:pt>
                <c:pt idx="28">
                  <c:v>1.519508644619238E-7</c:v>
                </c:pt>
                <c:pt idx="29">
                  <c:v>3.5516256923564823E-8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D-4516-BDB5-06ECCAC7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98D-4516-BDB5-06ECCAC71292}"/>
              </c:ext>
            </c:extLst>
          </c:dPt>
          <c:cat>
            <c:numRef>
              <c:f>[2]Sta_Cu!$AB$85:$AB$114</c:f>
              <c:numCache>
                <c:formatCode>General</c:formatCode>
                <c:ptCount val="30"/>
                <c:pt idx="0">
                  <c:v>20</c:v>
                </c:pt>
                <c:pt idx="1">
                  <c:v>20.399999999999999</c:v>
                </c:pt>
                <c:pt idx="2">
                  <c:v>20.799999999999997</c:v>
                </c:pt>
                <c:pt idx="3">
                  <c:v>21.199999999999996</c:v>
                </c:pt>
                <c:pt idx="4">
                  <c:v>21.599999999999994</c:v>
                </c:pt>
                <c:pt idx="5">
                  <c:v>21.999999999999993</c:v>
                </c:pt>
                <c:pt idx="6">
                  <c:v>22.399999999999991</c:v>
                </c:pt>
                <c:pt idx="7">
                  <c:v>22.79999999999999</c:v>
                </c:pt>
                <c:pt idx="8">
                  <c:v>23.199999999999989</c:v>
                </c:pt>
                <c:pt idx="9">
                  <c:v>23.599999999999987</c:v>
                </c:pt>
                <c:pt idx="10">
                  <c:v>23.999999999999986</c:v>
                </c:pt>
                <c:pt idx="11">
                  <c:v>24.399999999999984</c:v>
                </c:pt>
                <c:pt idx="12">
                  <c:v>24.799999999999983</c:v>
                </c:pt>
                <c:pt idx="13">
                  <c:v>25.199999999999982</c:v>
                </c:pt>
                <c:pt idx="14">
                  <c:v>25.59999999999998</c:v>
                </c:pt>
                <c:pt idx="15">
                  <c:v>25.999999999999979</c:v>
                </c:pt>
                <c:pt idx="16">
                  <c:v>26.399999999999977</c:v>
                </c:pt>
                <c:pt idx="17">
                  <c:v>26.799999999999976</c:v>
                </c:pt>
                <c:pt idx="18">
                  <c:v>27.199999999999974</c:v>
                </c:pt>
                <c:pt idx="19">
                  <c:v>27.599999999999973</c:v>
                </c:pt>
                <c:pt idx="20">
                  <c:v>27.999999999999972</c:v>
                </c:pt>
                <c:pt idx="21">
                  <c:v>28.39999999999997</c:v>
                </c:pt>
                <c:pt idx="22">
                  <c:v>28.799999999999969</c:v>
                </c:pt>
                <c:pt idx="23">
                  <c:v>29.199999999999967</c:v>
                </c:pt>
                <c:pt idx="24">
                  <c:v>29.599999999999966</c:v>
                </c:pt>
                <c:pt idx="25">
                  <c:v>29.999999999999964</c:v>
                </c:pt>
                <c:pt idx="26">
                  <c:v>30.399999999999963</c:v>
                </c:pt>
                <c:pt idx="27">
                  <c:v>30.799999999999962</c:v>
                </c:pt>
                <c:pt idx="28">
                  <c:v>31.19999999999996</c:v>
                </c:pt>
                <c:pt idx="29">
                  <c:v>31.599999999999959</c:v>
                </c:pt>
              </c:numCache>
            </c:numRef>
          </c:cat>
          <c:val>
            <c:numRef>
              <c:f>'Sta_Cu '!$AB$144:$AB$173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10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8D-4516-BDB5-06ECCAC7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(%Cu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'Sta_Cu '!$AC$110:$AC$139</c:f>
              <c:numCache>
                <c:formatCode>General</c:formatCode>
                <c:ptCount val="30"/>
                <c:pt idx="0">
                  <c:v>2.2509707614524008E-3</c:v>
                </c:pt>
                <c:pt idx="1">
                  <c:v>3.6612765562649644E-3</c:v>
                </c:pt>
                <c:pt idx="2">
                  <c:v>5.7948201654236088E-3</c:v>
                </c:pt>
                <c:pt idx="3">
                  <c:v>8.9246694100886242E-3</c:v>
                </c:pt>
                <c:pt idx="4">
                  <c:v>1.3374854309256683E-2</c:v>
                </c:pt>
                <c:pt idx="5">
                  <c:v>1.9504316210157278E-2</c:v>
                </c:pt>
                <c:pt idx="6">
                  <c:v>2.767688094519704E-2</c:v>
                </c:pt>
                <c:pt idx="7">
                  <c:v>3.8216271092309954E-2</c:v>
                </c:pt>
                <c:pt idx="8">
                  <c:v>5.1348081225249101E-2</c:v>
                </c:pt>
                <c:pt idx="9">
                  <c:v>6.7134363714437886E-2</c:v>
                </c:pt>
                <c:pt idx="10">
                  <c:v>8.541030678332974E-2</c:v>
                </c:pt>
                <c:pt idx="11">
                  <c:v>0.10573540511163391</c:v>
                </c:pt>
                <c:pt idx="12">
                  <c:v>0.12737240011530548</c:v>
                </c:pt>
                <c:pt idx="13">
                  <c:v>0.14930521539252312</c:v>
                </c:pt>
                <c:pt idx="14">
                  <c:v>0.17030185220972707</c:v>
                </c:pt>
                <c:pt idx="15">
                  <c:v>0.18902032759069537</c:v>
                </c:pt>
                <c:pt idx="16">
                  <c:v>0.20414671630751405</c:v>
                </c:pt>
                <c:pt idx="17">
                  <c:v>0.21454630186055476</c:v>
                </c:pt>
                <c:pt idx="18">
                  <c:v>0.21940393601016206</c:v>
                </c:pt>
                <c:pt idx="19">
                  <c:v>0.21832956164906842</c:v>
                </c:pt>
                <c:pt idx="20">
                  <c:v>0.21140994749710498</c:v>
                </c:pt>
                <c:pt idx="21">
                  <c:v>0.19919711353513053</c:v>
                </c:pt>
                <c:pt idx="22">
                  <c:v>0.18263558948073869</c:v>
                </c:pt>
                <c:pt idx="23">
                  <c:v>0.16294180671751254</c:v>
                </c:pt>
                <c:pt idx="24">
                  <c:v>0.14145698306538257</c:v>
                </c:pt>
                <c:pt idx="25">
                  <c:v>0.11949810061682793</c:v>
                </c:pt>
                <c:pt idx="26">
                  <c:v>9.8229596577288622E-2</c:v>
                </c:pt>
                <c:pt idx="27">
                  <c:v>7.8572118972782073E-2</c:v>
                </c:pt>
                <c:pt idx="28">
                  <c:v>6.1156034615988522E-2</c:v>
                </c:pt>
                <c:pt idx="29">
                  <c:v>4.6318545921988134E-2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2-4EC7-AF86-19FE7AD9B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762-4EC7-AF86-19FE7AD9B87F}"/>
              </c:ext>
            </c:extLst>
          </c:dPt>
          <c:cat>
            <c:numRef>
              <c:f>[2]Sta_Cu!$AC$85:$AC$114</c:f>
              <c:numCache>
                <c:formatCode>General</c:formatCode>
                <c:ptCount val="30"/>
                <c:pt idx="0">
                  <c:v>-5</c:v>
                </c:pt>
                <c:pt idx="1">
                  <c:v>-4.7</c:v>
                </c:pt>
                <c:pt idx="2">
                  <c:v>-4.4000000000000004</c:v>
                </c:pt>
                <c:pt idx="3">
                  <c:v>-4.1000000000000005</c:v>
                </c:pt>
                <c:pt idx="4">
                  <c:v>-3.8000000000000007</c:v>
                </c:pt>
                <c:pt idx="5">
                  <c:v>-3.5000000000000009</c:v>
                </c:pt>
                <c:pt idx="6">
                  <c:v>-3.2000000000000011</c:v>
                </c:pt>
                <c:pt idx="7">
                  <c:v>-2.9000000000000012</c:v>
                </c:pt>
                <c:pt idx="8">
                  <c:v>-2.6000000000000014</c:v>
                </c:pt>
                <c:pt idx="9">
                  <c:v>-2.3000000000000016</c:v>
                </c:pt>
                <c:pt idx="10">
                  <c:v>-2.0000000000000018</c:v>
                </c:pt>
                <c:pt idx="11">
                  <c:v>-1.7000000000000017</c:v>
                </c:pt>
                <c:pt idx="12">
                  <c:v>-1.4000000000000017</c:v>
                </c:pt>
                <c:pt idx="13">
                  <c:v>-1.1000000000000016</c:v>
                </c:pt>
                <c:pt idx="14">
                  <c:v>-0.8000000000000016</c:v>
                </c:pt>
                <c:pt idx="15">
                  <c:v>-0.50000000000000155</c:v>
                </c:pt>
                <c:pt idx="16">
                  <c:v>-0.20000000000000157</c:v>
                </c:pt>
                <c:pt idx="17">
                  <c:v>9.9999999999998423E-2</c:v>
                </c:pt>
                <c:pt idx="18">
                  <c:v>0.39999999999999841</c:v>
                </c:pt>
                <c:pt idx="19">
                  <c:v>0.6999999999999984</c:v>
                </c:pt>
                <c:pt idx="20">
                  <c:v>0.99999999999999845</c:v>
                </c:pt>
                <c:pt idx="21">
                  <c:v>1.2999999999999985</c:v>
                </c:pt>
                <c:pt idx="22">
                  <c:v>1.5999999999999985</c:v>
                </c:pt>
                <c:pt idx="23">
                  <c:v>1.8999999999999986</c:v>
                </c:pt>
                <c:pt idx="24">
                  <c:v>2.1999999999999984</c:v>
                </c:pt>
                <c:pt idx="25">
                  <c:v>2.4999999999999982</c:v>
                </c:pt>
                <c:pt idx="26">
                  <c:v>2.799999999999998</c:v>
                </c:pt>
                <c:pt idx="27">
                  <c:v>3.0999999999999979</c:v>
                </c:pt>
                <c:pt idx="28">
                  <c:v>3.3999999999999977</c:v>
                </c:pt>
                <c:pt idx="29">
                  <c:v>3.6999999999999975</c:v>
                </c:pt>
              </c:numCache>
            </c:numRef>
          </c:cat>
          <c:val>
            <c:numRef>
              <c:f>'Sta_Cu '!$AC$144:$AC$173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62-4EC7-AF86-19FE7AD9B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(%Cu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'!$BM$110:$BM$139</c:f>
              <c:numCache>
                <c:formatCode>General</c:formatCode>
                <c:ptCount val="30"/>
                <c:pt idx="0">
                  <c:v>1.9021103997372196E-2</c:v>
                </c:pt>
                <c:pt idx="1">
                  <c:v>2.9831388448751366E-2</c:v>
                </c:pt>
                <c:pt idx="2">
                  <c:v>4.4672954062430006E-2</c:v>
                </c:pt>
                <c:pt idx="3">
                  <c:v>6.3877709274888991E-2</c:v>
                </c:pt>
                <c:pt idx="4">
                  <c:v>8.7214250399962889E-2</c:v>
                </c:pt>
                <c:pt idx="5">
                  <c:v>0.11369962402817843</c:v>
                </c:pt>
                <c:pt idx="6">
                  <c:v>0.14153506934870819</c:v>
                </c:pt>
                <c:pt idx="7">
                  <c:v>0.1682296543863524</c:v>
                </c:pt>
                <c:pt idx="8">
                  <c:v>0.19093014422647164</c:v>
                </c:pt>
                <c:pt idx="9">
                  <c:v>0.20690924965789409</c:v>
                </c:pt>
                <c:pt idx="10">
                  <c:v>0.21410103569832067</c:v>
                </c:pt>
                <c:pt idx="11">
                  <c:v>0.21153931212789009</c:v>
                </c:pt>
                <c:pt idx="12">
                  <c:v>0.1995707386256998</c:v>
                </c:pt>
                <c:pt idx="13">
                  <c:v>0.17977781543260216</c:v>
                </c:pt>
                <c:pt idx="14">
                  <c:v>0.15463535302729159</c:v>
                </c:pt>
                <c:pt idx="15">
                  <c:v>0.12700328044645842</c:v>
                </c:pt>
                <c:pt idx="16">
                  <c:v>9.9598900603735052E-2</c:v>
                </c:pt>
                <c:pt idx="17">
                  <c:v>7.4580897906989116E-2</c:v>
                </c:pt>
                <c:pt idx="18">
                  <c:v>5.332540075962957E-2</c:v>
                </c:pt>
                <c:pt idx="19">
                  <c:v>3.6406095633311951E-2</c:v>
                </c:pt>
                <c:pt idx="20">
                  <c:v>2.3732721363730003E-2</c:v>
                </c:pt>
                <c:pt idx="21">
                  <c:v>1.4772514755142498E-2</c:v>
                </c:pt>
                <c:pt idx="22">
                  <c:v>8.7800053739920669E-3</c:v>
                </c:pt>
                <c:pt idx="23">
                  <c:v>4.9827441536951858E-3</c:v>
                </c:pt>
                <c:pt idx="24">
                  <c:v>2.7000751510877978E-3</c:v>
                </c:pt>
                <c:pt idx="25">
                  <c:v>1.3970648726932455E-3</c:v>
                </c:pt>
                <c:pt idx="26">
                  <c:v>6.902251047011793E-4</c:v>
                </c:pt>
                <c:pt idx="27">
                  <c:v>3.2561048920725418E-4</c:v>
                </c:pt>
                <c:pt idx="28">
                  <c:v>1.4666938789920271E-4</c:v>
                </c:pt>
                <c:pt idx="29">
                  <c:v>6.3083245607648957E-5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6-4E82-AF88-8826D4BD9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766-4E82-AF88-8826D4BD9245}"/>
              </c:ext>
            </c:extLst>
          </c:dPt>
          <c:cat>
            <c:numRef>
              <c:f>[2]Sta_Cu!$BM$85:$BM$114</c:f>
              <c:numCache>
                <c:formatCode>General</c:formatCode>
                <c:ptCount val="30"/>
                <c:pt idx="0">
                  <c:v>20</c:v>
                </c:pt>
                <c:pt idx="1">
                  <c:v>20.399999999999999</c:v>
                </c:pt>
                <c:pt idx="2">
                  <c:v>20.799999999999997</c:v>
                </c:pt>
                <c:pt idx="3">
                  <c:v>21.199999999999996</c:v>
                </c:pt>
                <c:pt idx="4">
                  <c:v>21.599999999999994</c:v>
                </c:pt>
                <c:pt idx="5">
                  <c:v>21.999999999999993</c:v>
                </c:pt>
                <c:pt idx="6">
                  <c:v>22.399999999999991</c:v>
                </c:pt>
                <c:pt idx="7">
                  <c:v>22.79999999999999</c:v>
                </c:pt>
                <c:pt idx="8">
                  <c:v>23.199999999999989</c:v>
                </c:pt>
                <c:pt idx="9">
                  <c:v>23.599999999999987</c:v>
                </c:pt>
                <c:pt idx="10">
                  <c:v>23.999999999999986</c:v>
                </c:pt>
                <c:pt idx="11">
                  <c:v>24.399999999999984</c:v>
                </c:pt>
                <c:pt idx="12">
                  <c:v>24.799999999999983</c:v>
                </c:pt>
                <c:pt idx="13">
                  <c:v>25.199999999999982</c:v>
                </c:pt>
                <c:pt idx="14">
                  <c:v>25.59999999999998</c:v>
                </c:pt>
                <c:pt idx="15">
                  <c:v>25.999999999999979</c:v>
                </c:pt>
                <c:pt idx="16">
                  <c:v>26.399999999999977</c:v>
                </c:pt>
                <c:pt idx="17">
                  <c:v>26.799999999999976</c:v>
                </c:pt>
                <c:pt idx="18">
                  <c:v>27.199999999999974</c:v>
                </c:pt>
                <c:pt idx="19">
                  <c:v>27.599999999999973</c:v>
                </c:pt>
                <c:pt idx="20">
                  <c:v>27.999999999999972</c:v>
                </c:pt>
                <c:pt idx="21">
                  <c:v>28.39999999999997</c:v>
                </c:pt>
                <c:pt idx="22">
                  <c:v>28.799999999999969</c:v>
                </c:pt>
                <c:pt idx="23">
                  <c:v>29.199999999999967</c:v>
                </c:pt>
                <c:pt idx="24">
                  <c:v>29.599999999999966</c:v>
                </c:pt>
                <c:pt idx="25">
                  <c:v>29.999999999999964</c:v>
                </c:pt>
                <c:pt idx="26">
                  <c:v>30.399999999999963</c:v>
                </c:pt>
                <c:pt idx="27">
                  <c:v>30.799999999999962</c:v>
                </c:pt>
                <c:pt idx="28">
                  <c:v>31.19999999999996</c:v>
                </c:pt>
                <c:pt idx="29">
                  <c:v>31.599999999999959</c:v>
                </c:pt>
              </c:numCache>
            </c:numRef>
          </c:cat>
          <c:val>
            <c:numRef>
              <c:f>'Sta_Cu '!$BM$144:$BM$173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66-4E82-AF88-8826D4BD9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(%Cu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'Sta_Cu '!$BN$110:$BN$139</c:f>
              <c:numCache>
                <c:formatCode>General</c:formatCode>
                <c:ptCount val="30"/>
                <c:pt idx="0">
                  <c:v>1.7795236081634663E-2</c:v>
                </c:pt>
                <c:pt idx="1">
                  <c:v>3.2267730741571125E-2</c:v>
                </c:pt>
                <c:pt idx="2">
                  <c:v>5.4370657719541776E-2</c:v>
                </c:pt>
                <c:pt idx="3">
                  <c:v>8.5131883308209325E-2</c:v>
                </c:pt>
                <c:pt idx="4">
                  <c:v>0.1238657930272833</c:v>
                </c:pt>
                <c:pt idx="5">
                  <c:v>0.16747193024402196</c:v>
                </c:pt>
                <c:pt idx="6">
                  <c:v>0.21040892446015458</c:v>
                </c:pt>
                <c:pt idx="7">
                  <c:v>0.24565057153012651</c:v>
                </c:pt>
                <c:pt idx="8">
                  <c:v>0.26650348553105507</c:v>
                </c:pt>
                <c:pt idx="9">
                  <c:v>0.268670200845045</c:v>
                </c:pt>
                <c:pt idx="10">
                  <c:v>0.25169094916964857</c:v>
                </c:pt>
                <c:pt idx="11">
                  <c:v>0.21910242745039168</c:v>
                </c:pt>
                <c:pt idx="12">
                  <c:v>0.1772385840423002</c:v>
                </c:pt>
                <c:pt idx="13">
                  <c:v>0.13322963756762574</c:v>
                </c:pt>
                <c:pt idx="14">
                  <c:v>9.30625424388173E-2</c:v>
                </c:pt>
                <c:pt idx="15">
                  <c:v>6.0406054738154552E-2</c:v>
                </c:pt>
                <c:pt idx="16">
                  <c:v>3.6434895026018953E-2</c:v>
                </c:pt>
                <c:pt idx="17">
                  <c:v>2.04214260175648E-2</c:v>
                </c:pt>
                <c:pt idx="18">
                  <c:v>1.0636190328099116E-2</c:v>
                </c:pt>
                <c:pt idx="19">
                  <c:v>5.1477521301318907E-3</c:v>
                </c:pt>
                <c:pt idx="20">
                  <c:v>2.3151580568094438E-3</c:v>
                </c:pt>
                <c:pt idx="21">
                  <c:v>9.6755387524089236E-4</c:v>
                </c:pt>
                <c:pt idx="22">
                  <c:v>3.7575187778408296E-4</c:v>
                </c:pt>
                <c:pt idx="23">
                  <c:v>1.3559967684411708E-4</c:v>
                </c:pt>
                <c:pt idx="24">
                  <c:v>4.5472375388208502E-5</c:v>
                </c:pt>
                <c:pt idx="25">
                  <c:v>1.4169943561808186E-5</c:v>
                </c:pt>
                <c:pt idx="26">
                  <c:v>4.1031754866537004E-6</c:v>
                </c:pt>
                <c:pt idx="27">
                  <c:v>1.104087656372955E-6</c:v>
                </c:pt>
                <c:pt idx="28">
                  <c:v>2.7606955142769083E-7</c:v>
                </c:pt>
                <c:pt idx="29">
                  <c:v>6.4145317141683447E-8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A-4437-9A94-019E6D7B6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4CA-4437-9A94-019E6D7B6538}"/>
              </c:ext>
            </c:extLst>
          </c:dPt>
          <c:cat>
            <c:numRef>
              <c:f>[2]Sta_Cu!$BN$85:$BN$114</c:f>
              <c:numCache>
                <c:formatCode>General</c:formatCode>
                <c:ptCount val="30"/>
                <c:pt idx="0">
                  <c:v>20</c:v>
                </c:pt>
                <c:pt idx="1">
                  <c:v>20.399999999999999</c:v>
                </c:pt>
                <c:pt idx="2">
                  <c:v>20.799999999999997</c:v>
                </c:pt>
                <c:pt idx="3">
                  <c:v>21.199999999999996</c:v>
                </c:pt>
                <c:pt idx="4">
                  <c:v>21.599999999999994</c:v>
                </c:pt>
                <c:pt idx="5">
                  <c:v>21.999999999999993</c:v>
                </c:pt>
                <c:pt idx="6">
                  <c:v>22.399999999999991</c:v>
                </c:pt>
                <c:pt idx="7">
                  <c:v>22.79999999999999</c:v>
                </c:pt>
                <c:pt idx="8">
                  <c:v>23.199999999999989</c:v>
                </c:pt>
                <c:pt idx="9">
                  <c:v>23.599999999999987</c:v>
                </c:pt>
                <c:pt idx="10">
                  <c:v>23.999999999999986</c:v>
                </c:pt>
                <c:pt idx="11">
                  <c:v>24.399999999999984</c:v>
                </c:pt>
                <c:pt idx="12">
                  <c:v>24.799999999999983</c:v>
                </c:pt>
                <c:pt idx="13">
                  <c:v>25.199999999999982</c:v>
                </c:pt>
                <c:pt idx="14">
                  <c:v>25.59999999999998</c:v>
                </c:pt>
                <c:pt idx="15">
                  <c:v>25.999999999999979</c:v>
                </c:pt>
                <c:pt idx="16">
                  <c:v>26.399999999999977</c:v>
                </c:pt>
                <c:pt idx="17">
                  <c:v>26.799999999999976</c:v>
                </c:pt>
                <c:pt idx="18">
                  <c:v>27.199999999999974</c:v>
                </c:pt>
                <c:pt idx="19">
                  <c:v>27.599999999999973</c:v>
                </c:pt>
                <c:pt idx="20">
                  <c:v>27.999999999999972</c:v>
                </c:pt>
                <c:pt idx="21">
                  <c:v>28.39999999999997</c:v>
                </c:pt>
                <c:pt idx="22">
                  <c:v>28.799999999999969</c:v>
                </c:pt>
                <c:pt idx="23">
                  <c:v>29.199999999999967</c:v>
                </c:pt>
                <c:pt idx="24">
                  <c:v>29.599999999999966</c:v>
                </c:pt>
                <c:pt idx="25">
                  <c:v>29.999999999999964</c:v>
                </c:pt>
                <c:pt idx="26">
                  <c:v>30.399999999999963</c:v>
                </c:pt>
                <c:pt idx="27">
                  <c:v>30.799999999999962</c:v>
                </c:pt>
                <c:pt idx="28">
                  <c:v>31.19999999999996</c:v>
                </c:pt>
                <c:pt idx="29">
                  <c:v>31.599999999999959</c:v>
                </c:pt>
              </c:numCache>
            </c:numRef>
          </c:cat>
          <c:val>
            <c:numRef>
              <c:f>'Sta_Cu '!$BN$144:$BN$173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CA-4437-9A94-019E6D7B6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(%Cu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'Sta_Cu '!$BO$110:$BO$139</c:f>
              <c:numCache>
                <c:formatCode>General</c:formatCode>
                <c:ptCount val="30"/>
                <c:pt idx="0">
                  <c:v>4.5042887900853317E-3</c:v>
                </c:pt>
                <c:pt idx="1">
                  <c:v>7.1625967541548699E-3</c:v>
                </c:pt>
                <c:pt idx="2">
                  <c:v>1.104742407219402E-2</c:v>
                </c:pt>
                <c:pt idx="3">
                  <c:v>1.6527143529399348E-2</c:v>
                </c:pt>
                <c:pt idx="4">
                  <c:v>2.3981747254108645E-2</c:v>
                </c:pt>
                <c:pt idx="5">
                  <c:v>3.3752822380851005E-2</c:v>
                </c:pt>
                <c:pt idx="6">
                  <c:v>4.6077150744279829E-2</c:v>
                </c:pt>
                <c:pt idx="7">
                  <c:v>6.1010893803002293E-2</c:v>
                </c:pt>
                <c:pt idx="8">
                  <c:v>7.8356568481176558E-2</c:v>
                </c:pt>
                <c:pt idx="9">
                  <c:v>9.7608958526330655E-2</c:v>
                </c:pt>
                <c:pt idx="10">
                  <c:v>0.11793703332075375</c:v>
                </c:pt>
                <c:pt idx="11">
                  <c:v>0.13821556983363323</c:v>
                </c:pt>
                <c:pt idx="12">
                  <c:v>0.15711222812666109</c:v>
                </c:pt>
                <c:pt idx="13">
                  <c:v>0.17322447604102786</c:v>
                </c:pt>
                <c:pt idx="14">
                  <c:v>0.18524853177239484</c:v>
                </c:pt>
                <c:pt idx="15">
                  <c:v>0.19215272258029803</c:v>
                </c:pt>
                <c:pt idx="16">
                  <c:v>0.19332346010559617</c:v>
                </c:pt>
                <c:pt idx="17">
                  <c:v>0.18865521995856571</c:v>
                </c:pt>
                <c:pt idx="18">
                  <c:v>0.17856623535211241</c:v>
                </c:pt>
                <c:pt idx="19">
                  <c:v>0.16393666975727444</c:v>
                </c:pt>
                <c:pt idx="20">
                  <c:v>0.14598193766220982</c:v>
                </c:pt>
                <c:pt idx="21">
                  <c:v>0.12608644174715761</c:v>
                </c:pt>
                <c:pt idx="22">
                  <c:v>0.10562917874916207</c:v>
                </c:pt>
                <c:pt idx="23">
                  <c:v>8.5831295416835901E-2</c:v>
                </c:pt>
                <c:pt idx="24">
                  <c:v>6.7647800530378471E-2</c:v>
                </c:pt>
                <c:pt idx="25">
                  <c:v>5.1713977691668044E-2</c:v>
                </c:pt>
                <c:pt idx="26">
                  <c:v>3.8344974767235425E-2</c:v>
                </c:pt>
                <c:pt idx="27">
                  <c:v>2.7577520647598112E-2</c:v>
                </c:pt>
                <c:pt idx="28">
                  <c:v>1.9237482158290929E-2</c:v>
                </c:pt>
                <c:pt idx="29">
                  <c:v>1.3016298248089661E-2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7-4B08-B1D4-39EC64B1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607-4B08-B1D4-39EC64B1BEEE}"/>
              </c:ext>
            </c:extLst>
          </c:dPt>
          <c:cat>
            <c:numRef>
              <c:f>[2]Sta_Cu!$BO$85:$BO$114</c:f>
              <c:numCache>
                <c:formatCode>General</c:formatCode>
                <c:ptCount val="30"/>
                <c:pt idx="0">
                  <c:v>-5</c:v>
                </c:pt>
                <c:pt idx="1">
                  <c:v>-4.6399999999999997</c:v>
                </c:pt>
                <c:pt idx="2">
                  <c:v>-4.2799999999999994</c:v>
                </c:pt>
                <c:pt idx="3">
                  <c:v>-3.9199999999999995</c:v>
                </c:pt>
                <c:pt idx="4">
                  <c:v>-3.5599999999999996</c:v>
                </c:pt>
                <c:pt idx="5">
                  <c:v>-3.1999999999999997</c:v>
                </c:pt>
                <c:pt idx="6">
                  <c:v>-2.84</c:v>
                </c:pt>
                <c:pt idx="7">
                  <c:v>-2.48</c:v>
                </c:pt>
                <c:pt idx="8">
                  <c:v>-2.12</c:v>
                </c:pt>
                <c:pt idx="9">
                  <c:v>-1.7600000000000002</c:v>
                </c:pt>
                <c:pt idx="10">
                  <c:v>-1.4000000000000004</c:v>
                </c:pt>
                <c:pt idx="11">
                  <c:v>-1.0400000000000005</c:v>
                </c:pt>
                <c:pt idx="12">
                  <c:v>-0.68000000000000049</c:v>
                </c:pt>
                <c:pt idx="13">
                  <c:v>-0.32000000000000051</c:v>
                </c:pt>
                <c:pt idx="14">
                  <c:v>3.999999999999948E-2</c:v>
                </c:pt>
                <c:pt idx="15">
                  <c:v>0.39999999999999947</c:v>
                </c:pt>
                <c:pt idx="16">
                  <c:v>0.75999999999999945</c:v>
                </c:pt>
                <c:pt idx="17">
                  <c:v>1.1199999999999994</c:v>
                </c:pt>
                <c:pt idx="18">
                  <c:v>1.4799999999999995</c:v>
                </c:pt>
                <c:pt idx="19">
                  <c:v>1.8399999999999994</c:v>
                </c:pt>
                <c:pt idx="20">
                  <c:v>2.1999999999999993</c:v>
                </c:pt>
                <c:pt idx="21">
                  <c:v>2.5599999999999992</c:v>
                </c:pt>
                <c:pt idx="22">
                  <c:v>2.919999999999999</c:v>
                </c:pt>
                <c:pt idx="23">
                  <c:v>3.2799999999999989</c:v>
                </c:pt>
                <c:pt idx="24">
                  <c:v>3.6399999999999988</c:v>
                </c:pt>
                <c:pt idx="25">
                  <c:v>3.9999999999999987</c:v>
                </c:pt>
                <c:pt idx="26">
                  <c:v>4.3599999999999985</c:v>
                </c:pt>
                <c:pt idx="27">
                  <c:v>4.7199999999999989</c:v>
                </c:pt>
                <c:pt idx="28">
                  <c:v>5.0799999999999992</c:v>
                </c:pt>
                <c:pt idx="29">
                  <c:v>5.4399999999999995</c:v>
                </c:pt>
              </c:numCache>
            </c:numRef>
          </c:cat>
          <c:val>
            <c:numRef>
              <c:f>'Sta_Cu '!$BO$144:$BO$173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5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07-4B08-B1D4-39EC64B1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(%Mo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'!$AE$110:$AE$139</c:f>
              <c:numCache>
                <c:formatCode>General</c:formatCode>
                <c:ptCount val="30"/>
                <c:pt idx="0">
                  <c:v>9.1747094162274289E-3</c:v>
                </c:pt>
                <c:pt idx="1">
                  <c:v>1.3872415421089152E-2</c:v>
                </c:pt>
                <c:pt idx="2">
                  <c:v>2.0490199761936698E-2</c:v>
                </c:pt>
                <c:pt idx="3">
                  <c:v>2.9564779099166195E-2</c:v>
                </c:pt>
                <c:pt idx="4">
                  <c:v>4.1671335927868536E-2</c:v>
                </c:pt>
                <c:pt idx="5">
                  <c:v>5.7376565458317132E-2</c:v>
                </c:pt>
                <c:pt idx="6">
                  <c:v>7.7173111654066665E-2</c:v>
                </c:pt>
                <c:pt idx="7">
                  <c:v>0.10139856627388086</c:v>
                </c:pt>
                <c:pt idx="8">
                  <c:v>0.13014633910202142</c:v>
                </c:pt>
                <c:pt idx="9">
                  <c:v>0.16317981539900309</c:v>
                </c:pt>
                <c:pt idx="10">
                  <c:v>0.19986431427549942</c:v>
                </c:pt>
                <c:pt idx="11">
                  <c:v>0.2391323971758913</c:v>
                </c:pt>
                <c:pt idx="12">
                  <c:v>0.27949620552132531</c:v>
                </c:pt>
                <c:pt idx="13">
                  <c:v>0.3191153934896554</c:v>
                </c:pt>
                <c:pt idx="14">
                  <c:v>0.35592126096812432</c:v>
                </c:pt>
                <c:pt idx="15">
                  <c:v>0.38778807315616204</c:v>
                </c:pt>
                <c:pt idx="16">
                  <c:v>0.41273310369620303</c:v>
                </c:pt>
                <c:pt idx="17">
                  <c:v>0.42911974500134942</c:v>
                </c:pt>
                <c:pt idx="18">
                  <c:v>0.43583492821926323</c:v>
                </c:pt>
                <c:pt idx="19">
                  <c:v>0.43241415816439766</c:v>
                </c:pt>
                <c:pt idx="20">
                  <c:v>0.41909465075510682</c:v>
                </c:pt>
                <c:pt idx="21">
                  <c:v>0.39678812773610916</c:v>
                </c:pt>
                <c:pt idx="22">
                  <c:v>0.36697760326444578</c:v>
                </c:pt>
                <c:pt idx="23">
                  <c:v>0.3315543955704825</c:v>
                </c:pt>
                <c:pt idx="24">
                  <c:v>0.29262023792904063</c:v>
                </c:pt>
                <c:pt idx="25">
                  <c:v>0.25228316308508991</c:v>
                </c:pt>
                <c:pt idx="26">
                  <c:v>0.21247435279535179</c:v>
                </c:pt>
                <c:pt idx="27">
                  <c:v>0.17480711358764606</c:v>
                </c:pt>
                <c:pt idx="28">
                  <c:v>0.14049019903422541</c:v>
                </c:pt>
                <c:pt idx="29">
                  <c:v>0.11029791247091494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FD-4ED8-A5C9-C8AAC74F2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9FD-4ED8-A5C9-C8AAC74F26E7}"/>
              </c:ext>
            </c:extLst>
          </c:dPt>
          <c:cat>
            <c:numRef>
              <c:f>[2]Sta_Cu!$AE$85:$AE$114</c:f>
              <c:numCache>
                <c:formatCode>General</c:formatCode>
                <c:ptCount val="30"/>
                <c:pt idx="0">
                  <c:v>-0.4</c:v>
                </c:pt>
                <c:pt idx="1">
                  <c:v>-0.26</c:v>
                </c:pt>
                <c:pt idx="2">
                  <c:v>-0.12</c:v>
                </c:pt>
                <c:pt idx="3">
                  <c:v>2.0000000000000018E-2</c:v>
                </c:pt>
                <c:pt idx="4">
                  <c:v>0.16000000000000003</c:v>
                </c:pt>
                <c:pt idx="5">
                  <c:v>0.30000000000000004</c:v>
                </c:pt>
                <c:pt idx="6">
                  <c:v>0.44000000000000006</c:v>
                </c:pt>
                <c:pt idx="7">
                  <c:v>0.58000000000000007</c:v>
                </c:pt>
                <c:pt idx="8">
                  <c:v>0.72000000000000008</c:v>
                </c:pt>
                <c:pt idx="9">
                  <c:v>0.8600000000000001</c:v>
                </c:pt>
                <c:pt idx="10">
                  <c:v>1</c:v>
                </c:pt>
                <c:pt idx="11">
                  <c:v>1.1400000000000001</c:v>
                </c:pt>
                <c:pt idx="12">
                  <c:v>1.2800000000000002</c:v>
                </c:pt>
                <c:pt idx="13">
                  <c:v>1.4200000000000004</c:v>
                </c:pt>
                <c:pt idx="14">
                  <c:v>1.5600000000000005</c:v>
                </c:pt>
                <c:pt idx="15">
                  <c:v>1.7000000000000006</c:v>
                </c:pt>
                <c:pt idx="16">
                  <c:v>1.8400000000000007</c:v>
                </c:pt>
                <c:pt idx="17">
                  <c:v>1.9800000000000009</c:v>
                </c:pt>
                <c:pt idx="18">
                  <c:v>2.120000000000001</c:v>
                </c:pt>
                <c:pt idx="19">
                  <c:v>2.2600000000000011</c:v>
                </c:pt>
                <c:pt idx="20">
                  <c:v>2.4000000000000012</c:v>
                </c:pt>
                <c:pt idx="21">
                  <c:v>2.5400000000000014</c:v>
                </c:pt>
                <c:pt idx="22">
                  <c:v>2.6800000000000015</c:v>
                </c:pt>
                <c:pt idx="23">
                  <c:v>2.8200000000000016</c:v>
                </c:pt>
                <c:pt idx="24">
                  <c:v>2.9600000000000017</c:v>
                </c:pt>
                <c:pt idx="25">
                  <c:v>3.1000000000000019</c:v>
                </c:pt>
                <c:pt idx="26">
                  <c:v>3.240000000000002</c:v>
                </c:pt>
                <c:pt idx="27">
                  <c:v>3.3800000000000021</c:v>
                </c:pt>
                <c:pt idx="28">
                  <c:v>3.5200000000000022</c:v>
                </c:pt>
                <c:pt idx="29">
                  <c:v>3.6600000000000024</c:v>
                </c:pt>
              </c:numCache>
            </c:numRef>
          </c:cat>
          <c:val>
            <c:numRef>
              <c:f>'Sta_Cu '!$AE$144:$AE$173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FD-4ED8-A5C9-C8AAC74F2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(%Mo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'!$AB$110:$AB$139</c:f>
              <c:numCache>
                <c:formatCode>General</c:formatCode>
                <c:ptCount val="30"/>
                <c:pt idx="0">
                  <c:v>3.2339861958928878E-2</c:v>
                </c:pt>
                <c:pt idx="1">
                  <c:v>5.3706541251536004E-2</c:v>
                </c:pt>
                <c:pt idx="2">
                  <c:v>8.3157834387411311E-2</c:v>
                </c:pt>
                <c:pt idx="3">
                  <c:v>0.12005109379314198</c:v>
                </c:pt>
                <c:pt idx="4">
                  <c:v>0.16159057850048106</c:v>
                </c:pt>
                <c:pt idx="5">
                  <c:v>0.20279297861494855</c:v>
                </c:pt>
                <c:pt idx="6">
                  <c:v>0.23728853582837098</c:v>
                </c:pt>
                <c:pt idx="7">
                  <c:v>0.25887348061262128</c:v>
                </c:pt>
                <c:pt idx="8">
                  <c:v>0.26332090151264737</c:v>
                </c:pt>
                <c:pt idx="9">
                  <c:v>0.249729626488151</c:v>
                </c:pt>
                <c:pt idx="10">
                  <c:v>0.22082170860801806</c:v>
                </c:pt>
                <c:pt idx="11">
                  <c:v>0.18205408497482445</c:v>
                </c:pt>
                <c:pt idx="12">
                  <c:v>0.13994134846868186</c:v>
                </c:pt>
                <c:pt idx="13">
                  <c:v>0.10029485265267776</c:v>
                </c:pt>
                <c:pt idx="14">
                  <c:v>6.7019039426714153E-2</c:v>
                </c:pt>
                <c:pt idx="15">
                  <c:v>4.1754637443596768E-2</c:v>
                </c:pt>
                <c:pt idx="16">
                  <c:v>2.4254827998550613E-2</c:v>
                </c:pt>
                <c:pt idx="17">
                  <c:v>1.3136469001243462E-2</c:v>
                </c:pt>
                <c:pt idx="18">
                  <c:v>6.6335507405498569E-3</c:v>
                </c:pt>
                <c:pt idx="19">
                  <c:v>3.1232045560283276E-3</c:v>
                </c:pt>
                <c:pt idx="20">
                  <c:v>1.3710136148719363E-3</c:v>
                </c:pt>
                <c:pt idx="21">
                  <c:v>5.6113850351373329E-4</c:v>
                </c:pt>
                <c:pt idx="22">
                  <c:v>2.141338550261463E-4</c:v>
                </c:pt>
                <c:pt idx="23">
                  <c:v>7.6188174110907342E-5</c:v>
                </c:pt>
                <c:pt idx="24">
                  <c:v>2.5274161691641767E-5</c:v>
                </c:pt>
                <c:pt idx="25">
                  <c:v>7.817230494326777E-6</c:v>
                </c:pt>
                <c:pt idx="26">
                  <c:v>2.2543224675063669E-6</c:v>
                </c:pt>
                <c:pt idx="27">
                  <c:v>6.0613048240132245E-7</c:v>
                </c:pt>
                <c:pt idx="28">
                  <c:v>1.519508644619238E-7</c:v>
                </c:pt>
                <c:pt idx="29">
                  <c:v>3.5516256923564823E-8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3-49FF-BBAC-4D2586951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483-49FF-BBAC-4D2586951A13}"/>
              </c:ext>
            </c:extLst>
          </c:dPt>
          <c:cat>
            <c:numRef>
              <c:f>[2]Sta_Cu!$AF$85:$AF$114</c:f>
              <c:numCache>
                <c:formatCode>General</c:formatCode>
                <c:ptCount val="30"/>
                <c:pt idx="0">
                  <c:v>-0.4</c:v>
                </c:pt>
                <c:pt idx="1">
                  <c:v>-0.26</c:v>
                </c:pt>
                <c:pt idx="2">
                  <c:v>-0.12</c:v>
                </c:pt>
                <c:pt idx="3">
                  <c:v>2.0000000000000018E-2</c:v>
                </c:pt>
                <c:pt idx="4">
                  <c:v>0.16000000000000003</c:v>
                </c:pt>
                <c:pt idx="5">
                  <c:v>0.30000000000000004</c:v>
                </c:pt>
                <c:pt idx="6">
                  <c:v>0.44000000000000006</c:v>
                </c:pt>
                <c:pt idx="7">
                  <c:v>0.58000000000000007</c:v>
                </c:pt>
                <c:pt idx="8">
                  <c:v>0.72000000000000008</c:v>
                </c:pt>
                <c:pt idx="9">
                  <c:v>0.8600000000000001</c:v>
                </c:pt>
                <c:pt idx="10">
                  <c:v>1</c:v>
                </c:pt>
                <c:pt idx="11">
                  <c:v>1.1400000000000001</c:v>
                </c:pt>
                <c:pt idx="12">
                  <c:v>1.2800000000000002</c:v>
                </c:pt>
                <c:pt idx="13">
                  <c:v>1.4200000000000004</c:v>
                </c:pt>
                <c:pt idx="14">
                  <c:v>1.5600000000000005</c:v>
                </c:pt>
                <c:pt idx="15">
                  <c:v>1.7000000000000006</c:v>
                </c:pt>
                <c:pt idx="16">
                  <c:v>1.8400000000000007</c:v>
                </c:pt>
                <c:pt idx="17">
                  <c:v>1.9800000000000009</c:v>
                </c:pt>
                <c:pt idx="18">
                  <c:v>2.120000000000001</c:v>
                </c:pt>
                <c:pt idx="19">
                  <c:v>2.2600000000000011</c:v>
                </c:pt>
                <c:pt idx="20">
                  <c:v>2.4000000000000012</c:v>
                </c:pt>
                <c:pt idx="21">
                  <c:v>2.5400000000000014</c:v>
                </c:pt>
                <c:pt idx="22">
                  <c:v>2.6800000000000015</c:v>
                </c:pt>
                <c:pt idx="23">
                  <c:v>2.8200000000000016</c:v>
                </c:pt>
                <c:pt idx="24">
                  <c:v>2.9600000000000017</c:v>
                </c:pt>
                <c:pt idx="25">
                  <c:v>3.1000000000000019</c:v>
                </c:pt>
                <c:pt idx="26">
                  <c:v>3.240000000000002</c:v>
                </c:pt>
                <c:pt idx="27">
                  <c:v>3.3800000000000021</c:v>
                </c:pt>
                <c:pt idx="28">
                  <c:v>3.5200000000000022</c:v>
                </c:pt>
                <c:pt idx="29">
                  <c:v>3.6600000000000024</c:v>
                </c:pt>
              </c:numCache>
            </c:numRef>
          </c:cat>
          <c:val>
            <c:numRef>
              <c:f>'Sta_Cu '!$AB$144:$AB$173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10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3-49FF-BBAC-4D2586951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(%Mo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'Sta_Cu '!$AG$110:$AG$139</c:f>
              <c:numCache>
                <c:formatCode>General</c:formatCode>
                <c:ptCount val="30"/>
                <c:pt idx="0">
                  <c:v>8.0857625765079923E-6</c:v>
                </c:pt>
                <c:pt idx="1">
                  <c:v>3.8244940126842391E-5</c:v>
                </c:pt>
                <c:pt idx="2">
                  <c:v>1.6178988763046784E-4</c:v>
                </c:pt>
                <c:pt idx="3">
                  <c:v>6.121433683936925E-4</c:v>
                </c:pt>
                <c:pt idx="4">
                  <c:v>2.0714731675822149E-3</c:v>
                </c:pt>
                <c:pt idx="5">
                  <c:v>6.2694560589170558E-3</c:v>
                </c:pt>
                <c:pt idx="6">
                  <c:v>1.6970897138219893E-2</c:v>
                </c:pt>
                <c:pt idx="7">
                  <c:v>4.1086971146000878E-2</c:v>
                </c:pt>
                <c:pt idx="8">
                  <c:v>8.8966773492302254E-2</c:v>
                </c:pt>
                <c:pt idx="9">
                  <c:v>0.17229629617320044</c:v>
                </c:pt>
                <c:pt idx="10">
                  <c:v>0.29843408951902078</c:v>
                </c:pt>
                <c:pt idx="11">
                  <c:v>0.46232279434948004</c:v>
                </c:pt>
                <c:pt idx="12">
                  <c:v>0.64056996285837087</c:v>
                </c:pt>
                <c:pt idx="13">
                  <c:v>0.79380205985932795</c:v>
                </c:pt>
                <c:pt idx="14">
                  <c:v>0.87979656184145771</c:v>
                </c:pt>
                <c:pt idx="15">
                  <c:v>0.8721208852899297</c:v>
                </c:pt>
                <c:pt idx="16">
                  <c:v>0.77320650847398265</c:v>
                </c:pt>
                <c:pt idx="17">
                  <c:v>0.61311042783529179</c:v>
                </c:pt>
                <c:pt idx="18">
                  <c:v>0.43481677635663563</c:v>
                </c:pt>
                <c:pt idx="19">
                  <c:v>0.27580254461424292</c:v>
                </c:pt>
                <c:pt idx="20">
                  <c:v>0.15646407362396006</c:v>
                </c:pt>
                <c:pt idx="21">
                  <c:v>7.9388095801375833E-2</c:v>
                </c:pt>
                <c:pt idx="22">
                  <c:v>3.6026371627978719E-2</c:v>
                </c:pt>
                <c:pt idx="23">
                  <c:v>1.4622110169955774E-2</c:v>
                </c:pt>
                <c:pt idx="24">
                  <c:v>5.3079150846006527E-3</c:v>
                </c:pt>
                <c:pt idx="25">
                  <c:v>1.723305478740621E-3</c:v>
                </c:pt>
                <c:pt idx="26">
                  <c:v>5.0040882321235336E-4</c:v>
                </c:pt>
                <c:pt idx="27">
                  <c:v>1.299606982346148E-4</c:v>
                </c:pt>
                <c:pt idx="28">
                  <c:v>3.0187246493719852E-5</c:v>
                </c:pt>
                <c:pt idx="29">
                  <c:v>6.2713256598041667E-6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F-4896-9589-6502F918F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92F-4896-9589-6502F918F700}"/>
              </c:ext>
            </c:extLst>
          </c:dPt>
          <c:cat>
            <c:numRef>
              <c:f>[2]Sta_Cu!$AG$85:$AG$114</c:f>
              <c:numCache>
                <c:formatCode>General</c:formatCode>
                <c:ptCount val="30"/>
                <c:pt idx="0">
                  <c:v>-2</c:v>
                </c:pt>
                <c:pt idx="1">
                  <c:v>-1.85</c:v>
                </c:pt>
                <c:pt idx="2">
                  <c:v>-1.7000000000000002</c:v>
                </c:pt>
                <c:pt idx="3">
                  <c:v>-1.5500000000000003</c:v>
                </c:pt>
                <c:pt idx="4">
                  <c:v>-1.4000000000000004</c:v>
                </c:pt>
                <c:pt idx="5">
                  <c:v>-1.2500000000000004</c:v>
                </c:pt>
                <c:pt idx="6">
                  <c:v>-1.1000000000000005</c:v>
                </c:pt>
                <c:pt idx="7">
                  <c:v>-0.95000000000000051</c:v>
                </c:pt>
                <c:pt idx="8">
                  <c:v>-0.80000000000000049</c:v>
                </c:pt>
                <c:pt idx="9">
                  <c:v>-0.65000000000000047</c:v>
                </c:pt>
                <c:pt idx="10">
                  <c:v>-0.50000000000000044</c:v>
                </c:pt>
                <c:pt idx="11">
                  <c:v>-0.35000000000000042</c:v>
                </c:pt>
                <c:pt idx="12">
                  <c:v>-0.20000000000000043</c:v>
                </c:pt>
                <c:pt idx="13">
                  <c:v>-5.0000000000000433E-2</c:v>
                </c:pt>
                <c:pt idx="14">
                  <c:v>9.9999999999999561E-2</c:v>
                </c:pt>
                <c:pt idx="15">
                  <c:v>0.24999999999999956</c:v>
                </c:pt>
                <c:pt idx="16">
                  <c:v>0.39999999999999958</c:v>
                </c:pt>
                <c:pt idx="17">
                  <c:v>0.5499999999999996</c:v>
                </c:pt>
                <c:pt idx="18">
                  <c:v>0.69999999999999962</c:v>
                </c:pt>
                <c:pt idx="19">
                  <c:v>0.84999999999999964</c:v>
                </c:pt>
                <c:pt idx="20">
                  <c:v>0.99999999999999967</c:v>
                </c:pt>
                <c:pt idx="21">
                  <c:v>1.1499999999999997</c:v>
                </c:pt>
                <c:pt idx="22">
                  <c:v>1.2999999999999996</c:v>
                </c:pt>
                <c:pt idx="23">
                  <c:v>1.4499999999999995</c:v>
                </c:pt>
                <c:pt idx="24">
                  <c:v>1.5999999999999994</c:v>
                </c:pt>
                <c:pt idx="25">
                  <c:v>1.7499999999999993</c:v>
                </c:pt>
                <c:pt idx="26">
                  <c:v>1.8999999999999992</c:v>
                </c:pt>
                <c:pt idx="27">
                  <c:v>2.0499999999999994</c:v>
                </c:pt>
                <c:pt idx="28">
                  <c:v>2.1999999999999993</c:v>
                </c:pt>
                <c:pt idx="29">
                  <c:v>2.3499999999999992</c:v>
                </c:pt>
              </c:numCache>
            </c:numRef>
          </c:cat>
          <c:val>
            <c:numRef>
              <c:f>'Sta_Cu '!$AG$144:$AG$173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2F-4896-9589-6502F918F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CONCENTRADO FINAL - PLANTA DE COBRE (%Fe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'!$BU$110:$BU$139</c:f>
              <c:numCache>
                <c:formatCode>General</c:formatCode>
                <c:ptCount val="30"/>
                <c:pt idx="0">
                  <c:v>8.5325694729851935E-5</c:v>
                </c:pt>
                <c:pt idx="1">
                  <c:v>2.9106571190006642E-4</c:v>
                </c:pt>
                <c:pt idx="2">
                  <c:v>9.0053369410541433E-4</c:v>
                </c:pt>
                <c:pt idx="3">
                  <c:v>2.5270078470956757E-3</c:v>
                </c:pt>
                <c:pt idx="4">
                  <c:v>6.4314799288146089E-3</c:v>
                </c:pt>
                <c:pt idx="5">
                  <c:v>1.4846119474356418E-2</c:v>
                </c:pt>
                <c:pt idx="6">
                  <c:v>3.1082267108272103E-2</c:v>
                </c:pt>
                <c:pt idx="7">
                  <c:v>5.9021484660330803E-2</c:v>
                </c:pt>
                <c:pt idx="8">
                  <c:v>0.10164950679765442</c:v>
                </c:pt>
                <c:pt idx="9">
                  <c:v>0.15878085136421913</c:v>
                </c:pt>
                <c:pt idx="10">
                  <c:v>0.22495139006242817</c:v>
                </c:pt>
                <c:pt idx="11">
                  <c:v>0.28905264021703753</c:v>
                </c:pt>
                <c:pt idx="12">
                  <c:v>0.33687044051443177</c:v>
                </c:pt>
                <c:pt idx="13">
                  <c:v>0.35607917315974547</c:v>
                </c:pt>
                <c:pt idx="14">
                  <c:v>0.3413720385761842</c:v>
                </c:pt>
                <c:pt idx="15">
                  <c:v>0.29682947429961826</c:v>
                </c:pt>
                <c:pt idx="16">
                  <c:v>0.23409050831398429</c:v>
                </c:pt>
                <c:pt idx="17">
                  <c:v>0.16743964359575397</c:v>
                </c:pt>
                <c:pt idx="18">
                  <c:v>0.10862517312146894</c:v>
                </c:pt>
                <c:pt idx="19">
                  <c:v>6.3914644369943777E-2</c:v>
                </c:pt>
                <c:pt idx="20">
                  <c:v>3.4108920627543296E-2</c:v>
                </c:pt>
                <c:pt idx="21">
                  <c:v>1.6509475668816408E-2</c:v>
                </c:pt>
                <c:pt idx="22">
                  <c:v>7.2476345915970103E-3</c:v>
                </c:pt>
                <c:pt idx="23">
                  <c:v>2.885738689820561E-3</c:v>
                </c:pt>
                <c:pt idx="24">
                  <c:v>1.0421144543980507E-3</c:v>
                </c:pt>
                <c:pt idx="25">
                  <c:v>3.4132770582264566E-4</c:v>
                </c:pt>
                <c:pt idx="26">
                  <c:v>1.0139706124650967E-4</c:v>
                </c:pt>
                <c:pt idx="27">
                  <c:v>2.7319761214688231E-5</c:v>
                </c:pt>
                <c:pt idx="28">
                  <c:v>6.6761507482177249E-6</c:v>
                </c:pt>
                <c:pt idx="29">
                  <c:v>1.4796979578019343E-6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8-47E0-A0FA-A277EE5F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3A8-47E0-A0FA-A277EE5F5ABA}"/>
              </c:ext>
            </c:extLst>
          </c:dPt>
          <c:cat>
            <c:numRef>
              <c:f>[2]Sta_Cu!$BU$85:$BU$114</c:f>
              <c:numCache>
                <c:formatCode>General</c:formatCode>
                <c:ptCount val="30"/>
                <c:pt idx="0">
                  <c:v>24</c:v>
                </c:pt>
                <c:pt idx="1">
                  <c:v>24.35</c:v>
                </c:pt>
                <c:pt idx="2">
                  <c:v>24.700000000000003</c:v>
                </c:pt>
                <c:pt idx="3">
                  <c:v>25.050000000000004</c:v>
                </c:pt>
                <c:pt idx="4">
                  <c:v>25.400000000000006</c:v>
                </c:pt>
                <c:pt idx="5">
                  <c:v>25.750000000000007</c:v>
                </c:pt>
                <c:pt idx="6">
                  <c:v>26.100000000000009</c:v>
                </c:pt>
                <c:pt idx="7">
                  <c:v>26.45000000000001</c:v>
                </c:pt>
                <c:pt idx="8">
                  <c:v>26.800000000000011</c:v>
                </c:pt>
                <c:pt idx="9">
                  <c:v>27.150000000000013</c:v>
                </c:pt>
                <c:pt idx="10">
                  <c:v>27.500000000000014</c:v>
                </c:pt>
                <c:pt idx="11">
                  <c:v>27.850000000000016</c:v>
                </c:pt>
                <c:pt idx="12">
                  <c:v>28.200000000000017</c:v>
                </c:pt>
                <c:pt idx="13">
                  <c:v>28.550000000000018</c:v>
                </c:pt>
                <c:pt idx="14">
                  <c:v>28.90000000000002</c:v>
                </c:pt>
                <c:pt idx="15">
                  <c:v>29.250000000000021</c:v>
                </c:pt>
                <c:pt idx="16">
                  <c:v>29.600000000000023</c:v>
                </c:pt>
                <c:pt idx="17">
                  <c:v>29.950000000000024</c:v>
                </c:pt>
                <c:pt idx="18">
                  <c:v>30.300000000000026</c:v>
                </c:pt>
                <c:pt idx="19">
                  <c:v>30.650000000000027</c:v>
                </c:pt>
                <c:pt idx="20">
                  <c:v>31.000000000000028</c:v>
                </c:pt>
                <c:pt idx="21">
                  <c:v>31.35000000000003</c:v>
                </c:pt>
                <c:pt idx="22">
                  <c:v>31.700000000000031</c:v>
                </c:pt>
                <c:pt idx="23">
                  <c:v>32.050000000000033</c:v>
                </c:pt>
                <c:pt idx="24">
                  <c:v>32.400000000000034</c:v>
                </c:pt>
                <c:pt idx="25">
                  <c:v>32.750000000000036</c:v>
                </c:pt>
                <c:pt idx="26">
                  <c:v>33.100000000000037</c:v>
                </c:pt>
                <c:pt idx="27">
                  <c:v>33.450000000000038</c:v>
                </c:pt>
                <c:pt idx="28">
                  <c:v>33.80000000000004</c:v>
                </c:pt>
                <c:pt idx="29">
                  <c:v>34.150000000000041</c:v>
                </c:pt>
              </c:numCache>
            </c:numRef>
          </c:cat>
          <c:val>
            <c:numRef>
              <c:f>'Sta_Cu '!$BU$144:$BU$173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8-47E0-A0FA-A277EE5F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(%Fe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'!$BV$110:$BV$139</c:f>
              <c:numCache>
                <c:formatCode>General</c:formatCode>
                <c:ptCount val="30"/>
                <c:pt idx="0">
                  <c:v>6.3436294568605167E-2</c:v>
                </c:pt>
                <c:pt idx="1">
                  <c:v>8.9546111361230613E-2</c:v>
                </c:pt>
                <c:pt idx="2">
                  <c:v>0.12102353128374795</c:v>
                </c:pt>
                <c:pt idx="3">
                  <c:v>0.15660552399245059</c:v>
                </c:pt>
                <c:pt idx="4">
                  <c:v>0.19402536063326051</c:v>
                </c:pt>
                <c:pt idx="5">
                  <c:v>0.23015694689061564</c:v>
                </c:pt>
                <c:pt idx="6">
                  <c:v>0.26139895230179616</c:v>
                </c:pt>
                <c:pt idx="7">
                  <c:v>0.28424822636645047</c:v>
                </c:pt>
                <c:pt idx="8">
                  <c:v>0.29594148627368455</c:v>
                </c:pt>
                <c:pt idx="9">
                  <c:v>0.29500413530758274</c:v>
                </c:pt>
                <c:pt idx="10">
                  <c:v>0.28155582929710687</c:v>
                </c:pt>
                <c:pt idx="11">
                  <c:v>0.25728538028486181</c:v>
                </c:pt>
                <c:pt idx="12">
                  <c:v>0.22510226289504293</c:v>
                </c:pt>
                <c:pt idx="13">
                  <c:v>0.18856399853897765</c:v>
                </c:pt>
                <c:pt idx="14">
                  <c:v>0.15123484416417834</c:v>
                </c:pt>
                <c:pt idx="15">
                  <c:v>0.11613392750335777</c:v>
                </c:pt>
                <c:pt idx="16">
                  <c:v>8.5384793060024777E-2</c:v>
                </c:pt>
                <c:pt idx="17">
                  <c:v>6.010576278075011E-2</c:v>
                </c:pt>
                <c:pt idx="18">
                  <c:v>4.0510337555739781E-2</c:v>
                </c:pt>
                <c:pt idx="19">
                  <c:v>2.6141456263055841E-2</c:v>
                </c:pt>
                <c:pt idx="20">
                  <c:v>1.6151313931318138E-2</c:v>
                </c:pt>
                <c:pt idx="21">
                  <c:v>9.5543271108530902E-3</c:v>
                </c:pt>
                <c:pt idx="22">
                  <c:v>5.4113611561307793E-3</c:v>
                </c:pt>
                <c:pt idx="23">
                  <c:v>2.9344526069453422E-3</c:v>
                </c:pt>
                <c:pt idx="24">
                  <c:v>1.523568012220607E-3</c:v>
                </c:pt>
                <c:pt idx="25">
                  <c:v>7.573746385807729E-4</c:v>
                </c:pt>
                <c:pt idx="26">
                  <c:v>3.6047390957198434E-4</c:v>
                </c:pt>
                <c:pt idx="27">
                  <c:v>1.6426728585598084E-4</c:v>
                </c:pt>
                <c:pt idx="28">
                  <c:v>7.1670839640464331E-5</c:v>
                </c:pt>
                <c:pt idx="29">
                  <c:v>2.9939743093740985E-5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4-460C-A4B5-73E2C1971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684-460C-A4B5-73E2C1971687}"/>
              </c:ext>
            </c:extLst>
          </c:dPt>
          <c:cat>
            <c:numRef>
              <c:f>[2]Sta_Cu!$BV$85:$BV$114</c:f>
              <c:numCache>
                <c:formatCode>General</c:formatCode>
                <c:ptCount val="30"/>
                <c:pt idx="0">
                  <c:v>25</c:v>
                </c:pt>
                <c:pt idx="1">
                  <c:v>25.28</c:v>
                </c:pt>
                <c:pt idx="2">
                  <c:v>25.560000000000002</c:v>
                </c:pt>
                <c:pt idx="3">
                  <c:v>25.840000000000003</c:v>
                </c:pt>
                <c:pt idx="4">
                  <c:v>26.120000000000005</c:v>
                </c:pt>
                <c:pt idx="5">
                  <c:v>26.400000000000006</c:v>
                </c:pt>
                <c:pt idx="6">
                  <c:v>26.680000000000007</c:v>
                </c:pt>
                <c:pt idx="7">
                  <c:v>26.960000000000008</c:v>
                </c:pt>
                <c:pt idx="8">
                  <c:v>27.240000000000009</c:v>
                </c:pt>
                <c:pt idx="9">
                  <c:v>27.52000000000001</c:v>
                </c:pt>
                <c:pt idx="10">
                  <c:v>27.800000000000011</c:v>
                </c:pt>
                <c:pt idx="11">
                  <c:v>28.080000000000013</c:v>
                </c:pt>
                <c:pt idx="12">
                  <c:v>28.360000000000014</c:v>
                </c:pt>
                <c:pt idx="13">
                  <c:v>28.640000000000015</c:v>
                </c:pt>
                <c:pt idx="14">
                  <c:v>28.920000000000016</c:v>
                </c:pt>
                <c:pt idx="15">
                  <c:v>29.200000000000017</c:v>
                </c:pt>
                <c:pt idx="16">
                  <c:v>29.480000000000018</c:v>
                </c:pt>
                <c:pt idx="17">
                  <c:v>29.760000000000019</c:v>
                </c:pt>
                <c:pt idx="18">
                  <c:v>30.04000000000002</c:v>
                </c:pt>
                <c:pt idx="19">
                  <c:v>30.320000000000022</c:v>
                </c:pt>
                <c:pt idx="20">
                  <c:v>30.600000000000023</c:v>
                </c:pt>
                <c:pt idx="21">
                  <c:v>30.880000000000024</c:v>
                </c:pt>
                <c:pt idx="22">
                  <c:v>31.160000000000025</c:v>
                </c:pt>
                <c:pt idx="23">
                  <c:v>31.440000000000026</c:v>
                </c:pt>
                <c:pt idx="24">
                  <c:v>31.720000000000027</c:v>
                </c:pt>
                <c:pt idx="25">
                  <c:v>32.000000000000028</c:v>
                </c:pt>
                <c:pt idx="26">
                  <c:v>32.28000000000003</c:v>
                </c:pt>
                <c:pt idx="27">
                  <c:v>32.560000000000031</c:v>
                </c:pt>
                <c:pt idx="28">
                  <c:v>32.840000000000032</c:v>
                </c:pt>
                <c:pt idx="29">
                  <c:v>33.120000000000033</c:v>
                </c:pt>
              </c:numCache>
            </c:numRef>
          </c:cat>
          <c:val>
            <c:numRef>
              <c:f>'Sta_Cu '!$BV$144:$BV$173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5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84-460C-A4B5-73E2C1971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(%Mo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'!$BQ$110:$BQ$139</c:f>
              <c:numCache>
                <c:formatCode>General</c:formatCode>
                <c:ptCount val="30"/>
                <c:pt idx="0">
                  <c:v>1.1387625774958842E-3</c:v>
                </c:pt>
                <c:pt idx="1">
                  <c:v>2.3447311123180365E-3</c:v>
                </c:pt>
                <c:pt idx="2">
                  <c:v>4.6190402867923941E-3</c:v>
                </c:pt>
                <c:pt idx="3">
                  <c:v>8.7058122863095892E-3</c:v>
                </c:pt>
                <c:pt idx="4">
                  <c:v>1.5698772355211901E-2</c:v>
                </c:pt>
                <c:pt idx="5">
                  <c:v>2.7084506675961947E-2</c:v>
                </c:pt>
                <c:pt idx="6">
                  <c:v>4.4706946868254965E-2</c:v>
                </c:pt>
                <c:pt idx="7">
                  <c:v>7.0603777708975454E-2</c:v>
                </c:pt>
                <c:pt idx="8">
                  <c:v>0.1066791902365288</c:v>
                </c:pt>
                <c:pt idx="9">
                  <c:v>0.15421631682103842</c:v>
                </c:pt>
                <c:pt idx="10">
                  <c:v>0.21329456403039562</c:v>
                </c:pt>
                <c:pt idx="11">
                  <c:v>0.28224619286466029</c:v>
                </c:pt>
                <c:pt idx="12">
                  <c:v>0.3573347417975663</c:v>
                </c:pt>
                <c:pt idx="13">
                  <c:v>0.43283386919672245</c:v>
                </c:pt>
                <c:pt idx="14">
                  <c:v>0.50160987301533444</c:v>
                </c:pt>
                <c:pt idx="15">
                  <c:v>0.5561728179753429</c:v>
                </c:pt>
                <c:pt idx="16">
                  <c:v>0.59000037524920357</c:v>
                </c:pt>
                <c:pt idx="17">
                  <c:v>0.59881636507747316</c:v>
                </c:pt>
                <c:pt idx="18">
                  <c:v>0.58147879007518666</c:v>
                </c:pt>
                <c:pt idx="19">
                  <c:v>0.5402228379991254</c:v>
                </c:pt>
                <c:pt idx="20">
                  <c:v>0.48018749575577069</c:v>
                </c:pt>
                <c:pt idx="21">
                  <c:v>0.40836413983653597</c:v>
                </c:pt>
                <c:pt idx="22">
                  <c:v>0.33226392699072121</c:v>
                </c:pt>
                <c:pt idx="23">
                  <c:v>0.25865306791905573</c:v>
                </c:pt>
                <c:pt idx="24">
                  <c:v>0.19264197361732774</c:v>
                </c:pt>
                <c:pt idx="25">
                  <c:v>0.13727234365984731</c:v>
                </c:pt>
                <c:pt idx="26">
                  <c:v>9.3586676059481386E-2</c:v>
                </c:pt>
                <c:pt idx="27">
                  <c:v>6.1044120549537145E-2</c:v>
                </c:pt>
                <c:pt idx="28">
                  <c:v>3.8095397071828067E-2</c:v>
                </c:pt>
                <c:pt idx="29">
                  <c:v>2.274573696082019E-2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7-4FDB-BAF1-1ED21BE24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BD7-4FDB-BAF1-1ED21BE240F6}"/>
              </c:ext>
            </c:extLst>
          </c:dPt>
          <c:cat>
            <c:numRef>
              <c:f>[2]Sta_Cu!$BQ$85:$BQ$114</c:f>
              <c:numCache>
                <c:formatCode>General</c:formatCode>
                <c:ptCount val="30"/>
                <c:pt idx="0">
                  <c:v>-0.4</c:v>
                </c:pt>
                <c:pt idx="1">
                  <c:v>-0.26</c:v>
                </c:pt>
                <c:pt idx="2">
                  <c:v>-0.12</c:v>
                </c:pt>
                <c:pt idx="3">
                  <c:v>2.0000000000000018E-2</c:v>
                </c:pt>
                <c:pt idx="4">
                  <c:v>0.16000000000000003</c:v>
                </c:pt>
                <c:pt idx="5">
                  <c:v>0.30000000000000004</c:v>
                </c:pt>
                <c:pt idx="6">
                  <c:v>0.44000000000000006</c:v>
                </c:pt>
                <c:pt idx="7">
                  <c:v>0.58000000000000007</c:v>
                </c:pt>
                <c:pt idx="8">
                  <c:v>0.72000000000000008</c:v>
                </c:pt>
                <c:pt idx="9">
                  <c:v>0.8600000000000001</c:v>
                </c:pt>
                <c:pt idx="10">
                  <c:v>1</c:v>
                </c:pt>
                <c:pt idx="11">
                  <c:v>1.1400000000000001</c:v>
                </c:pt>
                <c:pt idx="12">
                  <c:v>1.2800000000000002</c:v>
                </c:pt>
                <c:pt idx="13">
                  <c:v>1.4200000000000004</c:v>
                </c:pt>
                <c:pt idx="14">
                  <c:v>1.5600000000000005</c:v>
                </c:pt>
                <c:pt idx="15">
                  <c:v>1.7000000000000006</c:v>
                </c:pt>
                <c:pt idx="16">
                  <c:v>1.8400000000000007</c:v>
                </c:pt>
                <c:pt idx="17">
                  <c:v>1.9800000000000009</c:v>
                </c:pt>
                <c:pt idx="18">
                  <c:v>2.120000000000001</c:v>
                </c:pt>
                <c:pt idx="19">
                  <c:v>2.2600000000000011</c:v>
                </c:pt>
                <c:pt idx="20">
                  <c:v>2.4000000000000012</c:v>
                </c:pt>
                <c:pt idx="21">
                  <c:v>2.5400000000000014</c:v>
                </c:pt>
                <c:pt idx="22">
                  <c:v>2.6800000000000015</c:v>
                </c:pt>
                <c:pt idx="23">
                  <c:v>2.8200000000000016</c:v>
                </c:pt>
                <c:pt idx="24">
                  <c:v>2.9600000000000017</c:v>
                </c:pt>
                <c:pt idx="25">
                  <c:v>3.1000000000000019</c:v>
                </c:pt>
                <c:pt idx="26">
                  <c:v>3.240000000000002</c:v>
                </c:pt>
                <c:pt idx="27">
                  <c:v>3.3800000000000021</c:v>
                </c:pt>
                <c:pt idx="28">
                  <c:v>3.5200000000000022</c:v>
                </c:pt>
                <c:pt idx="29">
                  <c:v>3.6600000000000024</c:v>
                </c:pt>
              </c:numCache>
            </c:numRef>
          </c:cat>
          <c:val>
            <c:numRef>
              <c:f>'Sta_Cu '!$BQ$144:$BQ$173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7-4FDB-BAF1-1ED21BE24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(%Mo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'Sta_Cu '!$BR$110:$BR$139</c:f>
              <c:numCache>
                <c:formatCode>General</c:formatCode>
                <c:ptCount val="30"/>
                <c:pt idx="0">
                  <c:v>4.9697451655393299E-3</c:v>
                </c:pt>
                <c:pt idx="1">
                  <c:v>8.6360597631729517E-3</c:v>
                </c:pt>
                <c:pt idx="2">
                  <c:v>1.4494338605018618E-2</c:v>
                </c:pt>
                <c:pt idx="3">
                  <c:v>2.3495376617412033E-2</c:v>
                </c:pt>
                <c:pt idx="4">
                  <c:v>3.6784737700237574E-2</c:v>
                </c:pt>
                <c:pt idx="5">
                  <c:v>5.5622968253875776E-2</c:v>
                </c:pt>
                <c:pt idx="6">
                  <c:v>8.1234760133124403E-2</c:v>
                </c:pt>
                <c:pt idx="7">
                  <c:v>0.1145858230686867</c:v>
                </c:pt>
                <c:pt idx="8">
                  <c:v>0.15610654767056678</c:v>
                </c:pt>
                <c:pt idx="9">
                  <c:v>0.2054057489192827</c:v>
                </c:pt>
                <c:pt idx="10">
                  <c:v>0.26103895019981926</c:v>
                </c:pt>
                <c:pt idx="11">
                  <c:v>0.32040499533795824</c:v>
                </c:pt>
                <c:pt idx="12">
                  <c:v>0.37983456855922165</c:v>
                </c:pt>
                <c:pt idx="13">
                  <c:v>0.43490153481734978</c:v>
                </c:pt>
                <c:pt idx="14">
                  <c:v>0.48093749617933573</c:v>
                </c:pt>
                <c:pt idx="15">
                  <c:v>0.51367399544521042</c:v>
                </c:pt>
                <c:pt idx="16">
                  <c:v>0.52989249313969511</c:v>
                </c:pt>
                <c:pt idx="17">
                  <c:v>0.5279456285762697</c:v>
                </c:pt>
                <c:pt idx="18">
                  <c:v>0.50803294217658279</c:v>
                </c:pt>
                <c:pt idx="19">
                  <c:v>0.47216717774435579</c:v>
                </c:pt>
                <c:pt idx="20">
                  <c:v>0.42383904165306296</c:v>
                </c:pt>
                <c:pt idx="21">
                  <c:v>0.36745771341443939</c:v>
                </c:pt>
                <c:pt idx="22">
                  <c:v>0.30769116203409169</c:v>
                </c:pt>
                <c:pt idx="23">
                  <c:v>0.24884213580830711</c:v>
                </c:pt>
                <c:pt idx="24">
                  <c:v>0.19437216094695534</c:v>
                </c:pt>
                <c:pt idx="25">
                  <c:v>0.14663763588978926</c:v>
                </c:pt>
                <c:pt idx="26">
                  <c:v>0.10684595422442254</c:v>
                </c:pt>
                <c:pt idx="27">
                  <c:v>7.5192055700791779E-2</c:v>
                </c:pt>
                <c:pt idx="28">
                  <c:v>5.1107787348241819E-2</c:v>
                </c:pt>
                <c:pt idx="29">
                  <c:v>3.3550843589645059E-2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9-4D64-84B8-71F706AC5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109-4D64-84B8-71F706AC58E8}"/>
              </c:ext>
            </c:extLst>
          </c:dPt>
          <c:cat>
            <c:numRef>
              <c:f>[2]Sta_Cu!$BR$85:$BR$114</c:f>
              <c:numCache>
                <c:formatCode>General</c:formatCode>
                <c:ptCount val="30"/>
                <c:pt idx="0">
                  <c:v>-0.4</c:v>
                </c:pt>
                <c:pt idx="1">
                  <c:v>-0.26</c:v>
                </c:pt>
                <c:pt idx="2">
                  <c:v>-0.12</c:v>
                </c:pt>
                <c:pt idx="3">
                  <c:v>2.0000000000000018E-2</c:v>
                </c:pt>
                <c:pt idx="4">
                  <c:v>0.16000000000000003</c:v>
                </c:pt>
                <c:pt idx="5">
                  <c:v>0.30000000000000004</c:v>
                </c:pt>
                <c:pt idx="6">
                  <c:v>0.44000000000000006</c:v>
                </c:pt>
                <c:pt idx="7">
                  <c:v>0.58000000000000007</c:v>
                </c:pt>
                <c:pt idx="8">
                  <c:v>0.72000000000000008</c:v>
                </c:pt>
                <c:pt idx="9">
                  <c:v>0.8600000000000001</c:v>
                </c:pt>
                <c:pt idx="10">
                  <c:v>1</c:v>
                </c:pt>
                <c:pt idx="11">
                  <c:v>1.1400000000000001</c:v>
                </c:pt>
                <c:pt idx="12">
                  <c:v>1.2800000000000002</c:v>
                </c:pt>
                <c:pt idx="13">
                  <c:v>1.4200000000000004</c:v>
                </c:pt>
                <c:pt idx="14">
                  <c:v>1.5600000000000005</c:v>
                </c:pt>
                <c:pt idx="15">
                  <c:v>1.7000000000000006</c:v>
                </c:pt>
                <c:pt idx="16">
                  <c:v>1.8400000000000007</c:v>
                </c:pt>
                <c:pt idx="17">
                  <c:v>1.9800000000000009</c:v>
                </c:pt>
                <c:pt idx="18">
                  <c:v>2.120000000000001</c:v>
                </c:pt>
                <c:pt idx="19">
                  <c:v>2.2600000000000011</c:v>
                </c:pt>
                <c:pt idx="20">
                  <c:v>2.4000000000000012</c:v>
                </c:pt>
                <c:pt idx="21">
                  <c:v>2.5400000000000014</c:v>
                </c:pt>
                <c:pt idx="22">
                  <c:v>2.6800000000000015</c:v>
                </c:pt>
                <c:pt idx="23">
                  <c:v>2.8200000000000016</c:v>
                </c:pt>
                <c:pt idx="24">
                  <c:v>2.9600000000000017</c:v>
                </c:pt>
                <c:pt idx="25">
                  <c:v>3.1000000000000019</c:v>
                </c:pt>
                <c:pt idx="26">
                  <c:v>3.240000000000002</c:v>
                </c:pt>
                <c:pt idx="27">
                  <c:v>3.3800000000000021</c:v>
                </c:pt>
                <c:pt idx="28">
                  <c:v>3.5200000000000022</c:v>
                </c:pt>
                <c:pt idx="29">
                  <c:v>3.6600000000000024</c:v>
                </c:pt>
              </c:numCache>
            </c:numRef>
          </c:cat>
          <c:val>
            <c:numRef>
              <c:f>'Sta_Cu '!$BR$144:$BR$173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2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09-4D64-84B8-71F706AC5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(%Mo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'Sta_Cu '!$BS$110:$BS$139</c:f>
              <c:numCache>
                <c:formatCode>General</c:formatCode>
                <c:ptCount val="30"/>
                <c:pt idx="0">
                  <c:v>9.0395448235876165E-6</c:v>
                </c:pt>
                <c:pt idx="1">
                  <c:v>4.5594256516351791E-5</c:v>
                </c:pt>
                <c:pt idx="2">
                  <c:v>2.0352414719752415E-4</c:v>
                </c:pt>
                <c:pt idx="3">
                  <c:v>8.0401468073952121E-4</c:v>
                </c:pt>
                <c:pt idx="4">
                  <c:v>2.810957267886239E-3</c:v>
                </c:pt>
                <c:pt idx="5">
                  <c:v>8.697345807543104E-3</c:v>
                </c:pt>
                <c:pt idx="6">
                  <c:v>2.3815596425227372E-2</c:v>
                </c:pt>
                <c:pt idx="7">
                  <c:v>5.7713633356446158E-2</c:v>
                </c:pt>
                <c:pt idx="8">
                  <c:v>0.12377632947371491</c:v>
                </c:pt>
                <c:pt idx="9">
                  <c:v>0.23493028908083452</c:v>
                </c:pt>
                <c:pt idx="10">
                  <c:v>0.39462323831594337</c:v>
                </c:pt>
                <c:pt idx="11">
                  <c:v>0.58663575431609383</c:v>
                </c:pt>
                <c:pt idx="12">
                  <c:v>0.77178552905607534</c:v>
                </c:pt>
                <c:pt idx="13">
                  <c:v>0.89860113637003536</c:v>
                </c:pt>
                <c:pt idx="14">
                  <c:v>0.92593292072789679</c:v>
                </c:pt>
                <c:pt idx="15">
                  <c:v>0.8443729595815036</c:v>
                </c:pt>
                <c:pt idx="16">
                  <c:v>0.68144582983500768</c:v>
                </c:pt>
                <c:pt idx="17">
                  <c:v>0.48671035835441134</c:v>
                </c:pt>
                <c:pt idx="18">
                  <c:v>0.30764656463061707</c:v>
                </c:pt>
                <c:pt idx="19">
                  <c:v>0.17209798294307752</c:v>
                </c:pt>
                <c:pt idx="20">
                  <c:v>8.5200417000353912E-2</c:v>
                </c:pt>
                <c:pt idx="21">
                  <c:v>3.7329303788156014E-2</c:v>
                </c:pt>
                <c:pt idx="22">
                  <c:v>1.4474390651735445E-2</c:v>
                </c:pt>
                <c:pt idx="23">
                  <c:v>4.9669858059438561E-3</c:v>
                </c:pt>
                <c:pt idx="24">
                  <c:v>1.5084390885481587E-3</c:v>
                </c:pt>
                <c:pt idx="25">
                  <c:v>4.0541971732426901E-4</c:v>
                </c:pt>
                <c:pt idx="26">
                  <c:v>9.6432668512664294E-5</c:v>
                </c:pt>
                <c:pt idx="27">
                  <c:v>2.0299518324200634E-5</c:v>
                </c:pt>
                <c:pt idx="28">
                  <c:v>3.781721221713394E-6</c:v>
                </c:pt>
                <c:pt idx="29">
                  <c:v>6.2349865095065993E-7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1-46A9-AF2F-41F1011B5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B1-46A9-AF2F-41F1011B59B2}"/>
              </c:ext>
            </c:extLst>
          </c:dPt>
          <c:cat>
            <c:numRef>
              <c:f>[2]Sta_Cu!$BS$85:$BS$114</c:f>
              <c:numCache>
                <c:formatCode>General</c:formatCode>
                <c:ptCount val="30"/>
                <c:pt idx="0">
                  <c:v>-2</c:v>
                </c:pt>
                <c:pt idx="1">
                  <c:v>-1.85</c:v>
                </c:pt>
                <c:pt idx="2">
                  <c:v>-1.7000000000000002</c:v>
                </c:pt>
                <c:pt idx="3">
                  <c:v>-1.5500000000000003</c:v>
                </c:pt>
                <c:pt idx="4">
                  <c:v>-1.4000000000000004</c:v>
                </c:pt>
                <c:pt idx="5">
                  <c:v>-1.2500000000000004</c:v>
                </c:pt>
                <c:pt idx="6">
                  <c:v>-1.1000000000000005</c:v>
                </c:pt>
                <c:pt idx="7">
                  <c:v>-0.95000000000000051</c:v>
                </c:pt>
                <c:pt idx="8">
                  <c:v>-0.80000000000000049</c:v>
                </c:pt>
                <c:pt idx="9">
                  <c:v>-0.65000000000000047</c:v>
                </c:pt>
                <c:pt idx="10">
                  <c:v>-0.50000000000000044</c:v>
                </c:pt>
                <c:pt idx="11">
                  <c:v>-0.35000000000000042</c:v>
                </c:pt>
                <c:pt idx="12">
                  <c:v>-0.20000000000000043</c:v>
                </c:pt>
                <c:pt idx="13">
                  <c:v>-5.0000000000000433E-2</c:v>
                </c:pt>
                <c:pt idx="14">
                  <c:v>9.9999999999999561E-2</c:v>
                </c:pt>
                <c:pt idx="15">
                  <c:v>0.24999999999999956</c:v>
                </c:pt>
                <c:pt idx="16">
                  <c:v>0.39999999999999958</c:v>
                </c:pt>
                <c:pt idx="17">
                  <c:v>0.5499999999999996</c:v>
                </c:pt>
                <c:pt idx="18">
                  <c:v>0.69999999999999962</c:v>
                </c:pt>
                <c:pt idx="19">
                  <c:v>0.84999999999999964</c:v>
                </c:pt>
                <c:pt idx="20">
                  <c:v>0.99999999999999967</c:v>
                </c:pt>
                <c:pt idx="21">
                  <c:v>1.1499999999999997</c:v>
                </c:pt>
                <c:pt idx="22">
                  <c:v>1.2999999999999996</c:v>
                </c:pt>
                <c:pt idx="23">
                  <c:v>1.4499999999999995</c:v>
                </c:pt>
                <c:pt idx="24">
                  <c:v>1.5999999999999994</c:v>
                </c:pt>
                <c:pt idx="25">
                  <c:v>1.7499999999999993</c:v>
                </c:pt>
                <c:pt idx="26">
                  <c:v>1.8999999999999992</c:v>
                </c:pt>
                <c:pt idx="27">
                  <c:v>2.0499999999999994</c:v>
                </c:pt>
                <c:pt idx="28">
                  <c:v>2.1999999999999993</c:v>
                </c:pt>
                <c:pt idx="29">
                  <c:v>2.3499999999999992</c:v>
                </c:pt>
              </c:numCache>
            </c:numRef>
          </c:cat>
          <c:val>
            <c:numRef>
              <c:f>'Sta_Cu '!$BS$144:$BS$173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B1-46A9-AF2F-41F1011B5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CONCENTRADO FINAL - PLANTA DE COBRE (%Fe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'!$AI$110:$AI$139</c:f>
              <c:numCache>
                <c:formatCode>General</c:formatCode>
                <c:ptCount val="30"/>
                <c:pt idx="0">
                  <c:v>7.9583366288725997E-3</c:v>
                </c:pt>
                <c:pt idx="1">
                  <c:v>1.3677931280618344E-2</c:v>
                </c:pt>
                <c:pt idx="2">
                  <c:v>2.2440052012722873E-2</c:v>
                </c:pt>
                <c:pt idx="3">
                  <c:v>3.5142498149941602E-2</c:v>
                </c:pt>
                <c:pt idx="4">
                  <c:v>5.2534757480683009E-2</c:v>
                </c:pt>
                <c:pt idx="5">
                  <c:v>7.4966314837717082E-2</c:v>
                </c:pt>
                <c:pt idx="6">
                  <c:v>0.10211532477491393</c:v>
                </c:pt>
                <c:pt idx="7">
                  <c:v>0.13277643782543275</c:v>
                </c:pt>
                <c:pt idx="8">
                  <c:v>0.164799706095242</c:v>
                </c:pt>
                <c:pt idx="9">
                  <c:v>0.19525276032305663</c:v>
                </c:pt>
                <c:pt idx="10">
                  <c:v>0.22082246901468403</c:v>
                </c:pt>
                <c:pt idx="11">
                  <c:v>0.23839364293147394</c:v>
                </c:pt>
                <c:pt idx="12">
                  <c:v>0.24566959432170449</c:v>
                </c:pt>
                <c:pt idx="13">
                  <c:v>0.24166484425222093</c:v>
                </c:pt>
                <c:pt idx="14">
                  <c:v>0.22692423216899146</c:v>
                </c:pt>
                <c:pt idx="15">
                  <c:v>0.20340124276612909</c:v>
                </c:pt>
                <c:pt idx="16">
                  <c:v>0.17403302107169871</c:v>
                </c:pt>
                <c:pt idx="17">
                  <c:v>0.14213958596864285</c:v>
                </c:pt>
                <c:pt idx="18">
                  <c:v>0.11081632984923996</c:v>
                </c:pt>
                <c:pt idx="19">
                  <c:v>8.2470344500498255E-2</c:v>
                </c:pt>
                <c:pt idx="20">
                  <c:v>5.8586450201544391E-2</c:v>
                </c:pt>
                <c:pt idx="21">
                  <c:v>3.9728474573307561E-2</c:v>
                </c:pt>
                <c:pt idx="22">
                  <c:v>2.5716503800935431E-2</c:v>
                </c:pt>
                <c:pt idx="23">
                  <c:v>1.5890124139796576E-2</c:v>
                </c:pt>
                <c:pt idx="24">
                  <c:v>9.3723389106664928E-3</c:v>
                </c:pt>
                <c:pt idx="25">
                  <c:v>5.2768410054492548E-3</c:v>
                </c:pt>
                <c:pt idx="26">
                  <c:v>2.8359943590046633E-3</c:v>
                </c:pt>
                <c:pt idx="27">
                  <c:v>1.4549298233671689E-3</c:v>
                </c:pt>
                <c:pt idx="28">
                  <c:v>7.1249867231215212E-4</c:v>
                </c:pt>
                <c:pt idx="29">
                  <c:v>3.3306684431079876E-4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5-4D22-835D-1E1254176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F75-4D22-835D-1E1254176B33}"/>
              </c:ext>
            </c:extLst>
          </c:dPt>
          <c:cat>
            <c:numRef>
              <c:f>[2]Sta_Cu!$AI$85:$AI$114</c:f>
              <c:numCache>
                <c:formatCode>General</c:formatCode>
                <c:ptCount val="30"/>
                <c:pt idx="0">
                  <c:v>24</c:v>
                </c:pt>
                <c:pt idx="1">
                  <c:v>24.35</c:v>
                </c:pt>
                <c:pt idx="2">
                  <c:v>24.700000000000003</c:v>
                </c:pt>
                <c:pt idx="3">
                  <c:v>25.050000000000004</c:v>
                </c:pt>
                <c:pt idx="4">
                  <c:v>25.400000000000006</c:v>
                </c:pt>
                <c:pt idx="5">
                  <c:v>25.750000000000007</c:v>
                </c:pt>
                <c:pt idx="6">
                  <c:v>26.100000000000009</c:v>
                </c:pt>
                <c:pt idx="7">
                  <c:v>26.45000000000001</c:v>
                </c:pt>
                <c:pt idx="8">
                  <c:v>26.800000000000011</c:v>
                </c:pt>
                <c:pt idx="9">
                  <c:v>27.150000000000013</c:v>
                </c:pt>
                <c:pt idx="10">
                  <c:v>27.500000000000014</c:v>
                </c:pt>
                <c:pt idx="11">
                  <c:v>27.850000000000016</c:v>
                </c:pt>
                <c:pt idx="12">
                  <c:v>28.200000000000017</c:v>
                </c:pt>
                <c:pt idx="13">
                  <c:v>28.550000000000018</c:v>
                </c:pt>
                <c:pt idx="14">
                  <c:v>28.90000000000002</c:v>
                </c:pt>
                <c:pt idx="15">
                  <c:v>29.250000000000021</c:v>
                </c:pt>
                <c:pt idx="16">
                  <c:v>29.600000000000023</c:v>
                </c:pt>
                <c:pt idx="17">
                  <c:v>29.950000000000024</c:v>
                </c:pt>
                <c:pt idx="18">
                  <c:v>30.300000000000026</c:v>
                </c:pt>
                <c:pt idx="19">
                  <c:v>30.650000000000027</c:v>
                </c:pt>
                <c:pt idx="20">
                  <c:v>31.000000000000028</c:v>
                </c:pt>
                <c:pt idx="21">
                  <c:v>31.35000000000003</c:v>
                </c:pt>
                <c:pt idx="22">
                  <c:v>31.700000000000031</c:v>
                </c:pt>
                <c:pt idx="23">
                  <c:v>32.050000000000033</c:v>
                </c:pt>
                <c:pt idx="24">
                  <c:v>32.400000000000034</c:v>
                </c:pt>
                <c:pt idx="25">
                  <c:v>32.750000000000036</c:v>
                </c:pt>
                <c:pt idx="26">
                  <c:v>33.100000000000037</c:v>
                </c:pt>
                <c:pt idx="27">
                  <c:v>33.450000000000038</c:v>
                </c:pt>
                <c:pt idx="28">
                  <c:v>33.80000000000004</c:v>
                </c:pt>
                <c:pt idx="29">
                  <c:v>34.150000000000041</c:v>
                </c:pt>
              </c:numCache>
            </c:numRef>
          </c:cat>
          <c:val>
            <c:numRef>
              <c:f>'Sta_Cu '!$AI$144:$AI$173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75-4D22-835D-1E1254176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(%Fe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'Sta_Cu '!$AJ$110:$AJ$139</c:f>
              <c:numCache>
                <c:formatCode>General</c:formatCode>
                <c:ptCount val="30"/>
                <c:pt idx="0">
                  <c:v>1.2465762197288923E-3</c:v>
                </c:pt>
                <c:pt idx="1">
                  <c:v>5.2582669755799616E-3</c:v>
                </c:pt>
                <c:pt idx="2">
                  <c:v>1.8351112927461371E-2</c:v>
                </c:pt>
                <c:pt idx="3">
                  <c:v>5.2988077566397965E-2</c:v>
                </c:pt>
                <c:pt idx="4">
                  <c:v>0.12658723081323875</c:v>
                </c:pt>
                <c:pt idx="5">
                  <c:v>0.25020594009971042</c:v>
                </c:pt>
                <c:pt idx="6">
                  <c:v>0.40916767184045599</c:v>
                </c:pt>
                <c:pt idx="7">
                  <c:v>0.55360625754068027</c:v>
                </c:pt>
                <c:pt idx="8">
                  <c:v>0.61972162114515073</c:v>
                </c:pt>
                <c:pt idx="9">
                  <c:v>0.57396880146909868</c:v>
                </c:pt>
                <c:pt idx="10">
                  <c:v>0.43982094303329905</c:v>
                </c:pt>
                <c:pt idx="11">
                  <c:v>0.27884284466767134</c:v>
                </c:pt>
                <c:pt idx="12">
                  <c:v>0.14626455167142446</c:v>
                </c:pt>
                <c:pt idx="13">
                  <c:v>6.3476744385581721E-2</c:v>
                </c:pt>
                <c:pt idx="14">
                  <c:v>2.2792196738351932E-2</c:v>
                </c:pt>
                <c:pt idx="15">
                  <c:v>6.7710139106159552E-3</c:v>
                </c:pt>
                <c:pt idx="16">
                  <c:v>1.6642447955853119E-3</c:v>
                </c:pt>
                <c:pt idx="17">
                  <c:v>3.3843610596367404E-4</c:v>
                </c:pt>
                <c:pt idx="18">
                  <c:v>5.6941925894130933E-5</c:v>
                </c:pt>
                <c:pt idx="19">
                  <c:v>7.9265388877631788E-6</c:v>
                </c:pt>
                <c:pt idx="20">
                  <c:v>9.1291641871823082E-7</c:v>
                </c:pt>
                <c:pt idx="21">
                  <c:v>8.699101969720885E-8</c:v>
                </c:pt>
                <c:pt idx="22">
                  <c:v>6.8582577951348384E-9</c:v>
                </c:pt>
                <c:pt idx="23">
                  <c:v>4.473517806983362E-10</c:v>
                </c:pt>
                <c:pt idx="24">
                  <c:v>2.414240412928523E-11</c:v>
                </c:pt>
                <c:pt idx="25">
                  <c:v>1.0779728952167089E-12</c:v>
                </c:pt>
                <c:pt idx="26">
                  <c:v>3.9822740793150743E-14</c:v>
                </c:pt>
                <c:pt idx="27">
                  <c:v>1.2171677404132882E-15</c:v>
                </c:pt>
                <c:pt idx="28">
                  <c:v>3.0779793386504368E-17</c:v>
                </c:pt>
                <c:pt idx="29">
                  <c:v>6.4398677328020679E-19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3-42B3-B58D-8B26453E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53-42B3-B58D-8B26453E2983}"/>
              </c:ext>
            </c:extLst>
          </c:dPt>
          <c:cat>
            <c:numRef>
              <c:f>[2]Sta_Cu!$AJ$85:$AJ$114</c:f>
              <c:numCache>
                <c:formatCode>General</c:formatCode>
                <c:ptCount val="30"/>
                <c:pt idx="0">
                  <c:v>25</c:v>
                </c:pt>
                <c:pt idx="1">
                  <c:v>25.28</c:v>
                </c:pt>
                <c:pt idx="2">
                  <c:v>25.560000000000002</c:v>
                </c:pt>
                <c:pt idx="3">
                  <c:v>25.840000000000003</c:v>
                </c:pt>
                <c:pt idx="4">
                  <c:v>26.120000000000005</c:v>
                </c:pt>
                <c:pt idx="5">
                  <c:v>26.400000000000006</c:v>
                </c:pt>
                <c:pt idx="6">
                  <c:v>26.680000000000007</c:v>
                </c:pt>
                <c:pt idx="7">
                  <c:v>26.960000000000008</c:v>
                </c:pt>
                <c:pt idx="8">
                  <c:v>27.240000000000009</c:v>
                </c:pt>
                <c:pt idx="9">
                  <c:v>27.52000000000001</c:v>
                </c:pt>
                <c:pt idx="10">
                  <c:v>27.800000000000011</c:v>
                </c:pt>
                <c:pt idx="11">
                  <c:v>28.080000000000013</c:v>
                </c:pt>
                <c:pt idx="12">
                  <c:v>28.360000000000014</c:v>
                </c:pt>
                <c:pt idx="13">
                  <c:v>28.640000000000015</c:v>
                </c:pt>
                <c:pt idx="14">
                  <c:v>28.920000000000016</c:v>
                </c:pt>
                <c:pt idx="15">
                  <c:v>29.200000000000017</c:v>
                </c:pt>
                <c:pt idx="16">
                  <c:v>29.480000000000018</c:v>
                </c:pt>
                <c:pt idx="17">
                  <c:v>29.760000000000019</c:v>
                </c:pt>
                <c:pt idx="18">
                  <c:v>30.04000000000002</c:v>
                </c:pt>
                <c:pt idx="19">
                  <c:v>30.320000000000022</c:v>
                </c:pt>
                <c:pt idx="20">
                  <c:v>30.600000000000023</c:v>
                </c:pt>
                <c:pt idx="21">
                  <c:v>30.880000000000024</c:v>
                </c:pt>
                <c:pt idx="22">
                  <c:v>31.160000000000025</c:v>
                </c:pt>
                <c:pt idx="23">
                  <c:v>31.440000000000026</c:v>
                </c:pt>
                <c:pt idx="24">
                  <c:v>31.720000000000027</c:v>
                </c:pt>
                <c:pt idx="25">
                  <c:v>32.000000000000028</c:v>
                </c:pt>
                <c:pt idx="26">
                  <c:v>32.28000000000003</c:v>
                </c:pt>
                <c:pt idx="27">
                  <c:v>32.560000000000031</c:v>
                </c:pt>
                <c:pt idx="28">
                  <c:v>32.840000000000032</c:v>
                </c:pt>
                <c:pt idx="29">
                  <c:v>33.120000000000033</c:v>
                </c:pt>
              </c:numCache>
            </c:numRef>
          </c:cat>
          <c:val>
            <c:numRef>
              <c:f>'Sta_Cu '!$AJ$144:$AJ$173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13</c:v>
                </c:pt>
                <c:pt idx="10">
                  <c:v>4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53-42B3-B58D-8B26453E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(%Fe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'Sta_Cu '!$AK$110:$AK$139</c:f>
              <c:numCache>
                <c:formatCode>General</c:formatCode>
                <c:ptCount val="30"/>
                <c:pt idx="0">
                  <c:v>1.3042909171857591E-2</c:v>
                </c:pt>
                <c:pt idx="1">
                  <c:v>1.7394153313960981E-2</c:v>
                </c:pt>
                <c:pt idx="2">
                  <c:v>2.2848783236119066E-2</c:v>
                </c:pt>
                <c:pt idx="3">
                  <c:v>2.956336202566695E-2</c:v>
                </c:pt>
                <c:pt idx="4">
                  <c:v>3.7676931533350402E-2</c:v>
                </c:pt>
                <c:pt idx="5">
                  <c:v>4.7296411442476823E-2</c:v>
                </c:pt>
                <c:pt idx="6">
                  <c:v>5.8480599370276817E-2</c:v>
                </c:pt>
                <c:pt idx="7">
                  <c:v>7.122400648559446E-2</c:v>
                </c:pt>
                <c:pt idx="8">
                  <c:v>8.5442106101396478E-2</c:v>
                </c:pt>
                <c:pt idx="9">
                  <c:v>0.100959792695825</c:v>
                </c:pt>
                <c:pt idx="10">
                  <c:v>0.11750488330930396</c:v>
                </c:pt>
                <c:pt idx="11">
                  <c:v>0.13470829556248501</c:v>
                </c:pt>
                <c:pt idx="12">
                  <c:v>0.15211208767856138</c:v>
                </c:pt>
                <c:pt idx="13">
                  <c:v>0.16918586371705416</c:v>
                </c:pt>
                <c:pt idx="14">
                  <c:v>0.18535119014513804</c:v>
                </c:pt>
                <c:pt idx="15">
                  <c:v>0.20001273354153143</c:v>
                </c:pt>
                <c:pt idx="16">
                  <c:v>0.21259393561920142</c:v>
                </c:pt>
                <c:pt idx="17">
                  <c:v>0.22257432170017041</c:v>
                </c:pt>
                <c:pt idx="18">
                  <c:v>0.22952511064139122</c:v>
                </c:pt>
                <c:pt idx="19">
                  <c:v>0.23313974251168892</c:v>
                </c:pt>
                <c:pt idx="20">
                  <c:v>0.2332562985712095</c:v>
                </c:pt>
                <c:pt idx="21">
                  <c:v>0.22986952964628796</c:v>
                </c:pt>
                <c:pt idx="22">
                  <c:v>0.22313124815748636</c:v>
                </c:pt>
                <c:pt idx="23">
                  <c:v>0.21333904301591314</c:v>
                </c:pt>
                <c:pt idx="24">
                  <c:v>0.20091448598855161</c:v>
                </c:pt>
                <c:pt idx="25">
                  <c:v>0.18637305270429028</c:v>
                </c:pt>
                <c:pt idx="26">
                  <c:v>0.17028874592913903</c:v>
                </c:pt>
                <c:pt idx="27">
                  <c:v>0.15325679382153348</c:v>
                </c:pt>
                <c:pt idx="28">
                  <c:v>0.13585777087042694</c:v>
                </c:pt>
                <c:pt idx="29">
                  <c:v>0.11862608383647615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154-9389-5C5702D06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FA6-4154-9389-5C5702D06372}"/>
              </c:ext>
            </c:extLst>
          </c:dPt>
          <c:cat>
            <c:numRef>
              <c:f>[2]Sta_Cu!$AK$85:$AK$114</c:f>
              <c:numCache>
                <c:formatCode>General</c:formatCode>
                <c:ptCount val="30"/>
                <c:pt idx="0">
                  <c:v>-3.1</c:v>
                </c:pt>
                <c:pt idx="1">
                  <c:v>-2.89</c:v>
                </c:pt>
                <c:pt idx="2">
                  <c:v>-2.68</c:v>
                </c:pt>
                <c:pt idx="3">
                  <c:v>-2.4700000000000002</c:v>
                </c:pt>
                <c:pt idx="4">
                  <c:v>-2.2600000000000002</c:v>
                </c:pt>
                <c:pt idx="5">
                  <c:v>-2.0500000000000003</c:v>
                </c:pt>
                <c:pt idx="6">
                  <c:v>-1.8400000000000003</c:v>
                </c:pt>
                <c:pt idx="7">
                  <c:v>-1.6300000000000003</c:v>
                </c:pt>
                <c:pt idx="8">
                  <c:v>-1.4200000000000004</c:v>
                </c:pt>
                <c:pt idx="9">
                  <c:v>-1.2100000000000004</c:v>
                </c:pt>
                <c:pt idx="10">
                  <c:v>-1.0000000000000004</c:v>
                </c:pt>
                <c:pt idx="11">
                  <c:v>-0.79000000000000048</c:v>
                </c:pt>
                <c:pt idx="12">
                  <c:v>-0.58000000000000052</c:v>
                </c:pt>
                <c:pt idx="13">
                  <c:v>-0.37000000000000055</c:v>
                </c:pt>
                <c:pt idx="14">
                  <c:v>-0.16000000000000056</c:v>
                </c:pt>
                <c:pt idx="15">
                  <c:v>4.9999999999999434E-2</c:v>
                </c:pt>
                <c:pt idx="16">
                  <c:v>0.25999999999999945</c:v>
                </c:pt>
                <c:pt idx="17">
                  <c:v>0.46999999999999942</c:v>
                </c:pt>
                <c:pt idx="18">
                  <c:v>0.67999999999999938</c:v>
                </c:pt>
                <c:pt idx="19">
                  <c:v>0.88999999999999935</c:v>
                </c:pt>
                <c:pt idx="20">
                  <c:v>1.0999999999999994</c:v>
                </c:pt>
                <c:pt idx="21">
                  <c:v>1.3099999999999994</c:v>
                </c:pt>
                <c:pt idx="22">
                  <c:v>1.5199999999999994</c:v>
                </c:pt>
                <c:pt idx="23">
                  <c:v>1.7299999999999993</c:v>
                </c:pt>
                <c:pt idx="24">
                  <c:v>1.9399999999999993</c:v>
                </c:pt>
                <c:pt idx="25">
                  <c:v>2.1499999999999995</c:v>
                </c:pt>
                <c:pt idx="26">
                  <c:v>2.3599999999999994</c:v>
                </c:pt>
                <c:pt idx="27">
                  <c:v>2.5699999999999994</c:v>
                </c:pt>
                <c:pt idx="28">
                  <c:v>2.7799999999999994</c:v>
                </c:pt>
                <c:pt idx="29">
                  <c:v>2.9899999999999993</c:v>
                </c:pt>
              </c:numCache>
            </c:numRef>
          </c:cat>
          <c:val>
            <c:numRef>
              <c:f>'Sta_Cu '!$AK$144:$AK$173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6-4154-9389-5C5702D06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FINAL </a:t>
            </a:r>
            <a:r>
              <a:rPr lang="es-PE" sz="900" b="1" baseline="0">
                <a:solidFill>
                  <a:schemeClr val="tx1"/>
                </a:solidFill>
              </a:rPr>
              <a:t>- PLANTA DE COBRE (%Fe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'Sta_Cu '!$BW$110:$BW$139</c:f>
              <c:numCache>
                <c:formatCode>General</c:formatCode>
                <c:ptCount val="30"/>
                <c:pt idx="0">
                  <c:v>1.3989010618486509E-4</c:v>
                </c:pt>
                <c:pt idx="1">
                  <c:v>3.2538866134890372E-4</c:v>
                </c:pt>
                <c:pt idx="2">
                  <c:v>7.2127244985581462E-4</c:v>
                </c:pt>
                <c:pt idx="3">
                  <c:v>1.523623933179237E-3</c:v>
                </c:pt>
                <c:pt idx="4">
                  <c:v>3.0671692484740966E-3</c:v>
                </c:pt>
                <c:pt idx="5">
                  <c:v>5.8840886872784147E-3</c:v>
                </c:pt>
                <c:pt idx="6">
                  <c:v>1.0757273038631275E-2</c:v>
                </c:pt>
                <c:pt idx="7">
                  <c:v>1.8741600978221619E-2</c:v>
                </c:pt>
                <c:pt idx="8">
                  <c:v>3.1116640030363144E-2</c:v>
                </c:pt>
                <c:pt idx="9">
                  <c:v>4.9233444103515163E-2</c:v>
                </c:pt>
                <c:pt idx="10">
                  <c:v>7.4235092314881804E-2</c:v>
                </c:pt>
                <c:pt idx="11">
                  <c:v>0.10666938752638171</c:v>
                </c:pt>
                <c:pt idx="12">
                  <c:v>0.14606691717043094</c:v>
                </c:pt>
                <c:pt idx="13">
                  <c:v>0.19060989340380216</c:v>
                </c:pt>
                <c:pt idx="14">
                  <c:v>0.2370393933305889</c:v>
                </c:pt>
                <c:pt idx="15">
                  <c:v>0.28091642234040742</c:v>
                </c:pt>
                <c:pt idx="16">
                  <c:v>0.31725994444741262</c:v>
                </c:pt>
                <c:pt idx="17">
                  <c:v>0.34145609734073612</c:v>
                </c:pt>
                <c:pt idx="18">
                  <c:v>0.35021602466107205</c:v>
                </c:pt>
                <c:pt idx="19">
                  <c:v>0.34230927687018103</c:v>
                </c:pt>
                <c:pt idx="20">
                  <c:v>0.31884736877065489</c:v>
                </c:pt>
                <c:pt idx="21">
                  <c:v>0.28302742429919847</c:v>
                </c:pt>
                <c:pt idx="22">
                  <c:v>0.23941740213565418</c:v>
                </c:pt>
                <c:pt idx="23">
                  <c:v>0.19300316119188055</c:v>
                </c:pt>
                <c:pt idx="24">
                  <c:v>0.14827046308611586</c:v>
                </c:pt>
                <c:pt idx="25">
                  <c:v>0.10854913796829106</c:v>
                </c:pt>
                <c:pt idx="26">
                  <c:v>7.5732035035887921E-2</c:v>
                </c:pt>
                <c:pt idx="27">
                  <c:v>5.0351729063974678E-2</c:v>
                </c:pt>
                <c:pt idx="28">
                  <c:v>3.190293680176353E-2</c:v>
                </c:pt>
                <c:pt idx="29">
                  <c:v>1.9263200799499034E-2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E-4658-87D5-9A89D9AF4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1CE-4658-87D5-9A89D9AF4149}"/>
              </c:ext>
            </c:extLst>
          </c:dPt>
          <c:cat>
            <c:numRef>
              <c:f>[2]Sta_Cu!$BW$85:$BW$114</c:f>
              <c:numCache>
                <c:formatCode>General</c:formatCode>
                <c:ptCount val="30"/>
                <c:pt idx="0">
                  <c:v>-3.5</c:v>
                </c:pt>
                <c:pt idx="1">
                  <c:v>-3.25</c:v>
                </c:pt>
                <c:pt idx="2">
                  <c:v>-3</c:v>
                </c:pt>
                <c:pt idx="3">
                  <c:v>-2.75</c:v>
                </c:pt>
                <c:pt idx="4">
                  <c:v>-2.5</c:v>
                </c:pt>
                <c:pt idx="5">
                  <c:v>-2.25</c:v>
                </c:pt>
                <c:pt idx="6">
                  <c:v>-2</c:v>
                </c:pt>
                <c:pt idx="7">
                  <c:v>-1.75</c:v>
                </c:pt>
                <c:pt idx="8">
                  <c:v>-1.5</c:v>
                </c:pt>
                <c:pt idx="9">
                  <c:v>-1.25</c:v>
                </c:pt>
                <c:pt idx="10">
                  <c:v>-1</c:v>
                </c:pt>
                <c:pt idx="11">
                  <c:v>-0.75</c:v>
                </c:pt>
                <c:pt idx="12">
                  <c:v>-0.5</c:v>
                </c:pt>
                <c:pt idx="13">
                  <c:v>-0.25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3</c:v>
                </c:pt>
                <c:pt idx="27">
                  <c:v>3.25</c:v>
                </c:pt>
                <c:pt idx="28">
                  <c:v>3.5</c:v>
                </c:pt>
                <c:pt idx="29">
                  <c:v>3.75</c:v>
                </c:pt>
              </c:numCache>
            </c:numRef>
          </c:cat>
          <c:val>
            <c:numRef>
              <c:f>'Sta_Cu '!$BW$144:$BW$173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5</c:v>
                </c:pt>
                <c:pt idx="22">
                  <c:v>3</c:v>
                </c:pt>
                <c:pt idx="23">
                  <c:v>1</c:v>
                </c:pt>
                <c:pt idx="24">
                  <c:v>0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CE-4658-87D5-9A89D9AF4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CONCENTRADO ULT LIMPIEZA - PLANTA DE MOLIBDENO (%Cu)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8898041976827448"/>
          <c:y val="1.0818435977858835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11802721059337"/>
          <c:y val="0.10845534970846407"/>
          <c:w val="0.82975712710339689"/>
          <c:h val="0.73142111088584538"/>
        </c:manualLayout>
      </c:layout>
      <c:bubbleChart>
        <c:varyColors val="0"/>
        <c:ser>
          <c:idx val="6"/>
          <c:order val="0"/>
          <c:tx>
            <c:strRef>
              <c:f>TABLA_M!$AU$3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TABLA_M!$AT$4:$AT$63</c:f>
              <c:numCache>
                <c:formatCode>0.000</c:formatCode>
                <c:ptCount val="60"/>
                <c:pt idx="0">
                  <c:v>0.61717796325683594</c:v>
                </c:pt>
                <c:pt idx="1">
                  <c:v>0.3722979724407196</c:v>
                </c:pt>
                <c:pt idx="2">
                  <c:v>0.73687160015106201</c:v>
                </c:pt>
                <c:pt idx="3">
                  <c:v>0.73687160015106201</c:v>
                </c:pt>
                <c:pt idx="4">
                  <c:v>0.75456440448760986</c:v>
                </c:pt>
                <c:pt idx="5">
                  <c:v>0.80398333072662354</c:v>
                </c:pt>
                <c:pt idx="6">
                  <c:v>0.85311043262481689</c:v>
                </c:pt>
                <c:pt idx="7">
                  <c:v>0.87987202405929565</c:v>
                </c:pt>
                <c:pt idx="8">
                  <c:v>0.72932702302932739</c:v>
                </c:pt>
                <c:pt idx="9">
                  <c:v>0.8940466046333313</c:v>
                </c:pt>
                <c:pt idx="10">
                  <c:v>0.90129506587982178</c:v>
                </c:pt>
                <c:pt idx="11">
                  <c:v>0.62800890207290649</c:v>
                </c:pt>
                <c:pt idx="12">
                  <c:v>0.64794796705245972</c:v>
                </c:pt>
                <c:pt idx="13">
                  <c:v>0.52867209911346436</c:v>
                </c:pt>
                <c:pt idx="14">
                  <c:v>0.58700937032699585</c:v>
                </c:pt>
                <c:pt idx="15">
                  <c:v>0.58700937032699585</c:v>
                </c:pt>
                <c:pt idx="16">
                  <c:v>0.58700937032699585</c:v>
                </c:pt>
                <c:pt idx="17">
                  <c:v>0.58700937032699585</c:v>
                </c:pt>
                <c:pt idx="18">
                  <c:v>0.62732428312301636</c:v>
                </c:pt>
                <c:pt idx="19">
                  <c:v>0.67065083980560303</c:v>
                </c:pt>
                <c:pt idx="20">
                  <c:v>0.70668315887451172</c:v>
                </c:pt>
                <c:pt idx="21">
                  <c:v>0.81929582357406616</c:v>
                </c:pt>
                <c:pt idx="22">
                  <c:v>0.85306304693222046</c:v>
                </c:pt>
                <c:pt idx="23">
                  <c:v>0.93724614381790161</c:v>
                </c:pt>
                <c:pt idx="24">
                  <c:v>0.90241354703903198</c:v>
                </c:pt>
                <c:pt idx="25">
                  <c:v>0.77111351490020752</c:v>
                </c:pt>
                <c:pt idx="26">
                  <c:v>0.77111351490020752</c:v>
                </c:pt>
                <c:pt idx="27">
                  <c:v>0.75849008560180664</c:v>
                </c:pt>
                <c:pt idx="28">
                  <c:v>0.73530465364456177</c:v>
                </c:pt>
                <c:pt idx="29">
                  <c:v>0.61146652698516846</c:v>
                </c:pt>
                <c:pt idx="30">
                  <c:v>0.59000110626220703</c:v>
                </c:pt>
                <c:pt idx="31">
                  <c:v>0.52631789445877075</c:v>
                </c:pt>
                <c:pt idx="32">
                  <c:v>0.39342418313026428</c:v>
                </c:pt>
                <c:pt idx="33">
                  <c:v>0.5572211742401123</c:v>
                </c:pt>
                <c:pt idx="34">
                  <c:v>0.49724653363227844</c:v>
                </c:pt>
                <c:pt idx="35">
                  <c:v>0.49724653363227844</c:v>
                </c:pt>
                <c:pt idx="36">
                  <c:v>0.49724653363227844</c:v>
                </c:pt>
                <c:pt idx="37">
                  <c:v>0.49724653363227844</c:v>
                </c:pt>
                <c:pt idx="38">
                  <c:v>0.85389852523803711</c:v>
                </c:pt>
                <c:pt idx="39">
                  <c:v>0.63955205678939819</c:v>
                </c:pt>
                <c:pt idx="40">
                  <c:v>0.50771427154541016</c:v>
                </c:pt>
                <c:pt idx="41">
                  <c:v>0.52816736698150635</c:v>
                </c:pt>
                <c:pt idx="42">
                  <c:v>0.54723149538040161</c:v>
                </c:pt>
                <c:pt idx="43">
                  <c:v>0.54723149538040161</c:v>
                </c:pt>
                <c:pt idx="44">
                  <c:v>0.59000951051712036</c:v>
                </c:pt>
                <c:pt idx="45">
                  <c:v>0.62747794389724731</c:v>
                </c:pt>
                <c:pt idx="46">
                  <c:v>0.71669238805770874</c:v>
                </c:pt>
                <c:pt idx="47">
                  <c:v>0.66673463582992554</c:v>
                </c:pt>
                <c:pt idx="48">
                  <c:v>0.63896381855010986</c:v>
                </c:pt>
                <c:pt idx="49">
                  <c:v>0.61430835723876953</c:v>
                </c:pt>
                <c:pt idx="50">
                  <c:v>0.64969217777252197</c:v>
                </c:pt>
                <c:pt idx="51">
                  <c:v>0.70881867408752441</c:v>
                </c:pt>
                <c:pt idx="52">
                  <c:v>0.90763550996780396</c:v>
                </c:pt>
                <c:pt idx="53">
                  <c:v>0.85986596345901489</c:v>
                </c:pt>
                <c:pt idx="54">
                  <c:v>1.0506017208099365</c:v>
                </c:pt>
                <c:pt idx="55">
                  <c:v>0.69720637798309326</c:v>
                </c:pt>
                <c:pt idx="56">
                  <c:v>0.85412490367889404</c:v>
                </c:pt>
                <c:pt idx="57">
                  <c:v>0.73607480525970459</c:v>
                </c:pt>
                <c:pt idx="58">
                  <c:v>0.73820120096206665</c:v>
                </c:pt>
                <c:pt idx="59">
                  <c:v>0.7685895562171936</c:v>
                </c:pt>
              </c:numCache>
            </c:numRef>
          </c:xVal>
          <c:yVal>
            <c:numRef>
              <c:f>TABLA_M!$AU$4:$AU$63</c:f>
              <c:numCache>
                <c:formatCode>0.000</c:formatCode>
                <c:ptCount val="60"/>
                <c:pt idx="0">
                  <c:v>0.55300000000000005</c:v>
                </c:pt>
                <c:pt idx="1">
                  <c:v>0.80700000000000005</c:v>
                </c:pt>
                <c:pt idx="2">
                  <c:v>1.028</c:v>
                </c:pt>
                <c:pt idx="3">
                  <c:v>0.92100000000000004</c:v>
                </c:pt>
                <c:pt idx="4">
                  <c:v>1.0660000000000001</c:v>
                </c:pt>
                <c:pt idx="5">
                  <c:v>0.73399999999999999</c:v>
                </c:pt>
                <c:pt idx="6">
                  <c:v>0.94599999999999995</c:v>
                </c:pt>
                <c:pt idx="7">
                  <c:v>1.1970000000000001</c:v>
                </c:pt>
                <c:pt idx="8">
                  <c:v>0.84099999999999997</c:v>
                </c:pt>
                <c:pt idx="9">
                  <c:v>0.51100000000000001</c:v>
                </c:pt>
                <c:pt idx="10">
                  <c:v>0.48599999999999999</c:v>
                </c:pt>
                <c:pt idx="11">
                  <c:v>0.46600000000000003</c:v>
                </c:pt>
                <c:pt idx="12">
                  <c:v>0.53</c:v>
                </c:pt>
                <c:pt idx="13">
                  <c:v>0.79800000000000004</c:v>
                </c:pt>
                <c:pt idx="14">
                  <c:v>0</c:v>
                </c:pt>
                <c:pt idx="15">
                  <c:v>0.73399999999999999</c:v>
                </c:pt>
                <c:pt idx="16">
                  <c:v>0</c:v>
                </c:pt>
                <c:pt idx="17">
                  <c:v>2.198</c:v>
                </c:pt>
                <c:pt idx="18">
                  <c:v>0.53300000000000003</c:v>
                </c:pt>
                <c:pt idx="19">
                  <c:v>0.72599999999999998</c:v>
                </c:pt>
                <c:pt idx="20">
                  <c:v>0.64500000000000002</c:v>
                </c:pt>
                <c:pt idx="21">
                  <c:v>1.099</c:v>
                </c:pt>
                <c:pt idx="22">
                  <c:v>0.92800000000000005</c:v>
                </c:pt>
                <c:pt idx="23">
                  <c:v>0.78200000000000003</c:v>
                </c:pt>
                <c:pt idx="24">
                  <c:v>0.56999999999999995</c:v>
                </c:pt>
                <c:pt idx="25">
                  <c:v>0.53700000000000003</c:v>
                </c:pt>
                <c:pt idx="26">
                  <c:v>0</c:v>
                </c:pt>
                <c:pt idx="27">
                  <c:v>0.44400000000000001</c:v>
                </c:pt>
                <c:pt idx="28">
                  <c:v>0.47499999999999998</c:v>
                </c:pt>
                <c:pt idx="29">
                  <c:v>0.41899999999999998</c:v>
                </c:pt>
                <c:pt idx="30">
                  <c:v>0.45900000000000002</c:v>
                </c:pt>
                <c:pt idx="31">
                  <c:v>0.45400000000000001</c:v>
                </c:pt>
                <c:pt idx="32">
                  <c:v>0.60099999999999998</c:v>
                </c:pt>
                <c:pt idx="33">
                  <c:v>0.56100000000000005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0.60699999999999998</c:v>
                </c:pt>
                <c:pt idx="38">
                  <c:v>0</c:v>
                </c:pt>
                <c:pt idx="39">
                  <c:v>0.68</c:v>
                </c:pt>
                <c:pt idx="40">
                  <c:v>0.92400000000000004</c:v>
                </c:pt>
                <c:pt idx="41">
                  <c:v>0.56999999999999995</c:v>
                </c:pt>
                <c:pt idx="42">
                  <c:v>0.39300000000000002</c:v>
                </c:pt>
                <c:pt idx="43">
                  <c:v>0.46800000000000003</c:v>
                </c:pt>
                <c:pt idx="44">
                  <c:v>0.41199999999999998</c:v>
                </c:pt>
                <c:pt idx="45">
                  <c:v>0.65100000000000002</c:v>
                </c:pt>
                <c:pt idx="46">
                  <c:v>0.71699999999999997</c:v>
                </c:pt>
                <c:pt idx="47">
                  <c:v>0.52700000000000002</c:v>
                </c:pt>
                <c:pt idx="48">
                  <c:v>0.67900000000000005</c:v>
                </c:pt>
                <c:pt idx="49">
                  <c:v>0.48499999999999999</c:v>
                </c:pt>
                <c:pt idx="50">
                  <c:v>0.54800000000000004</c:v>
                </c:pt>
                <c:pt idx="51">
                  <c:v>0.66200000000000003</c:v>
                </c:pt>
                <c:pt idx="52">
                  <c:v>0.73699999999999999</c:v>
                </c:pt>
                <c:pt idx="53">
                  <c:v>0.96899999999999997</c:v>
                </c:pt>
                <c:pt idx="54">
                  <c:v>0</c:v>
                </c:pt>
                <c:pt idx="55">
                  <c:v>0.76900000000000002</c:v>
                </c:pt>
                <c:pt idx="56">
                  <c:v>0.59899999999999998</c:v>
                </c:pt>
                <c:pt idx="57">
                  <c:v>0.58699999999999997</c:v>
                </c:pt>
                <c:pt idx="58">
                  <c:v>0.58699999999999997</c:v>
                </c:pt>
                <c:pt idx="59">
                  <c:v>0.628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2-F445-4AC7-A801-059ECB0F421C}"/>
            </c:ext>
          </c:extLst>
        </c:ser>
        <c:ser>
          <c:idx val="7"/>
          <c:order val="1"/>
          <c:tx>
            <c:strRef>
              <c:f>Calculos_M!$Z$5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Calculos_M!$Y$6:$Y$29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xVal>
          <c:yVal>
            <c:numRef>
              <c:f>Calculos_M!$Z$6:$Z$29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3-F445-4AC7-A801-059ECB0F421C}"/>
            </c:ext>
          </c:extLst>
        </c:ser>
        <c:ser>
          <c:idx val="8"/>
          <c:order val="2"/>
          <c:tx>
            <c:strRef>
              <c:f>Calculos_M!$AA$4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Calculos_M!$AA$6:$AA$29</c:f>
              <c:numCache>
                <c:formatCode>0.000</c:formatCode>
                <c:ptCount val="24"/>
                <c:pt idx="0">
                  <c:v>0.29015880681818185</c:v>
                </c:pt>
                <c:pt idx="1">
                  <c:v>0.41306107954545457</c:v>
                </c:pt>
                <c:pt idx="2">
                  <c:v>0.53596335227272729</c:v>
                </c:pt>
                <c:pt idx="3">
                  <c:v>0.65886562500000001</c:v>
                </c:pt>
                <c:pt idx="4">
                  <c:v>0.78176789772727273</c:v>
                </c:pt>
                <c:pt idx="5">
                  <c:v>0.90467017045454545</c:v>
                </c:pt>
                <c:pt idx="6">
                  <c:v>1.0275724431818183</c:v>
                </c:pt>
                <c:pt idx="7">
                  <c:v>1.1504747159090911</c:v>
                </c:pt>
                <c:pt idx="8">
                  <c:v>1.2733769886363639</c:v>
                </c:pt>
                <c:pt idx="9">
                  <c:v>1.3962792613636368</c:v>
                </c:pt>
                <c:pt idx="10">
                  <c:v>1.5191815340909096</c:v>
                </c:pt>
                <c:pt idx="11">
                  <c:v>1.6420838068181824</c:v>
                </c:pt>
                <c:pt idx="12">
                  <c:v>1.7649860795454553</c:v>
                </c:pt>
                <c:pt idx="13">
                  <c:v>1.8878883522727281</c:v>
                </c:pt>
                <c:pt idx="14">
                  <c:v>2.0107906250000007</c:v>
                </c:pt>
                <c:pt idx="15">
                  <c:v>2.1336928977272733</c:v>
                </c:pt>
                <c:pt idx="16">
                  <c:v>2.2565951704545459</c:v>
                </c:pt>
                <c:pt idx="17">
                  <c:v>2.3794974431818186</c:v>
                </c:pt>
                <c:pt idx="18">
                  <c:v>2.5023997159090912</c:v>
                </c:pt>
                <c:pt idx="19">
                  <c:v>2.6253019886363638</c:v>
                </c:pt>
                <c:pt idx="20">
                  <c:v>2.7482042613636364</c:v>
                </c:pt>
                <c:pt idx="21">
                  <c:v>2.871106534090909</c:v>
                </c:pt>
                <c:pt idx="22">
                  <c:v>0.11680880681818182</c:v>
                </c:pt>
                <c:pt idx="23">
                  <c:v>1.1168088068181818</c:v>
                </c:pt>
              </c:numCache>
            </c:numRef>
          </c:xVal>
          <c:yVal>
            <c:numRef>
              <c:f>Calculos_M!$AB$6:$AB$29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4-F445-4AC7-A801-059ECB0F421C}"/>
            </c:ext>
          </c:extLst>
        </c:ser>
        <c:ser>
          <c:idx val="9"/>
          <c:order val="3"/>
          <c:tx>
            <c:strRef>
              <c:f>Calculos_M!$AC$4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Calculos_M!$AC$6:$AC$29</c:f>
              <c:numCache>
                <c:formatCode>0.000</c:formatCode>
                <c:ptCount val="24"/>
                <c:pt idx="0">
                  <c:v>0.45654119318181818</c:v>
                </c:pt>
                <c:pt idx="1">
                  <c:v>0.5794434659090909</c:v>
                </c:pt>
                <c:pt idx="2">
                  <c:v>0.70234573863636374</c:v>
                </c:pt>
                <c:pt idx="3">
                  <c:v>0.82524801136363646</c:v>
                </c:pt>
                <c:pt idx="4">
                  <c:v>0.94815028409090918</c:v>
                </c:pt>
                <c:pt idx="5">
                  <c:v>1.0710525568181819</c:v>
                </c:pt>
                <c:pt idx="6">
                  <c:v>1.1939548295454545</c:v>
                </c:pt>
                <c:pt idx="7">
                  <c:v>1.3168571022727273</c:v>
                </c:pt>
                <c:pt idx="8">
                  <c:v>1.4397593750000002</c:v>
                </c:pt>
                <c:pt idx="9">
                  <c:v>1.562661647727273</c:v>
                </c:pt>
                <c:pt idx="10">
                  <c:v>1.6855639204545458</c:v>
                </c:pt>
                <c:pt idx="11">
                  <c:v>1.8084661931818187</c:v>
                </c:pt>
                <c:pt idx="12">
                  <c:v>1.9313684659090915</c:v>
                </c:pt>
                <c:pt idx="13">
                  <c:v>2.0542707386363643</c:v>
                </c:pt>
                <c:pt idx="14">
                  <c:v>2.1771730113636374</c:v>
                </c:pt>
                <c:pt idx="15">
                  <c:v>2.30007528409091</c:v>
                </c:pt>
                <c:pt idx="16">
                  <c:v>2.4229775568181826</c:v>
                </c:pt>
                <c:pt idx="17">
                  <c:v>2.5458798295454552</c:v>
                </c:pt>
                <c:pt idx="18">
                  <c:v>2.6687821022727278</c:v>
                </c:pt>
                <c:pt idx="19">
                  <c:v>2.7916843750000004</c:v>
                </c:pt>
                <c:pt idx="20">
                  <c:v>2.914586647727273</c:v>
                </c:pt>
                <c:pt idx="21">
                  <c:v>3.0374889204545457</c:v>
                </c:pt>
                <c:pt idx="22">
                  <c:v>0.28319119318181818</c:v>
                </c:pt>
                <c:pt idx="23">
                  <c:v>1.2831911931818181</c:v>
                </c:pt>
              </c:numCache>
            </c:numRef>
          </c:xVal>
          <c:yVal>
            <c:numRef>
              <c:f>Calculos_M!$AD$6:$AD$29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5-F445-4AC7-A801-059ECB0F421C}"/>
            </c:ext>
          </c:extLst>
        </c:ser>
        <c:ser>
          <c:idx val="10"/>
          <c:order val="4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TABLA_M!$AT$64</c:f>
              <c:numCache>
                <c:formatCode>0.000</c:formatCode>
                <c:ptCount val="1"/>
                <c:pt idx="0">
                  <c:v>0.73974072933197021</c:v>
                </c:pt>
              </c:numCache>
            </c:numRef>
          </c:xVal>
          <c:yVal>
            <c:numRef>
              <c:f>TABLA_M!$AU$64</c:f>
              <c:numCache>
                <c:formatCode>0.000</c:formatCode>
                <c:ptCount val="1"/>
                <c:pt idx="0">
                  <c:v>0.71199999999999997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6-F445-4AC7-A801-059ECB0F421C}"/>
            </c:ext>
          </c:extLst>
        </c:ser>
        <c:ser>
          <c:idx val="11"/>
          <c:order val="5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TABLA_M!$AT$65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TABLA_M!$AU$65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7-F445-4AC7-A801-059ECB0F421C}"/>
            </c:ext>
          </c:extLst>
        </c:ser>
        <c:ser>
          <c:idx val="0"/>
          <c:order val="6"/>
          <c:tx>
            <c:strRef>
              <c:f>TABLA_M!$AU$3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TABLA_M!$AT$4:$AT$63</c:f>
              <c:numCache>
                <c:formatCode>0.000</c:formatCode>
                <c:ptCount val="60"/>
                <c:pt idx="0">
                  <c:v>0.61717796325683594</c:v>
                </c:pt>
                <c:pt idx="1">
                  <c:v>0.3722979724407196</c:v>
                </c:pt>
                <c:pt idx="2">
                  <c:v>0.73687160015106201</c:v>
                </c:pt>
                <c:pt idx="3">
                  <c:v>0.73687160015106201</c:v>
                </c:pt>
                <c:pt idx="4">
                  <c:v>0.75456440448760986</c:v>
                </c:pt>
                <c:pt idx="5">
                  <c:v>0.80398333072662354</c:v>
                </c:pt>
                <c:pt idx="6">
                  <c:v>0.85311043262481689</c:v>
                </c:pt>
                <c:pt idx="7">
                  <c:v>0.87987202405929565</c:v>
                </c:pt>
                <c:pt idx="8">
                  <c:v>0.72932702302932739</c:v>
                </c:pt>
                <c:pt idx="9">
                  <c:v>0.8940466046333313</c:v>
                </c:pt>
                <c:pt idx="10">
                  <c:v>0.90129506587982178</c:v>
                </c:pt>
                <c:pt idx="11">
                  <c:v>0.62800890207290649</c:v>
                </c:pt>
                <c:pt idx="12">
                  <c:v>0.64794796705245972</c:v>
                </c:pt>
                <c:pt idx="13">
                  <c:v>0.52867209911346436</c:v>
                </c:pt>
                <c:pt idx="14">
                  <c:v>0.58700937032699585</c:v>
                </c:pt>
                <c:pt idx="15">
                  <c:v>0.58700937032699585</c:v>
                </c:pt>
                <c:pt idx="16">
                  <c:v>0.58700937032699585</c:v>
                </c:pt>
                <c:pt idx="17">
                  <c:v>0.58700937032699585</c:v>
                </c:pt>
                <c:pt idx="18">
                  <c:v>0.62732428312301636</c:v>
                </c:pt>
                <c:pt idx="19">
                  <c:v>0.67065083980560303</c:v>
                </c:pt>
                <c:pt idx="20">
                  <c:v>0.70668315887451172</c:v>
                </c:pt>
                <c:pt idx="21">
                  <c:v>0.81929582357406616</c:v>
                </c:pt>
                <c:pt idx="22">
                  <c:v>0.85306304693222046</c:v>
                </c:pt>
                <c:pt idx="23">
                  <c:v>0.93724614381790161</c:v>
                </c:pt>
                <c:pt idx="24">
                  <c:v>0.90241354703903198</c:v>
                </c:pt>
                <c:pt idx="25">
                  <c:v>0.77111351490020752</c:v>
                </c:pt>
                <c:pt idx="26">
                  <c:v>0.77111351490020752</c:v>
                </c:pt>
                <c:pt idx="27">
                  <c:v>0.75849008560180664</c:v>
                </c:pt>
                <c:pt idx="28">
                  <c:v>0.73530465364456177</c:v>
                </c:pt>
                <c:pt idx="29">
                  <c:v>0.61146652698516846</c:v>
                </c:pt>
                <c:pt idx="30">
                  <c:v>0.59000110626220703</c:v>
                </c:pt>
                <c:pt idx="31">
                  <c:v>0.52631789445877075</c:v>
                </c:pt>
                <c:pt idx="32">
                  <c:v>0.39342418313026428</c:v>
                </c:pt>
                <c:pt idx="33">
                  <c:v>0.5572211742401123</c:v>
                </c:pt>
                <c:pt idx="34">
                  <c:v>0.49724653363227844</c:v>
                </c:pt>
                <c:pt idx="35">
                  <c:v>0.49724653363227844</c:v>
                </c:pt>
                <c:pt idx="36">
                  <c:v>0.49724653363227844</c:v>
                </c:pt>
                <c:pt idx="37">
                  <c:v>0.49724653363227844</c:v>
                </c:pt>
                <c:pt idx="38">
                  <c:v>0.85389852523803711</c:v>
                </c:pt>
                <c:pt idx="39">
                  <c:v>0.63955205678939819</c:v>
                </c:pt>
                <c:pt idx="40">
                  <c:v>0.50771427154541016</c:v>
                </c:pt>
                <c:pt idx="41">
                  <c:v>0.52816736698150635</c:v>
                </c:pt>
                <c:pt idx="42">
                  <c:v>0.54723149538040161</c:v>
                </c:pt>
                <c:pt idx="43">
                  <c:v>0.54723149538040161</c:v>
                </c:pt>
                <c:pt idx="44">
                  <c:v>0.59000951051712036</c:v>
                </c:pt>
                <c:pt idx="45">
                  <c:v>0.62747794389724731</c:v>
                </c:pt>
                <c:pt idx="46">
                  <c:v>0.71669238805770874</c:v>
                </c:pt>
                <c:pt idx="47">
                  <c:v>0.66673463582992554</c:v>
                </c:pt>
                <c:pt idx="48">
                  <c:v>0.63896381855010986</c:v>
                </c:pt>
                <c:pt idx="49">
                  <c:v>0.61430835723876953</c:v>
                </c:pt>
                <c:pt idx="50">
                  <c:v>0.64969217777252197</c:v>
                </c:pt>
                <c:pt idx="51">
                  <c:v>0.70881867408752441</c:v>
                </c:pt>
                <c:pt idx="52">
                  <c:v>0.90763550996780396</c:v>
                </c:pt>
                <c:pt idx="53">
                  <c:v>0.85986596345901489</c:v>
                </c:pt>
                <c:pt idx="54">
                  <c:v>1.0506017208099365</c:v>
                </c:pt>
                <c:pt idx="55">
                  <c:v>0.69720637798309326</c:v>
                </c:pt>
                <c:pt idx="56">
                  <c:v>0.85412490367889404</c:v>
                </c:pt>
                <c:pt idx="57">
                  <c:v>0.73607480525970459</c:v>
                </c:pt>
                <c:pt idx="58">
                  <c:v>0.73820120096206665</c:v>
                </c:pt>
                <c:pt idx="59">
                  <c:v>0.7685895562171936</c:v>
                </c:pt>
              </c:numCache>
            </c:numRef>
          </c:xVal>
          <c:yVal>
            <c:numRef>
              <c:f>TABLA_M!$AU$4:$AU$63</c:f>
              <c:numCache>
                <c:formatCode>0.000</c:formatCode>
                <c:ptCount val="60"/>
                <c:pt idx="0">
                  <c:v>0.55300000000000005</c:v>
                </c:pt>
                <c:pt idx="1">
                  <c:v>0.80700000000000005</c:v>
                </c:pt>
                <c:pt idx="2">
                  <c:v>1.028</c:v>
                </c:pt>
                <c:pt idx="3">
                  <c:v>0.92100000000000004</c:v>
                </c:pt>
                <c:pt idx="4">
                  <c:v>1.0660000000000001</c:v>
                </c:pt>
                <c:pt idx="5">
                  <c:v>0.73399999999999999</c:v>
                </c:pt>
                <c:pt idx="6">
                  <c:v>0.94599999999999995</c:v>
                </c:pt>
                <c:pt idx="7">
                  <c:v>1.1970000000000001</c:v>
                </c:pt>
                <c:pt idx="8">
                  <c:v>0.84099999999999997</c:v>
                </c:pt>
                <c:pt idx="9">
                  <c:v>0.51100000000000001</c:v>
                </c:pt>
                <c:pt idx="10">
                  <c:v>0.48599999999999999</c:v>
                </c:pt>
                <c:pt idx="11">
                  <c:v>0.46600000000000003</c:v>
                </c:pt>
                <c:pt idx="12">
                  <c:v>0.53</c:v>
                </c:pt>
                <c:pt idx="13">
                  <c:v>0.79800000000000004</c:v>
                </c:pt>
                <c:pt idx="14">
                  <c:v>0</c:v>
                </c:pt>
                <c:pt idx="15">
                  <c:v>0.73399999999999999</c:v>
                </c:pt>
                <c:pt idx="16">
                  <c:v>0</c:v>
                </c:pt>
                <c:pt idx="17">
                  <c:v>2.198</c:v>
                </c:pt>
                <c:pt idx="18">
                  <c:v>0.53300000000000003</c:v>
                </c:pt>
                <c:pt idx="19">
                  <c:v>0.72599999999999998</c:v>
                </c:pt>
                <c:pt idx="20">
                  <c:v>0.64500000000000002</c:v>
                </c:pt>
                <c:pt idx="21">
                  <c:v>1.099</c:v>
                </c:pt>
                <c:pt idx="22">
                  <c:v>0.92800000000000005</c:v>
                </c:pt>
                <c:pt idx="23">
                  <c:v>0.78200000000000003</c:v>
                </c:pt>
                <c:pt idx="24">
                  <c:v>0.56999999999999995</c:v>
                </c:pt>
                <c:pt idx="25">
                  <c:v>0.53700000000000003</c:v>
                </c:pt>
                <c:pt idx="26">
                  <c:v>0</c:v>
                </c:pt>
                <c:pt idx="27">
                  <c:v>0.44400000000000001</c:v>
                </c:pt>
                <c:pt idx="28">
                  <c:v>0.47499999999999998</c:v>
                </c:pt>
                <c:pt idx="29">
                  <c:v>0.41899999999999998</c:v>
                </c:pt>
                <c:pt idx="30">
                  <c:v>0.45900000000000002</c:v>
                </c:pt>
                <c:pt idx="31">
                  <c:v>0.45400000000000001</c:v>
                </c:pt>
                <c:pt idx="32">
                  <c:v>0.60099999999999998</c:v>
                </c:pt>
                <c:pt idx="33">
                  <c:v>0.56100000000000005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0.60699999999999998</c:v>
                </c:pt>
                <c:pt idx="38">
                  <c:v>0</c:v>
                </c:pt>
                <c:pt idx="39">
                  <c:v>0.68</c:v>
                </c:pt>
                <c:pt idx="40">
                  <c:v>0.92400000000000004</c:v>
                </c:pt>
                <c:pt idx="41">
                  <c:v>0.56999999999999995</c:v>
                </c:pt>
                <c:pt idx="42">
                  <c:v>0.39300000000000002</c:v>
                </c:pt>
                <c:pt idx="43">
                  <c:v>0.46800000000000003</c:v>
                </c:pt>
                <c:pt idx="44">
                  <c:v>0.41199999999999998</c:v>
                </c:pt>
                <c:pt idx="45">
                  <c:v>0.65100000000000002</c:v>
                </c:pt>
                <c:pt idx="46">
                  <c:v>0.71699999999999997</c:v>
                </c:pt>
                <c:pt idx="47">
                  <c:v>0.52700000000000002</c:v>
                </c:pt>
                <c:pt idx="48">
                  <c:v>0.67900000000000005</c:v>
                </c:pt>
                <c:pt idx="49">
                  <c:v>0.48499999999999999</c:v>
                </c:pt>
                <c:pt idx="50">
                  <c:v>0.54800000000000004</c:v>
                </c:pt>
                <c:pt idx="51">
                  <c:v>0.66200000000000003</c:v>
                </c:pt>
                <c:pt idx="52">
                  <c:v>0.73699999999999999</c:v>
                </c:pt>
                <c:pt idx="53">
                  <c:v>0.96899999999999997</c:v>
                </c:pt>
                <c:pt idx="54">
                  <c:v>0</c:v>
                </c:pt>
                <c:pt idx="55">
                  <c:v>0.76900000000000002</c:v>
                </c:pt>
                <c:pt idx="56">
                  <c:v>0.59899999999999998</c:v>
                </c:pt>
                <c:pt idx="57">
                  <c:v>0.58699999999999997</c:v>
                </c:pt>
                <c:pt idx="58">
                  <c:v>0.58699999999999997</c:v>
                </c:pt>
                <c:pt idx="59">
                  <c:v>0.628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F445-4AC7-A801-059ECB0F421C}"/>
            </c:ext>
          </c:extLst>
        </c:ser>
        <c:ser>
          <c:idx val="1"/>
          <c:order val="7"/>
          <c:tx>
            <c:strRef>
              <c:f>Calculos_M!$Z$5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Calculos_M!$Y$6:$Y$29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xVal>
          <c:yVal>
            <c:numRef>
              <c:f>Calculos_M!$Z$6:$Z$29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7-F445-4AC7-A801-059ECB0F421C}"/>
            </c:ext>
          </c:extLst>
        </c:ser>
        <c:ser>
          <c:idx val="2"/>
          <c:order val="8"/>
          <c:tx>
            <c:strRef>
              <c:f>Calculos_M!$AA$4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Calculos_M!$AA$6:$AA$29</c:f>
              <c:numCache>
                <c:formatCode>0.000</c:formatCode>
                <c:ptCount val="24"/>
                <c:pt idx="0">
                  <c:v>0.29015880681818185</c:v>
                </c:pt>
                <c:pt idx="1">
                  <c:v>0.41306107954545457</c:v>
                </c:pt>
                <c:pt idx="2">
                  <c:v>0.53596335227272729</c:v>
                </c:pt>
                <c:pt idx="3">
                  <c:v>0.65886562500000001</c:v>
                </c:pt>
                <c:pt idx="4">
                  <c:v>0.78176789772727273</c:v>
                </c:pt>
                <c:pt idx="5">
                  <c:v>0.90467017045454545</c:v>
                </c:pt>
                <c:pt idx="6">
                  <c:v>1.0275724431818183</c:v>
                </c:pt>
                <c:pt idx="7">
                  <c:v>1.1504747159090911</c:v>
                </c:pt>
                <c:pt idx="8">
                  <c:v>1.2733769886363639</c:v>
                </c:pt>
                <c:pt idx="9">
                  <c:v>1.3962792613636368</c:v>
                </c:pt>
                <c:pt idx="10">
                  <c:v>1.5191815340909096</c:v>
                </c:pt>
                <c:pt idx="11">
                  <c:v>1.6420838068181824</c:v>
                </c:pt>
                <c:pt idx="12">
                  <c:v>1.7649860795454553</c:v>
                </c:pt>
                <c:pt idx="13">
                  <c:v>1.8878883522727281</c:v>
                </c:pt>
                <c:pt idx="14">
                  <c:v>2.0107906250000007</c:v>
                </c:pt>
                <c:pt idx="15">
                  <c:v>2.1336928977272733</c:v>
                </c:pt>
                <c:pt idx="16">
                  <c:v>2.2565951704545459</c:v>
                </c:pt>
                <c:pt idx="17">
                  <c:v>2.3794974431818186</c:v>
                </c:pt>
                <c:pt idx="18">
                  <c:v>2.5023997159090912</c:v>
                </c:pt>
                <c:pt idx="19">
                  <c:v>2.6253019886363638</c:v>
                </c:pt>
                <c:pt idx="20">
                  <c:v>2.7482042613636364</c:v>
                </c:pt>
                <c:pt idx="21">
                  <c:v>2.871106534090909</c:v>
                </c:pt>
                <c:pt idx="22">
                  <c:v>0.11680880681818182</c:v>
                </c:pt>
                <c:pt idx="23">
                  <c:v>1.1168088068181818</c:v>
                </c:pt>
              </c:numCache>
            </c:numRef>
          </c:xVal>
          <c:yVal>
            <c:numRef>
              <c:f>Calculos_M!$AB$6:$AB$29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A-F445-4AC7-A801-059ECB0F421C}"/>
            </c:ext>
          </c:extLst>
        </c:ser>
        <c:ser>
          <c:idx val="3"/>
          <c:order val="9"/>
          <c:tx>
            <c:strRef>
              <c:f>Calculos_M!$AC$4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Calculos_M!$AC$6:$AC$29</c:f>
              <c:numCache>
                <c:formatCode>0.000</c:formatCode>
                <c:ptCount val="24"/>
                <c:pt idx="0">
                  <c:v>0.45654119318181818</c:v>
                </c:pt>
                <c:pt idx="1">
                  <c:v>0.5794434659090909</c:v>
                </c:pt>
                <c:pt idx="2">
                  <c:v>0.70234573863636374</c:v>
                </c:pt>
                <c:pt idx="3">
                  <c:v>0.82524801136363646</c:v>
                </c:pt>
                <c:pt idx="4">
                  <c:v>0.94815028409090918</c:v>
                </c:pt>
                <c:pt idx="5">
                  <c:v>1.0710525568181819</c:v>
                </c:pt>
                <c:pt idx="6">
                  <c:v>1.1939548295454545</c:v>
                </c:pt>
                <c:pt idx="7">
                  <c:v>1.3168571022727273</c:v>
                </c:pt>
                <c:pt idx="8">
                  <c:v>1.4397593750000002</c:v>
                </c:pt>
                <c:pt idx="9">
                  <c:v>1.562661647727273</c:v>
                </c:pt>
                <c:pt idx="10">
                  <c:v>1.6855639204545458</c:v>
                </c:pt>
                <c:pt idx="11">
                  <c:v>1.8084661931818187</c:v>
                </c:pt>
                <c:pt idx="12">
                  <c:v>1.9313684659090915</c:v>
                </c:pt>
                <c:pt idx="13">
                  <c:v>2.0542707386363643</c:v>
                </c:pt>
                <c:pt idx="14">
                  <c:v>2.1771730113636374</c:v>
                </c:pt>
                <c:pt idx="15">
                  <c:v>2.30007528409091</c:v>
                </c:pt>
                <c:pt idx="16">
                  <c:v>2.4229775568181826</c:v>
                </c:pt>
                <c:pt idx="17">
                  <c:v>2.5458798295454552</c:v>
                </c:pt>
                <c:pt idx="18">
                  <c:v>2.6687821022727278</c:v>
                </c:pt>
                <c:pt idx="19">
                  <c:v>2.7916843750000004</c:v>
                </c:pt>
                <c:pt idx="20">
                  <c:v>2.914586647727273</c:v>
                </c:pt>
                <c:pt idx="21">
                  <c:v>3.0374889204545457</c:v>
                </c:pt>
                <c:pt idx="22">
                  <c:v>0.28319119318181818</c:v>
                </c:pt>
                <c:pt idx="23">
                  <c:v>1.2831911931818181</c:v>
                </c:pt>
              </c:numCache>
            </c:numRef>
          </c:xVal>
          <c:yVal>
            <c:numRef>
              <c:f>Calculos_M!$AD$6:$AD$29</c:f>
              <c:numCache>
                <c:formatCode>0.000</c:formatCode>
                <c:ptCount val="24"/>
                <c:pt idx="0">
                  <c:v>0.37335000000000002</c:v>
                </c:pt>
                <c:pt idx="1">
                  <c:v>0.49625227272727274</c:v>
                </c:pt>
                <c:pt idx="2">
                  <c:v>0.61915454545454551</c:v>
                </c:pt>
                <c:pt idx="3">
                  <c:v>0.74205681818181823</c:v>
                </c:pt>
                <c:pt idx="4">
                  <c:v>0.86495909090909096</c:v>
                </c:pt>
                <c:pt idx="5">
                  <c:v>0.98786136363636368</c:v>
                </c:pt>
                <c:pt idx="6">
                  <c:v>1.1107636363636364</c:v>
                </c:pt>
                <c:pt idx="7">
                  <c:v>1.2336659090909092</c:v>
                </c:pt>
                <c:pt idx="8">
                  <c:v>1.3565681818181821</c:v>
                </c:pt>
                <c:pt idx="9">
                  <c:v>1.4794704545454549</c:v>
                </c:pt>
                <c:pt idx="10">
                  <c:v>1.6023727272727277</c:v>
                </c:pt>
                <c:pt idx="11">
                  <c:v>1.7252750000000006</c:v>
                </c:pt>
                <c:pt idx="12">
                  <c:v>1.8481772727272734</c:v>
                </c:pt>
                <c:pt idx="13">
                  <c:v>1.9710795454545462</c:v>
                </c:pt>
                <c:pt idx="14">
                  <c:v>2.0939818181818191</c:v>
                </c:pt>
                <c:pt idx="15">
                  <c:v>2.2168840909090917</c:v>
                </c:pt>
                <c:pt idx="16">
                  <c:v>2.3397863636363643</c:v>
                </c:pt>
                <c:pt idx="17">
                  <c:v>2.4626886363636369</c:v>
                </c:pt>
                <c:pt idx="18">
                  <c:v>2.5855909090909095</c:v>
                </c:pt>
                <c:pt idx="19">
                  <c:v>2.7084931818181821</c:v>
                </c:pt>
                <c:pt idx="20">
                  <c:v>2.8313954545454547</c:v>
                </c:pt>
                <c:pt idx="21">
                  <c:v>2.9542977272727273</c:v>
                </c:pt>
                <c:pt idx="22">
                  <c:v>0.2</c:v>
                </c:pt>
                <c:pt idx="23">
                  <c:v>1.2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D-F445-4AC7-A801-059ECB0F421C}"/>
            </c:ext>
          </c:extLst>
        </c:ser>
        <c:ser>
          <c:idx val="4"/>
          <c:order val="10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TABLA_M!$AT$64</c:f>
              <c:numCache>
                <c:formatCode>0.000</c:formatCode>
                <c:ptCount val="1"/>
                <c:pt idx="0">
                  <c:v>0.73974072933197021</c:v>
                </c:pt>
              </c:numCache>
            </c:numRef>
          </c:xVal>
          <c:yVal>
            <c:numRef>
              <c:f>TABLA_M!$AU$64</c:f>
              <c:numCache>
                <c:formatCode>0.000</c:formatCode>
                <c:ptCount val="1"/>
                <c:pt idx="0">
                  <c:v>0.71199999999999997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F-F445-4AC7-A801-059ECB0F421C}"/>
            </c:ext>
          </c:extLst>
        </c:ser>
        <c:ser>
          <c:idx val="5"/>
          <c:order val="11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TABLA_M!$AT$65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TABLA_M!$AU$65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11-F445-4AC7-A801-059ECB0F4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344198744"/>
        <c:axId val="344199136"/>
      </c:bubbleChart>
      <c:valAx>
        <c:axId val="344198744"/>
        <c:scaling>
          <c:orientation val="minMax"/>
          <c:max val="1.100000000000000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966620269094513"/>
              <c:y val="0.945398132641407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9136"/>
        <c:crosses val="autoZero"/>
        <c:crossBetween val="midCat"/>
      </c:valAx>
      <c:valAx>
        <c:axId val="344199136"/>
        <c:scaling>
          <c:orientation val="minMax"/>
          <c:max val="1.100000000000000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8744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CONCENTRADO ULT LIMPIEZA - PLANTA DE MOLIBDENO (%Mo)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0993175623795"/>
          <c:y val="7.2122906519058901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70148403375023"/>
          <c:y val="0.10845534970846407"/>
          <c:w val="0.84317370744023656"/>
          <c:h val="0.73142111088584538"/>
        </c:manualLayout>
      </c:layout>
      <c:bubbleChart>
        <c:varyColors val="0"/>
        <c:ser>
          <c:idx val="0"/>
          <c:order val="0"/>
          <c:tx>
            <c:strRef>
              <c:f>TABLA_M!$BB$3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TABLA_M!$BA$4:$BA$63</c:f>
              <c:numCache>
                <c:formatCode>0.000</c:formatCode>
                <c:ptCount val="60"/>
                <c:pt idx="0">
                  <c:v>56.281028747558594</c:v>
                </c:pt>
                <c:pt idx="1">
                  <c:v>54.564903259277344</c:v>
                </c:pt>
                <c:pt idx="2">
                  <c:v>55.200344085693359</c:v>
                </c:pt>
                <c:pt idx="3">
                  <c:v>55.200344085693359</c:v>
                </c:pt>
                <c:pt idx="4">
                  <c:v>55.188297271728516</c:v>
                </c:pt>
                <c:pt idx="5">
                  <c:v>55.157562255859375</c:v>
                </c:pt>
                <c:pt idx="6">
                  <c:v>54.821533203125</c:v>
                </c:pt>
                <c:pt idx="7">
                  <c:v>55.142543792724609</c:v>
                </c:pt>
                <c:pt idx="8">
                  <c:v>55.340721130371094</c:v>
                </c:pt>
                <c:pt idx="9">
                  <c:v>56.507232666015625</c:v>
                </c:pt>
                <c:pt idx="10">
                  <c:v>56.813716888427734</c:v>
                </c:pt>
                <c:pt idx="11">
                  <c:v>56.694122314453125</c:v>
                </c:pt>
                <c:pt idx="12">
                  <c:v>56.881526947021484</c:v>
                </c:pt>
                <c:pt idx="13">
                  <c:v>56.233108520507813</c:v>
                </c:pt>
                <c:pt idx="14">
                  <c:v>56.782024383544922</c:v>
                </c:pt>
                <c:pt idx="15">
                  <c:v>56.782024383544922</c:v>
                </c:pt>
                <c:pt idx="16">
                  <c:v>56.782024383544922</c:v>
                </c:pt>
                <c:pt idx="17">
                  <c:v>56.782024383544922</c:v>
                </c:pt>
                <c:pt idx="18">
                  <c:v>54.337448120117188</c:v>
                </c:pt>
                <c:pt idx="19">
                  <c:v>53.728702545166016</c:v>
                </c:pt>
                <c:pt idx="20">
                  <c:v>54.885494232177734</c:v>
                </c:pt>
                <c:pt idx="21">
                  <c:v>55.107204437255859</c:v>
                </c:pt>
                <c:pt idx="22">
                  <c:v>54.821846008300781</c:v>
                </c:pt>
                <c:pt idx="23">
                  <c:v>56.847740173339844</c:v>
                </c:pt>
                <c:pt idx="24">
                  <c:v>56.794994354248047</c:v>
                </c:pt>
                <c:pt idx="25">
                  <c:v>56.340744018554688</c:v>
                </c:pt>
                <c:pt idx="26">
                  <c:v>56.340744018554688</c:v>
                </c:pt>
                <c:pt idx="27">
                  <c:v>57.260551452636719</c:v>
                </c:pt>
                <c:pt idx="28">
                  <c:v>56.498401641845703</c:v>
                </c:pt>
                <c:pt idx="29">
                  <c:v>56.82696533203125</c:v>
                </c:pt>
                <c:pt idx="30">
                  <c:v>56.480049133300781</c:v>
                </c:pt>
                <c:pt idx="31">
                  <c:v>57.101436614990234</c:v>
                </c:pt>
                <c:pt idx="32">
                  <c:v>56.011753082275391</c:v>
                </c:pt>
                <c:pt idx="33">
                  <c:v>57.540431976318359</c:v>
                </c:pt>
                <c:pt idx="34">
                  <c:v>55.790214538574219</c:v>
                </c:pt>
                <c:pt idx="35">
                  <c:v>55.790214538574219</c:v>
                </c:pt>
                <c:pt idx="36">
                  <c:v>55.790214538574219</c:v>
                </c:pt>
                <c:pt idx="37">
                  <c:v>55.790214538574219</c:v>
                </c:pt>
                <c:pt idx="38">
                  <c:v>50</c:v>
                </c:pt>
                <c:pt idx="39">
                  <c:v>54.681602478027344</c:v>
                </c:pt>
                <c:pt idx="40">
                  <c:v>56.021316528320313</c:v>
                </c:pt>
                <c:pt idx="41">
                  <c:v>56.302833557128906</c:v>
                </c:pt>
                <c:pt idx="42">
                  <c:v>56.945362091064453</c:v>
                </c:pt>
                <c:pt idx="43">
                  <c:v>56.945362091064453</c:v>
                </c:pt>
                <c:pt idx="44">
                  <c:v>56.349887847900391</c:v>
                </c:pt>
                <c:pt idx="45">
                  <c:v>56.272441864013672</c:v>
                </c:pt>
                <c:pt idx="46">
                  <c:v>55.951023101806641</c:v>
                </c:pt>
                <c:pt idx="47">
                  <c:v>56.001426696777344</c:v>
                </c:pt>
                <c:pt idx="48">
                  <c:v>55.468986511230469</c:v>
                </c:pt>
                <c:pt idx="49">
                  <c:v>55.944484710693359</c:v>
                </c:pt>
                <c:pt idx="50">
                  <c:v>55.621616363525391</c:v>
                </c:pt>
                <c:pt idx="51">
                  <c:v>56.462387084960938</c:v>
                </c:pt>
                <c:pt idx="52">
                  <c:v>56.375556945800781</c:v>
                </c:pt>
                <c:pt idx="53">
                  <c:v>55.806068420410156</c:v>
                </c:pt>
                <c:pt idx="54">
                  <c:v>51.523078918457031</c:v>
                </c:pt>
                <c:pt idx="55">
                  <c:v>56.350315093994141</c:v>
                </c:pt>
                <c:pt idx="56">
                  <c:v>56.157756805419922</c:v>
                </c:pt>
                <c:pt idx="57">
                  <c:v>55.626434326171875</c:v>
                </c:pt>
                <c:pt idx="58">
                  <c:v>55.859203338623047</c:v>
                </c:pt>
                <c:pt idx="59">
                  <c:v>56.089130401611328</c:v>
                </c:pt>
              </c:numCache>
            </c:numRef>
          </c:xVal>
          <c:yVal>
            <c:numRef>
              <c:f>TABLA_M!$BB$4:$BB$63</c:f>
              <c:numCache>
                <c:formatCode>0.000</c:formatCode>
                <c:ptCount val="60"/>
                <c:pt idx="0">
                  <c:v>56.453000000000003</c:v>
                </c:pt>
                <c:pt idx="1">
                  <c:v>56.274999999999999</c:v>
                </c:pt>
                <c:pt idx="2">
                  <c:v>56.585000000000001</c:v>
                </c:pt>
                <c:pt idx="3">
                  <c:v>56.829000000000001</c:v>
                </c:pt>
                <c:pt idx="4">
                  <c:v>56.305</c:v>
                </c:pt>
                <c:pt idx="5">
                  <c:v>55.981000000000002</c:v>
                </c:pt>
                <c:pt idx="6">
                  <c:v>56.015999999999998</c:v>
                </c:pt>
                <c:pt idx="7">
                  <c:v>55.908000000000001</c:v>
                </c:pt>
                <c:pt idx="8">
                  <c:v>55.356999999999999</c:v>
                </c:pt>
                <c:pt idx="9">
                  <c:v>57.058999999999997</c:v>
                </c:pt>
                <c:pt idx="10">
                  <c:v>57.497999999999998</c:v>
                </c:pt>
                <c:pt idx="11">
                  <c:v>57.186</c:v>
                </c:pt>
                <c:pt idx="12">
                  <c:v>56.895000000000003</c:v>
                </c:pt>
                <c:pt idx="13">
                  <c:v>54.981000000000002</c:v>
                </c:pt>
                <c:pt idx="14">
                  <c:v>0</c:v>
                </c:pt>
                <c:pt idx="15">
                  <c:v>55.753999999999998</c:v>
                </c:pt>
                <c:pt idx="16">
                  <c:v>0</c:v>
                </c:pt>
                <c:pt idx="17">
                  <c:v>51.384</c:v>
                </c:pt>
                <c:pt idx="18">
                  <c:v>57.165999999999997</c:v>
                </c:pt>
                <c:pt idx="19">
                  <c:v>56.784999999999997</c:v>
                </c:pt>
                <c:pt idx="20">
                  <c:v>57.445</c:v>
                </c:pt>
                <c:pt idx="21">
                  <c:v>56.451000000000001</c:v>
                </c:pt>
                <c:pt idx="22">
                  <c:v>57.02</c:v>
                </c:pt>
                <c:pt idx="23">
                  <c:v>57.246000000000002</c:v>
                </c:pt>
                <c:pt idx="24">
                  <c:v>58.036999999999999</c:v>
                </c:pt>
                <c:pt idx="25">
                  <c:v>57.472000000000001</c:v>
                </c:pt>
                <c:pt idx="26">
                  <c:v>0</c:v>
                </c:pt>
                <c:pt idx="27">
                  <c:v>57.484999999999999</c:v>
                </c:pt>
                <c:pt idx="28">
                  <c:v>57.438000000000002</c:v>
                </c:pt>
                <c:pt idx="29">
                  <c:v>57.631999999999998</c:v>
                </c:pt>
                <c:pt idx="30">
                  <c:v>57.127000000000002</c:v>
                </c:pt>
                <c:pt idx="31">
                  <c:v>56.825000000000003</c:v>
                </c:pt>
                <c:pt idx="32">
                  <c:v>53.348999999999997</c:v>
                </c:pt>
                <c:pt idx="33">
                  <c:v>55.825000000000003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55.411000000000001</c:v>
                </c:pt>
                <c:pt idx="38">
                  <c:v>0</c:v>
                </c:pt>
                <c:pt idx="39">
                  <c:v>56.656999999999996</c:v>
                </c:pt>
                <c:pt idx="40">
                  <c:v>55.795999999999999</c:v>
                </c:pt>
                <c:pt idx="41">
                  <c:v>57.256999999999998</c:v>
                </c:pt>
                <c:pt idx="42">
                  <c:v>57.517000000000003</c:v>
                </c:pt>
                <c:pt idx="43">
                  <c:v>57.222999999999999</c:v>
                </c:pt>
                <c:pt idx="44">
                  <c:v>57.93</c:v>
                </c:pt>
                <c:pt idx="45">
                  <c:v>57.598999999999997</c:v>
                </c:pt>
                <c:pt idx="46">
                  <c:v>57.313000000000002</c:v>
                </c:pt>
                <c:pt idx="47">
                  <c:v>57.6</c:v>
                </c:pt>
                <c:pt idx="48">
                  <c:v>55.353000000000002</c:v>
                </c:pt>
                <c:pt idx="49">
                  <c:v>57.158999999999999</c:v>
                </c:pt>
                <c:pt idx="50">
                  <c:v>57.23</c:v>
                </c:pt>
                <c:pt idx="51">
                  <c:v>56.963999999999999</c:v>
                </c:pt>
                <c:pt idx="52">
                  <c:v>55.98</c:v>
                </c:pt>
                <c:pt idx="53">
                  <c:v>54.634999999999998</c:v>
                </c:pt>
                <c:pt idx="54">
                  <c:v>0</c:v>
                </c:pt>
                <c:pt idx="55">
                  <c:v>55.16</c:v>
                </c:pt>
                <c:pt idx="56">
                  <c:v>56.704999999999998</c:v>
                </c:pt>
                <c:pt idx="57">
                  <c:v>56.673000000000002</c:v>
                </c:pt>
                <c:pt idx="58">
                  <c:v>57.347999999999999</c:v>
                </c:pt>
                <c:pt idx="59">
                  <c:v>56.975000000000001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272E-4646-AEA2-0ACC6F0A9351}"/>
            </c:ext>
          </c:extLst>
        </c:ser>
        <c:ser>
          <c:idx val="1"/>
          <c:order val="1"/>
          <c:tx>
            <c:strRef>
              <c:f>Calculos_M!$AF$5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Calculos_M!$AE$6:$AE$29</c:f>
              <c:numCache>
                <c:formatCode>0.000</c:formatCode>
                <c:ptCount val="24"/>
                <c:pt idx="0">
                  <c:v>47.27328</c:v>
                </c:pt>
                <c:pt idx="1">
                  <c:v>48.422051363636363</c:v>
                </c:pt>
                <c:pt idx="2">
                  <c:v>49.570822727272727</c:v>
                </c:pt>
                <c:pt idx="3">
                  <c:v>50.719594090909091</c:v>
                </c:pt>
                <c:pt idx="4">
                  <c:v>51.868365454545454</c:v>
                </c:pt>
                <c:pt idx="5">
                  <c:v>53.017136818181818</c:v>
                </c:pt>
                <c:pt idx="6">
                  <c:v>54.165908181818182</c:v>
                </c:pt>
                <c:pt idx="7">
                  <c:v>55.314679545454545</c:v>
                </c:pt>
                <c:pt idx="8">
                  <c:v>56.463450909090909</c:v>
                </c:pt>
                <c:pt idx="9">
                  <c:v>57.612222272727273</c:v>
                </c:pt>
                <c:pt idx="10">
                  <c:v>58.760993636363636</c:v>
                </c:pt>
                <c:pt idx="11">
                  <c:v>59.909765</c:v>
                </c:pt>
                <c:pt idx="12">
                  <c:v>61.058536363636364</c:v>
                </c:pt>
                <c:pt idx="13">
                  <c:v>62.207307727272728</c:v>
                </c:pt>
                <c:pt idx="14">
                  <c:v>63.356079090909091</c:v>
                </c:pt>
                <c:pt idx="15">
                  <c:v>64.504850454545448</c:v>
                </c:pt>
                <c:pt idx="16">
                  <c:v>65.653621818181819</c:v>
                </c:pt>
                <c:pt idx="17">
                  <c:v>66.802393181818189</c:v>
                </c:pt>
                <c:pt idx="18">
                  <c:v>67.95116454545456</c:v>
                </c:pt>
                <c:pt idx="19">
                  <c:v>69.099935909090931</c:v>
                </c:pt>
                <c:pt idx="20">
                  <c:v>70.248707272727302</c:v>
                </c:pt>
                <c:pt idx="21">
                  <c:v>71.397478636363672</c:v>
                </c:pt>
                <c:pt idx="22">
                  <c:v>45</c:v>
                </c:pt>
                <c:pt idx="23">
                  <c:v>60</c:v>
                </c:pt>
              </c:numCache>
            </c:numRef>
          </c:xVal>
          <c:yVal>
            <c:numRef>
              <c:f>Calculos_M!$AF$6:$AF$29</c:f>
              <c:numCache>
                <c:formatCode>0.000</c:formatCode>
                <c:ptCount val="24"/>
                <c:pt idx="0">
                  <c:v>47.27328</c:v>
                </c:pt>
                <c:pt idx="1">
                  <c:v>48.422051363636363</c:v>
                </c:pt>
                <c:pt idx="2">
                  <c:v>49.307018181818179</c:v>
                </c:pt>
                <c:pt idx="3">
                  <c:v>50.719594090909091</c:v>
                </c:pt>
                <c:pt idx="4">
                  <c:v>51.868365454545454</c:v>
                </c:pt>
                <c:pt idx="5">
                  <c:v>53.017136818181818</c:v>
                </c:pt>
                <c:pt idx="6">
                  <c:v>54.165908181818182</c:v>
                </c:pt>
                <c:pt idx="7">
                  <c:v>55.314679545454545</c:v>
                </c:pt>
                <c:pt idx="8">
                  <c:v>56.463450909090909</c:v>
                </c:pt>
                <c:pt idx="9">
                  <c:v>57.612222272727273</c:v>
                </c:pt>
                <c:pt idx="10">
                  <c:v>58.760993636363636</c:v>
                </c:pt>
                <c:pt idx="11">
                  <c:v>59.909765</c:v>
                </c:pt>
                <c:pt idx="12">
                  <c:v>61.058536363636364</c:v>
                </c:pt>
                <c:pt idx="13">
                  <c:v>62.207307727272728</c:v>
                </c:pt>
                <c:pt idx="14">
                  <c:v>63.356079090909091</c:v>
                </c:pt>
                <c:pt idx="15">
                  <c:v>64.504850454545448</c:v>
                </c:pt>
                <c:pt idx="16">
                  <c:v>65.653621818181819</c:v>
                </c:pt>
                <c:pt idx="17">
                  <c:v>66.802393181818189</c:v>
                </c:pt>
                <c:pt idx="18">
                  <c:v>67.95116454545456</c:v>
                </c:pt>
                <c:pt idx="19">
                  <c:v>69.099935909090931</c:v>
                </c:pt>
                <c:pt idx="20">
                  <c:v>70.248707272727302</c:v>
                </c:pt>
                <c:pt idx="21">
                  <c:v>71.397478636363672</c:v>
                </c:pt>
                <c:pt idx="22">
                  <c:v>45</c:v>
                </c:pt>
                <c:pt idx="23">
                  <c:v>60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272E-4646-AEA2-0ACC6F0A9351}"/>
            </c:ext>
          </c:extLst>
        </c:ser>
        <c:ser>
          <c:idx val="2"/>
          <c:order val="2"/>
          <c:tx>
            <c:strRef>
              <c:f>Calculos_M!$AG$4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Calculos_M!$AG$6:$AG$29</c:f>
              <c:numCache>
                <c:formatCode>0.000</c:formatCode>
                <c:ptCount val="24"/>
                <c:pt idx="0">
                  <c:v>45.790195294938016</c:v>
                </c:pt>
                <c:pt idx="1">
                  <c:v>46.93896665857438</c:v>
                </c:pt>
                <c:pt idx="2">
                  <c:v>48.087738022210743</c:v>
                </c:pt>
                <c:pt idx="3">
                  <c:v>49.236509385847107</c:v>
                </c:pt>
                <c:pt idx="4">
                  <c:v>50.385280749483471</c:v>
                </c:pt>
                <c:pt idx="5">
                  <c:v>51.534052113119834</c:v>
                </c:pt>
                <c:pt idx="6">
                  <c:v>52.682823476756198</c:v>
                </c:pt>
                <c:pt idx="7">
                  <c:v>53.831594840392562</c:v>
                </c:pt>
                <c:pt idx="8">
                  <c:v>54.980366204028925</c:v>
                </c:pt>
                <c:pt idx="9">
                  <c:v>56.129137567665289</c:v>
                </c:pt>
                <c:pt idx="10">
                  <c:v>57.277908931301653</c:v>
                </c:pt>
                <c:pt idx="11">
                  <c:v>58.426680294938016</c:v>
                </c:pt>
                <c:pt idx="12">
                  <c:v>59.57545165857438</c:v>
                </c:pt>
                <c:pt idx="13">
                  <c:v>60.724223022210744</c:v>
                </c:pt>
                <c:pt idx="14">
                  <c:v>61.872994385847107</c:v>
                </c:pt>
                <c:pt idx="15">
                  <c:v>63.021765749483464</c:v>
                </c:pt>
                <c:pt idx="16">
                  <c:v>64.170537113119835</c:v>
                </c:pt>
                <c:pt idx="17">
                  <c:v>65.319308476756206</c:v>
                </c:pt>
                <c:pt idx="18">
                  <c:v>66.468079840392576</c:v>
                </c:pt>
                <c:pt idx="19">
                  <c:v>67.616851204028947</c:v>
                </c:pt>
                <c:pt idx="20">
                  <c:v>68.765622567665318</c:v>
                </c:pt>
                <c:pt idx="21">
                  <c:v>69.914393931301689</c:v>
                </c:pt>
                <c:pt idx="22">
                  <c:v>43.516915294938016</c:v>
                </c:pt>
                <c:pt idx="23">
                  <c:v>58.516915294938016</c:v>
                </c:pt>
              </c:numCache>
            </c:numRef>
          </c:xVal>
          <c:yVal>
            <c:numRef>
              <c:f>Calculos_M!$AH$6:$AH$29</c:f>
              <c:numCache>
                <c:formatCode>0.000</c:formatCode>
                <c:ptCount val="24"/>
                <c:pt idx="0">
                  <c:v>47.27328</c:v>
                </c:pt>
                <c:pt idx="1">
                  <c:v>48.422051363636363</c:v>
                </c:pt>
                <c:pt idx="2">
                  <c:v>49.307018181818179</c:v>
                </c:pt>
                <c:pt idx="3">
                  <c:v>50.719594090909091</c:v>
                </c:pt>
                <c:pt idx="4">
                  <c:v>51.868365454545454</c:v>
                </c:pt>
                <c:pt idx="5">
                  <c:v>53.017136818181818</c:v>
                </c:pt>
                <c:pt idx="6">
                  <c:v>54.165908181818182</c:v>
                </c:pt>
                <c:pt idx="7">
                  <c:v>55.314679545454545</c:v>
                </c:pt>
                <c:pt idx="8">
                  <c:v>56.463450909090909</c:v>
                </c:pt>
                <c:pt idx="9">
                  <c:v>57.612222272727273</c:v>
                </c:pt>
                <c:pt idx="10">
                  <c:v>58.760993636363636</c:v>
                </c:pt>
                <c:pt idx="11">
                  <c:v>59.909765</c:v>
                </c:pt>
                <c:pt idx="12">
                  <c:v>61.058536363636364</c:v>
                </c:pt>
                <c:pt idx="13">
                  <c:v>62.207307727272728</c:v>
                </c:pt>
                <c:pt idx="14">
                  <c:v>63.356079090909091</c:v>
                </c:pt>
                <c:pt idx="15">
                  <c:v>64.504850454545448</c:v>
                </c:pt>
                <c:pt idx="16">
                  <c:v>65.653621818181819</c:v>
                </c:pt>
                <c:pt idx="17">
                  <c:v>66.802393181818189</c:v>
                </c:pt>
                <c:pt idx="18">
                  <c:v>67.95116454545456</c:v>
                </c:pt>
                <c:pt idx="19">
                  <c:v>69.099935909090931</c:v>
                </c:pt>
                <c:pt idx="20">
                  <c:v>70.248707272727302</c:v>
                </c:pt>
                <c:pt idx="21">
                  <c:v>71.397478636363672</c:v>
                </c:pt>
                <c:pt idx="22">
                  <c:v>45</c:v>
                </c:pt>
                <c:pt idx="23">
                  <c:v>60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272E-4646-AEA2-0ACC6F0A9351}"/>
            </c:ext>
          </c:extLst>
        </c:ser>
        <c:ser>
          <c:idx val="3"/>
          <c:order val="3"/>
          <c:tx>
            <c:strRef>
              <c:f>Calculos_M!$AI$4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Calculos_M!$AI$6:$AI$29</c:f>
              <c:numCache>
                <c:formatCode>0.000</c:formatCode>
                <c:ptCount val="24"/>
                <c:pt idx="0">
                  <c:v>48.756364705061983</c:v>
                </c:pt>
                <c:pt idx="1">
                  <c:v>49.905136068698347</c:v>
                </c:pt>
                <c:pt idx="2">
                  <c:v>51.053907432334711</c:v>
                </c:pt>
                <c:pt idx="3">
                  <c:v>52.202678795971075</c:v>
                </c:pt>
                <c:pt idx="4">
                  <c:v>53.351450159607438</c:v>
                </c:pt>
                <c:pt idx="5">
                  <c:v>54.500221523243802</c:v>
                </c:pt>
                <c:pt idx="6">
                  <c:v>55.648992886880166</c:v>
                </c:pt>
                <c:pt idx="7">
                  <c:v>56.797764250516529</c:v>
                </c:pt>
                <c:pt idx="8">
                  <c:v>57.946535614152893</c:v>
                </c:pt>
                <c:pt idx="9">
                  <c:v>59.095306977789257</c:v>
                </c:pt>
                <c:pt idx="10">
                  <c:v>60.24407834142562</c:v>
                </c:pt>
                <c:pt idx="11">
                  <c:v>61.392849705061984</c:v>
                </c:pt>
                <c:pt idx="12">
                  <c:v>62.541621068698348</c:v>
                </c:pt>
                <c:pt idx="13">
                  <c:v>63.690392432334711</c:v>
                </c:pt>
                <c:pt idx="14">
                  <c:v>64.839163795971075</c:v>
                </c:pt>
                <c:pt idx="15">
                  <c:v>65.987935159607432</c:v>
                </c:pt>
                <c:pt idx="16">
                  <c:v>67.136706523243802</c:v>
                </c:pt>
                <c:pt idx="17">
                  <c:v>68.285477886880173</c:v>
                </c:pt>
                <c:pt idx="18">
                  <c:v>69.434249250516544</c:v>
                </c:pt>
                <c:pt idx="19">
                  <c:v>70.583020614152915</c:v>
                </c:pt>
                <c:pt idx="20">
                  <c:v>71.731791977789285</c:v>
                </c:pt>
                <c:pt idx="21">
                  <c:v>72.880563341425656</c:v>
                </c:pt>
                <c:pt idx="22">
                  <c:v>46.483084705061984</c:v>
                </c:pt>
                <c:pt idx="23">
                  <c:v>61.483084705061984</c:v>
                </c:pt>
              </c:numCache>
            </c:numRef>
          </c:xVal>
          <c:yVal>
            <c:numRef>
              <c:f>Calculos_M!$AJ$6:$AJ$29</c:f>
              <c:numCache>
                <c:formatCode>0.000</c:formatCode>
                <c:ptCount val="24"/>
                <c:pt idx="0">
                  <c:v>47.27328</c:v>
                </c:pt>
                <c:pt idx="1">
                  <c:v>48.422051363636363</c:v>
                </c:pt>
                <c:pt idx="2">
                  <c:v>49.307018181818179</c:v>
                </c:pt>
                <c:pt idx="3">
                  <c:v>50.719594090909091</c:v>
                </c:pt>
                <c:pt idx="4">
                  <c:v>51.868365454545454</c:v>
                </c:pt>
                <c:pt idx="5">
                  <c:v>53.017136818181818</c:v>
                </c:pt>
                <c:pt idx="6">
                  <c:v>54.165908181818182</c:v>
                </c:pt>
                <c:pt idx="7">
                  <c:v>55.314679545454545</c:v>
                </c:pt>
                <c:pt idx="8">
                  <c:v>56.463450909090909</c:v>
                </c:pt>
                <c:pt idx="9">
                  <c:v>57.612222272727273</c:v>
                </c:pt>
                <c:pt idx="10">
                  <c:v>58.760993636363636</c:v>
                </c:pt>
                <c:pt idx="11">
                  <c:v>59.909765</c:v>
                </c:pt>
                <c:pt idx="12">
                  <c:v>61.058536363636364</c:v>
                </c:pt>
                <c:pt idx="13">
                  <c:v>62.207307727272728</c:v>
                </c:pt>
                <c:pt idx="14">
                  <c:v>63.356079090909091</c:v>
                </c:pt>
                <c:pt idx="15">
                  <c:v>64.504850454545448</c:v>
                </c:pt>
                <c:pt idx="16">
                  <c:v>65.653621818181819</c:v>
                </c:pt>
                <c:pt idx="17">
                  <c:v>66.802393181818189</c:v>
                </c:pt>
                <c:pt idx="18">
                  <c:v>67.95116454545456</c:v>
                </c:pt>
                <c:pt idx="19">
                  <c:v>69.099935909090931</c:v>
                </c:pt>
                <c:pt idx="20">
                  <c:v>70.248707272727302</c:v>
                </c:pt>
                <c:pt idx="21">
                  <c:v>71.397478636363672</c:v>
                </c:pt>
                <c:pt idx="22">
                  <c:v>45</c:v>
                </c:pt>
                <c:pt idx="23">
                  <c:v>60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272E-4646-AEA2-0ACC6F0A9351}"/>
            </c:ext>
          </c:extLst>
        </c:ser>
        <c:ser>
          <c:idx val="4"/>
          <c:order val="4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TABLA_M!$BA$64</c:f>
              <c:numCache>
                <c:formatCode>0.000</c:formatCode>
                <c:ptCount val="1"/>
                <c:pt idx="0">
                  <c:v>55.927764892578125</c:v>
                </c:pt>
              </c:numCache>
            </c:numRef>
          </c:xVal>
          <c:yVal>
            <c:numRef>
              <c:f>TABLA_M!$BB$64</c:f>
              <c:numCache>
                <c:formatCode>0.000</c:formatCode>
                <c:ptCount val="1"/>
                <c:pt idx="0">
                  <c:v>56.81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1823-46E1-8F45-F21443CB0FF2}"/>
            </c:ext>
          </c:extLst>
        </c:ser>
        <c:ser>
          <c:idx val="5"/>
          <c:order val="5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TABLA_M!$BA$65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TABLA_M!$BB$65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1823-46E1-8F45-F21443CB0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344196392"/>
        <c:axId val="344192472"/>
      </c:bubbleChart>
      <c:valAx>
        <c:axId val="344196392"/>
        <c:scaling>
          <c:orientation val="minMax"/>
          <c:max val="61"/>
          <c:min val="49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258507215614016"/>
              <c:y val="0.93097355133759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2472"/>
        <c:crosses val="autoZero"/>
        <c:crossBetween val="midCat"/>
        <c:majorUnit val="2"/>
      </c:valAx>
      <c:valAx>
        <c:axId val="344192472"/>
        <c:scaling>
          <c:orientation val="minMax"/>
          <c:max val="61"/>
          <c:min val="49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6392"/>
        <c:crosses val="autoZero"/>
        <c:crossBetween val="midCat"/>
        <c:majorUnit val="2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ALIMENTACION ROUGHER - PLANTA DE MOLIBDENO (%Cu)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8898041976827448"/>
          <c:y val="1.0818435977858835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11802721059337"/>
          <c:y val="0.10845534970846407"/>
          <c:w val="0.82975712710339689"/>
          <c:h val="0.73142111088584538"/>
        </c:manualLayout>
      </c:layout>
      <c:bubbleChart>
        <c:varyColors val="0"/>
        <c:ser>
          <c:idx val="6"/>
          <c:order val="0"/>
          <c:tx>
            <c:strRef>
              <c:f>TABLA_M!$E$3</c:f>
              <c:strCache>
                <c:ptCount val="1"/>
                <c:pt idx="0">
                  <c:v>H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TABLA_M!$D$4:$D$63</c:f>
              <c:numCache>
                <c:formatCode>0.000</c:formatCode>
                <c:ptCount val="60"/>
                <c:pt idx="0">
                  <c:v>22.597080230712891</c:v>
                </c:pt>
                <c:pt idx="1">
                  <c:v>22.597080230712891</c:v>
                </c:pt>
                <c:pt idx="2">
                  <c:v>23.120279312133789</c:v>
                </c:pt>
                <c:pt idx="3">
                  <c:v>23.120279312133789</c:v>
                </c:pt>
                <c:pt idx="4">
                  <c:v>23.490447998046875</c:v>
                </c:pt>
                <c:pt idx="5">
                  <c:v>23.319372177124023</c:v>
                </c:pt>
                <c:pt idx="6">
                  <c:v>21.243520736694336</c:v>
                </c:pt>
                <c:pt idx="7">
                  <c:v>22.771310806274414</c:v>
                </c:pt>
                <c:pt idx="8">
                  <c:v>20.552448272705078</c:v>
                </c:pt>
                <c:pt idx="9">
                  <c:v>23.512538909912109</c:v>
                </c:pt>
                <c:pt idx="10">
                  <c:v>22.13677978515625</c:v>
                </c:pt>
                <c:pt idx="11">
                  <c:v>20.650722503662109</c:v>
                </c:pt>
                <c:pt idx="12">
                  <c:v>21.281415939331055</c:v>
                </c:pt>
                <c:pt idx="13">
                  <c:v>23.196371078491211</c:v>
                </c:pt>
                <c:pt idx="14">
                  <c:v>22.85761833190918</c:v>
                </c:pt>
                <c:pt idx="15">
                  <c:v>23.660287857055664</c:v>
                </c:pt>
                <c:pt idx="16">
                  <c:v>24.543853759765625</c:v>
                </c:pt>
                <c:pt idx="17">
                  <c:v>24.543853759765625</c:v>
                </c:pt>
                <c:pt idx="18">
                  <c:v>23.831357955932617</c:v>
                </c:pt>
                <c:pt idx="19">
                  <c:v>22.841638565063477</c:v>
                </c:pt>
                <c:pt idx="20">
                  <c:v>22.674943923950195</c:v>
                </c:pt>
                <c:pt idx="21">
                  <c:v>23.641651153564453</c:v>
                </c:pt>
                <c:pt idx="22">
                  <c:v>22.421327590942383</c:v>
                </c:pt>
                <c:pt idx="23">
                  <c:v>22.577163696289063</c:v>
                </c:pt>
                <c:pt idx="24">
                  <c:v>22.439613342285156</c:v>
                </c:pt>
                <c:pt idx="25">
                  <c:v>22.115400314331055</c:v>
                </c:pt>
                <c:pt idx="26">
                  <c:v>22.115400314331055</c:v>
                </c:pt>
                <c:pt idx="27">
                  <c:v>22.430482864379883</c:v>
                </c:pt>
                <c:pt idx="28">
                  <c:v>23.856645584106445</c:v>
                </c:pt>
                <c:pt idx="29">
                  <c:v>23.230396270751953</c:v>
                </c:pt>
                <c:pt idx="30">
                  <c:v>22.504552841186523</c:v>
                </c:pt>
                <c:pt idx="31">
                  <c:v>22.002679824829102</c:v>
                </c:pt>
                <c:pt idx="32">
                  <c:v>21.807527542114258</c:v>
                </c:pt>
                <c:pt idx="33">
                  <c:v>22.898529052734375</c:v>
                </c:pt>
                <c:pt idx="34">
                  <c:v>22.604328155517578</c:v>
                </c:pt>
                <c:pt idx="35">
                  <c:v>22.234939575195313</c:v>
                </c:pt>
                <c:pt idx="36">
                  <c:v>21.570816040039063</c:v>
                </c:pt>
                <c:pt idx="37">
                  <c:v>22.481559753417969</c:v>
                </c:pt>
                <c:pt idx="38">
                  <c:v>24.347196578979492</c:v>
                </c:pt>
                <c:pt idx="39">
                  <c:v>23.374361038208008</c:v>
                </c:pt>
                <c:pt idx="40">
                  <c:v>22.50579833984375</c:v>
                </c:pt>
                <c:pt idx="41">
                  <c:v>22.958297729492188</c:v>
                </c:pt>
                <c:pt idx="42">
                  <c:v>19.754337310791016</c:v>
                </c:pt>
                <c:pt idx="43">
                  <c:v>19.754337310791016</c:v>
                </c:pt>
                <c:pt idx="44">
                  <c:v>20.500843048095703</c:v>
                </c:pt>
                <c:pt idx="45">
                  <c:v>23.70465087890625</c:v>
                </c:pt>
                <c:pt idx="46">
                  <c:v>23.074974060058594</c:v>
                </c:pt>
                <c:pt idx="47">
                  <c:v>22.871414184570313</c:v>
                </c:pt>
                <c:pt idx="48">
                  <c:v>23.4122314453125</c:v>
                </c:pt>
                <c:pt idx="49">
                  <c:v>23.4122314453125</c:v>
                </c:pt>
                <c:pt idx="50">
                  <c:v>23.4122314453125</c:v>
                </c:pt>
                <c:pt idx="51">
                  <c:v>25.597373962402344</c:v>
                </c:pt>
                <c:pt idx="52">
                  <c:v>23.623220443725586</c:v>
                </c:pt>
                <c:pt idx="53">
                  <c:v>24.979143142700195</c:v>
                </c:pt>
                <c:pt idx="54">
                  <c:v>23.020315170288086</c:v>
                </c:pt>
                <c:pt idx="55">
                  <c:v>27.067319869995117</c:v>
                </c:pt>
                <c:pt idx="56">
                  <c:v>26.633718490600586</c:v>
                </c:pt>
                <c:pt idx="57">
                  <c:v>25.186441421508789</c:v>
                </c:pt>
                <c:pt idx="58">
                  <c:v>25.249885559082031</c:v>
                </c:pt>
                <c:pt idx="59">
                  <c:v>24.969537734985352</c:v>
                </c:pt>
              </c:numCache>
            </c:numRef>
          </c:xVal>
          <c:yVal>
            <c:numRef>
              <c:f>TABLA_M!$E$4:$E$63</c:f>
              <c:numCache>
                <c:formatCode>0.000</c:formatCode>
                <c:ptCount val="60"/>
                <c:pt idx="0">
                  <c:v>22.587</c:v>
                </c:pt>
                <c:pt idx="1">
                  <c:v>24.972000000000001</c:v>
                </c:pt>
                <c:pt idx="2">
                  <c:v>21.212</c:v>
                </c:pt>
                <c:pt idx="3">
                  <c:v>21.707000000000001</c:v>
                </c:pt>
                <c:pt idx="4">
                  <c:v>23.045000000000002</c:v>
                </c:pt>
                <c:pt idx="5">
                  <c:v>23.134</c:v>
                </c:pt>
                <c:pt idx="6">
                  <c:v>20.696000000000002</c:v>
                </c:pt>
                <c:pt idx="7">
                  <c:v>24.681000000000001</c:v>
                </c:pt>
                <c:pt idx="8">
                  <c:v>22.5</c:v>
                </c:pt>
                <c:pt idx="9">
                  <c:v>24.085999999999999</c:v>
                </c:pt>
                <c:pt idx="10">
                  <c:v>22.401</c:v>
                </c:pt>
                <c:pt idx="11">
                  <c:v>22.599</c:v>
                </c:pt>
                <c:pt idx="12">
                  <c:v>21.242999999999999</c:v>
                </c:pt>
                <c:pt idx="13">
                  <c:v>23.193999999999999</c:v>
                </c:pt>
                <c:pt idx="14">
                  <c:v>0</c:v>
                </c:pt>
                <c:pt idx="15">
                  <c:v>23.591000000000001</c:v>
                </c:pt>
                <c:pt idx="16">
                  <c:v>24.175000000000001</c:v>
                </c:pt>
                <c:pt idx="17">
                  <c:v>23.88</c:v>
                </c:pt>
                <c:pt idx="18">
                  <c:v>21.393000000000001</c:v>
                </c:pt>
                <c:pt idx="19">
                  <c:v>21.492000000000001</c:v>
                </c:pt>
                <c:pt idx="20">
                  <c:v>21.640999999999998</c:v>
                </c:pt>
                <c:pt idx="21">
                  <c:v>22.542999999999999</c:v>
                </c:pt>
                <c:pt idx="22">
                  <c:v>21.724</c:v>
                </c:pt>
                <c:pt idx="23">
                  <c:v>22.189</c:v>
                </c:pt>
                <c:pt idx="24">
                  <c:v>22.251999999999999</c:v>
                </c:pt>
                <c:pt idx="25">
                  <c:v>22.593</c:v>
                </c:pt>
                <c:pt idx="26">
                  <c:v>22.55</c:v>
                </c:pt>
                <c:pt idx="27">
                  <c:v>23.88</c:v>
                </c:pt>
                <c:pt idx="28">
                  <c:v>23.491</c:v>
                </c:pt>
                <c:pt idx="29">
                  <c:v>22.542999999999999</c:v>
                </c:pt>
                <c:pt idx="30">
                  <c:v>19.701000000000001</c:v>
                </c:pt>
                <c:pt idx="31">
                  <c:v>20.995000000000001</c:v>
                </c:pt>
                <c:pt idx="32">
                  <c:v>20</c:v>
                </c:pt>
                <c:pt idx="33">
                  <c:v>23.084</c:v>
                </c:pt>
                <c:pt idx="34">
                  <c:v>21.457999999999998</c:v>
                </c:pt>
                <c:pt idx="35">
                  <c:v>0</c:v>
                </c:pt>
                <c:pt idx="36">
                  <c:v>0</c:v>
                </c:pt>
                <c:pt idx="37">
                  <c:v>21.108000000000001</c:v>
                </c:pt>
                <c:pt idx="38">
                  <c:v>23.391999999999999</c:v>
                </c:pt>
                <c:pt idx="39">
                  <c:v>23.292999999999999</c:v>
                </c:pt>
                <c:pt idx="40">
                  <c:v>23.431999999999999</c:v>
                </c:pt>
                <c:pt idx="41">
                  <c:v>21.99</c:v>
                </c:pt>
                <c:pt idx="42">
                  <c:v>18.905000000000001</c:v>
                </c:pt>
                <c:pt idx="43">
                  <c:v>23.681000000000001</c:v>
                </c:pt>
                <c:pt idx="44">
                  <c:v>17.710999999999999</c:v>
                </c:pt>
                <c:pt idx="45">
                  <c:v>23.971</c:v>
                </c:pt>
                <c:pt idx="46">
                  <c:v>21.791</c:v>
                </c:pt>
                <c:pt idx="47">
                  <c:v>24.57</c:v>
                </c:pt>
                <c:pt idx="48">
                  <c:v>24.875</c:v>
                </c:pt>
                <c:pt idx="49">
                  <c:v>26.663</c:v>
                </c:pt>
                <c:pt idx="50">
                  <c:v>23.122</c:v>
                </c:pt>
                <c:pt idx="51">
                  <c:v>25.068000000000001</c:v>
                </c:pt>
                <c:pt idx="52">
                  <c:v>25.128</c:v>
                </c:pt>
                <c:pt idx="53">
                  <c:v>24.337</c:v>
                </c:pt>
                <c:pt idx="54">
                  <c:v>0</c:v>
                </c:pt>
                <c:pt idx="55">
                  <c:v>26.792999999999999</c:v>
                </c:pt>
                <c:pt idx="56">
                  <c:v>26.146000000000001</c:v>
                </c:pt>
                <c:pt idx="57">
                  <c:v>25.469000000000001</c:v>
                </c:pt>
                <c:pt idx="58">
                  <c:v>26.094000000000001</c:v>
                </c:pt>
                <c:pt idx="59">
                  <c:v>23.669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50E6-4CDD-A556-D9EAAA1849B5}"/>
            </c:ext>
          </c:extLst>
        </c:ser>
        <c:ser>
          <c:idx val="7"/>
          <c:order val="1"/>
          <c:tx>
            <c:strRef>
              <c:f>Calculos_M!$Z$5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Calculos_M!$A$6:$A$29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xVal>
          <c:yVal>
            <c:numRef>
              <c:f>Calculos_M!$B$6:$B$29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50E6-4CDD-A556-D9EAAA1849B5}"/>
            </c:ext>
          </c:extLst>
        </c:ser>
        <c:ser>
          <c:idx val="8"/>
          <c:order val="2"/>
          <c:tx>
            <c:strRef>
              <c:f>Calculos_M!$AA$4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Calculos_M!$C$6:$C$29</c:f>
              <c:numCache>
                <c:formatCode>0.000</c:formatCode>
                <c:ptCount val="24"/>
                <c:pt idx="0">
                  <c:v>4.8541783750000018</c:v>
                </c:pt>
                <c:pt idx="1">
                  <c:v>6.0544897386363647</c:v>
                </c:pt>
                <c:pt idx="2">
                  <c:v>7.2548011022727277</c:v>
                </c:pt>
                <c:pt idx="3">
                  <c:v>8.4551124659090906</c:v>
                </c:pt>
                <c:pt idx="4">
                  <c:v>9.6554238295454535</c:v>
                </c:pt>
                <c:pt idx="5">
                  <c:v>10.855735193181816</c:v>
                </c:pt>
                <c:pt idx="6">
                  <c:v>12.056046556818179</c:v>
                </c:pt>
                <c:pt idx="7">
                  <c:v>13.256357920454542</c:v>
                </c:pt>
                <c:pt idx="8">
                  <c:v>14.456669284090907</c:v>
                </c:pt>
                <c:pt idx="9">
                  <c:v>15.65698064772727</c:v>
                </c:pt>
                <c:pt idx="10">
                  <c:v>16.857292011363633</c:v>
                </c:pt>
                <c:pt idx="11">
                  <c:v>18.057603374999996</c:v>
                </c:pt>
                <c:pt idx="12">
                  <c:v>19.257914738636359</c:v>
                </c:pt>
                <c:pt idx="13">
                  <c:v>20.458226102272722</c:v>
                </c:pt>
                <c:pt idx="14">
                  <c:v>21.658537465909085</c:v>
                </c:pt>
                <c:pt idx="15">
                  <c:v>22.858848829545448</c:v>
                </c:pt>
                <c:pt idx="16">
                  <c:v>24.05916019318181</c:v>
                </c:pt>
                <c:pt idx="17">
                  <c:v>25.259471556818173</c:v>
                </c:pt>
                <c:pt idx="18">
                  <c:v>26.459782920454536</c:v>
                </c:pt>
                <c:pt idx="19">
                  <c:v>27.660094284090899</c:v>
                </c:pt>
                <c:pt idx="20">
                  <c:v>28.860405647727262</c:v>
                </c:pt>
                <c:pt idx="21">
                  <c:v>30.060717011363629</c:v>
                </c:pt>
                <c:pt idx="22">
                  <c:v>17.769778375000001</c:v>
                </c:pt>
                <c:pt idx="23">
                  <c:v>32.769778375000001</c:v>
                </c:pt>
              </c:numCache>
            </c:numRef>
          </c:xVal>
          <c:yVal>
            <c:numRef>
              <c:f>Calculos_M!$D$6:$D$29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50E6-4CDD-A556-D9EAAA1849B5}"/>
            </c:ext>
          </c:extLst>
        </c:ser>
        <c:ser>
          <c:idx val="9"/>
          <c:order val="3"/>
          <c:tx>
            <c:strRef>
              <c:f>Calculos_M!$AC$4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Calculos_M!$E$6:$E$29</c:f>
              <c:numCache>
                <c:formatCode>0.000</c:formatCode>
                <c:ptCount val="24"/>
                <c:pt idx="0">
                  <c:v>9.3146216249999991</c:v>
                </c:pt>
                <c:pt idx="1">
                  <c:v>10.514932988636362</c:v>
                </c:pt>
                <c:pt idx="2">
                  <c:v>11.715244352272725</c:v>
                </c:pt>
                <c:pt idx="3">
                  <c:v>12.915555715909088</c:v>
                </c:pt>
                <c:pt idx="4">
                  <c:v>14.115867079545451</c:v>
                </c:pt>
                <c:pt idx="5">
                  <c:v>15.316178443181814</c:v>
                </c:pt>
                <c:pt idx="6">
                  <c:v>16.516489806818178</c:v>
                </c:pt>
                <c:pt idx="7">
                  <c:v>17.716801170454541</c:v>
                </c:pt>
                <c:pt idx="8">
                  <c:v>18.917112534090904</c:v>
                </c:pt>
                <c:pt idx="9">
                  <c:v>20.117423897727267</c:v>
                </c:pt>
                <c:pt idx="10">
                  <c:v>21.31773526136363</c:v>
                </c:pt>
                <c:pt idx="11">
                  <c:v>22.518046624999993</c:v>
                </c:pt>
                <c:pt idx="12">
                  <c:v>23.718357988636356</c:v>
                </c:pt>
                <c:pt idx="13">
                  <c:v>24.918669352272719</c:v>
                </c:pt>
                <c:pt idx="14">
                  <c:v>26.118980715909082</c:v>
                </c:pt>
                <c:pt idx="15">
                  <c:v>27.319292079545445</c:v>
                </c:pt>
                <c:pt idx="16">
                  <c:v>28.519603443181808</c:v>
                </c:pt>
                <c:pt idx="17">
                  <c:v>29.719914806818171</c:v>
                </c:pt>
                <c:pt idx="18">
                  <c:v>30.920226170454534</c:v>
                </c:pt>
                <c:pt idx="19">
                  <c:v>32.1205375340909</c:v>
                </c:pt>
                <c:pt idx="20">
                  <c:v>33.320848897727259</c:v>
                </c:pt>
                <c:pt idx="21">
                  <c:v>34.521160261363626</c:v>
                </c:pt>
                <c:pt idx="22">
                  <c:v>22.230221624999999</c:v>
                </c:pt>
                <c:pt idx="23">
                  <c:v>37.230221624999999</c:v>
                </c:pt>
              </c:numCache>
            </c:numRef>
          </c:xVal>
          <c:yVal>
            <c:numRef>
              <c:f>Calculos_M!$F$6:$F$29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50E6-4CDD-A556-D9EAAA1849B5}"/>
            </c:ext>
          </c:extLst>
        </c:ser>
        <c:ser>
          <c:idx val="10"/>
          <c:order val="4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TABLA_M!$D$64</c:f>
              <c:numCache>
                <c:formatCode>0.000</c:formatCode>
                <c:ptCount val="1"/>
                <c:pt idx="0">
                  <c:v>23.400463104248047</c:v>
                </c:pt>
              </c:numCache>
            </c:numRef>
          </c:xVal>
          <c:yVal>
            <c:numRef>
              <c:f>TABLA_M!$E$64</c:f>
              <c:numCache>
                <c:formatCode>0.000</c:formatCode>
                <c:ptCount val="1"/>
                <c:pt idx="0">
                  <c:v>23.776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50E6-4CDD-A556-D9EAAA1849B5}"/>
            </c:ext>
          </c:extLst>
        </c:ser>
        <c:ser>
          <c:idx val="11"/>
          <c:order val="5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TABLA_M!$D$65</c:f>
            </c:numRef>
          </c:xVal>
          <c:yVal>
            <c:numRef>
              <c:f>TABLA_M!$E$65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5-50E6-4CDD-A556-D9EAAA1849B5}"/>
            </c:ext>
          </c:extLst>
        </c:ser>
        <c:ser>
          <c:idx val="0"/>
          <c:order val="6"/>
          <c:tx>
            <c:strRef>
              <c:f>TABLA_M!$AU$3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TABLA_M!$D$4:$D$63</c:f>
              <c:numCache>
                <c:formatCode>0.000</c:formatCode>
                <c:ptCount val="60"/>
                <c:pt idx="0">
                  <c:v>22.597080230712891</c:v>
                </c:pt>
                <c:pt idx="1">
                  <c:v>22.597080230712891</c:v>
                </c:pt>
                <c:pt idx="2">
                  <c:v>23.120279312133789</c:v>
                </c:pt>
                <c:pt idx="3">
                  <c:v>23.120279312133789</c:v>
                </c:pt>
                <c:pt idx="4">
                  <c:v>23.490447998046875</c:v>
                </c:pt>
                <c:pt idx="5">
                  <c:v>23.319372177124023</c:v>
                </c:pt>
                <c:pt idx="6">
                  <c:v>21.243520736694336</c:v>
                </c:pt>
                <c:pt idx="7">
                  <c:v>22.771310806274414</c:v>
                </c:pt>
                <c:pt idx="8">
                  <c:v>20.552448272705078</c:v>
                </c:pt>
                <c:pt idx="9">
                  <c:v>23.512538909912109</c:v>
                </c:pt>
                <c:pt idx="10">
                  <c:v>22.13677978515625</c:v>
                </c:pt>
                <c:pt idx="11">
                  <c:v>20.650722503662109</c:v>
                </c:pt>
                <c:pt idx="12">
                  <c:v>21.281415939331055</c:v>
                </c:pt>
                <c:pt idx="13">
                  <c:v>23.196371078491211</c:v>
                </c:pt>
                <c:pt idx="14">
                  <c:v>22.85761833190918</c:v>
                </c:pt>
                <c:pt idx="15">
                  <c:v>23.660287857055664</c:v>
                </c:pt>
                <c:pt idx="16">
                  <c:v>24.543853759765625</c:v>
                </c:pt>
                <c:pt idx="17">
                  <c:v>24.543853759765625</c:v>
                </c:pt>
                <c:pt idx="18">
                  <c:v>23.831357955932617</c:v>
                </c:pt>
                <c:pt idx="19">
                  <c:v>22.841638565063477</c:v>
                </c:pt>
                <c:pt idx="20">
                  <c:v>22.674943923950195</c:v>
                </c:pt>
                <c:pt idx="21">
                  <c:v>23.641651153564453</c:v>
                </c:pt>
                <c:pt idx="22">
                  <c:v>22.421327590942383</c:v>
                </c:pt>
                <c:pt idx="23">
                  <c:v>22.577163696289063</c:v>
                </c:pt>
                <c:pt idx="24">
                  <c:v>22.439613342285156</c:v>
                </c:pt>
                <c:pt idx="25">
                  <c:v>22.115400314331055</c:v>
                </c:pt>
                <c:pt idx="26">
                  <c:v>22.115400314331055</c:v>
                </c:pt>
                <c:pt idx="27">
                  <c:v>22.430482864379883</c:v>
                </c:pt>
                <c:pt idx="28">
                  <c:v>23.856645584106445</c:v>
                </c:pt>
                <c:pt idx="29">
                  <c:v>23.230396270751953</c:v>
                </c:pt>
                <c:pt idx="30">
                  <c:v>22.504552841186523</c:v>
                </c:pt>
                <c:pt idx="31">
                  <c:v>22.002679824829102</c:v>
                </c:pt>
                <c:pt idx="32">
                  <c:v>21.807527542114258</c:v>
                </c:pt>
                <c:pt idx="33">
                  <c:v>22.898529052734375</c:v>
                </c:pt>
                <c:pt idx="34">
                  <c:v>22.604328155517578</c:v>
                </c:pt>
                <c:pt idx="35">
                  <c:v>22.234939575195313</c:v>
                </c:pt>
                <c:pt idx="36">
                  <c:v>21.570816040039063</c:v>
                </c:pt>
                <c:pt idx="37">
                  <c:v>22.481559753417969</c:v>
                </c:pt>
                <c:pt idx="38">
                  <c:v>24.347196578979492</c:v>
                </c:pt>
                <c:pt idx="39">
                  <c:v>23.374361038208008</c:v>
                </c:pt>
                <c:pt idx="40">
                  <c:v>22.50579833984375</c:v>
                </c:pt>
                <c:pt idx="41">
                  <c:v>22.958297729492188</c:v>
                </c:pt>
                <c:pt idx="42">
                  <c:v>19.754337310791016</c:v>
                </c:pt>
                <c:pt idx="43">
                  <c:v>19.754337310791016</c:v>
                </c:pt>
                <c:pt idx="44">
                  <c:v>20.500843048095703</c:v>
                </c:pt>
                <c:pt idx="45">
                  <c:v>23.70465087890625</c:v>
                </c:pt>
                <c:pt idx="46">
                  <c:v>23.074974060058594</c:v>
                </c:pt>
                <c:pt idx="47">
                  <c:v>22.871414184570313</c:v>
                </c:pt>
                <c:pt idx="48">
                  <c:v>23.4122314453125</c:v>
                </c:pt>
                <c:pt idx="49">
                  <c:v>23.4122314453125</c:v>
                </c:pt>
                <c:pt idx="50">
                  <c:v>23.4122314453125</c:v>
                </c:pt>
                <c:pt idx="51">
                  <c:v>25.597373962402344</c:v>
                </c:pt>
                <c:pt idx="52">
                  <c:v>23.623220443725586</c:v>
                </c:pt>
                <c:pt idx="53">
                  <c:v>24.979143142700195</c:v>
                </c:pt>
                <c:pt idx="54">
                  <c:v>23.020315170288086</c:v>
                </c:pt>
                <c:pt idx="55">
                  <c:v>27.067319869995117</c:v>
                </c:pt>
                <c:pt idx="56">
                  <c:v>26.633718490600586</c:v>
                </c:pt>
                <c:pt idx="57">
                  <c:v>25.186441421508789</c:v>
                </c:pt>
                <c:pt idx="58">
                  <c:v>25.249885559082031</c:v>
                </c:pt>
                <c:pt idx="59">
                  <c:v>24.969537734985352</c:v>
                </c:pt>
              </c:numCache>
            </c:numRef>
          </c:xVal>
          <c:yVal>
            <c:numRef>
              <c:f>TABLA_M!$E$4:$E$63</c:f>
              <c:numCache>
                <c:formatCode>0.000</c:formatCode>
                <c:ptCount val="60"/>
                <c:pt idx="0">
                  <c:v>22.587</c:v>
                </c:pt>
                <c:pt idx="1">
                  <c:v>24.972000000000001</c:v>
                </c:pt>
                <c:pt idx="2">
                  <c:v>21.212</c:v>
                </c:pt>
                <c:pt idx="3">
                  <c:v>21.707000000000001</c:v>
                </c:pt>
                <c:pt idx="4">
                  <c:v>23.045000000000002</c:v>
                </c:pt>
                <c:pt idx="5">
                  <c:v>23.134</c:v>
                </c:pt>
                <c:pt idx="6">
                  <c:v>20.696000000000002</c:v>
                </c:pt>
                <c:pt idx="7">
                  <c:v>24.681000000000001</c:v>
                </c:pt>
                <c:pt idx="8">
                  <c:v>22.5</c:v>
                </c:pt>
                <c:pt idx="9">
                  <c:v>24.085999999999999</c:v>
                </c:pt>
                <c:pt idx="10">
                  <c:v>22.401</c:v>
                </c:pt>
                <c:pt idx="11">
                  <c:v>22.599</c:v>
                </c:pt>
                <c:pt idx="12">
                  <c:v>21.242999999999999</c:v>
                </c:pt>
                <c:pt idx="13">
                  <c:v>23.193999999999999</c:v>
                </c:pt>
                <c:pt idx="14">
                  <c:v>0</c:v>
                </c:pt>
                <c:pt idx="15">
                  <c:v>23.591000000000001</c:v>
                </c:pt>
                <c:pt idx="16">
                  <c:v>24.175000000000001</c:v>
                </c:pt>
                <c:pt idx="17">
                  <c:v>23.88</c:v>
                </c:pt>
                <c:pt idx="18">
                  <c:v>21.393000000000001</c:v>
                </c:pt>
                <c:pt idx="19">
                  <c:v>21.492000000000001</c:v>
                </c:pt>
                <c:pt idx="20">
                  <c:v>21.640999999999998</c:v>
                </c:pt>
                <c:pt idx="21">
                  <c:v>22.542999999999999</c:v>
                </c:pt>
                <c:pt idx="22">
                  <c:v>21.724</c:v>
                </c:pt>
                <c:pt idx="23">
                  <c:v>22.189</c:v>
                </c:pt>
                <c:pt idx="24">
                  <c:v>22.251999999999999</c:v>
                </c:pt>
                <c:pt idx="25">
                  <c:v>22.593</c:v>
                </c:pt>
                <c:pt idx="26">
                  <c:v>22.55</c:v>
                </c:pt>
                <c:pt idx="27">
                  <c:v>23.88</c:v>
                </c:pt>
                <c:pt idx="28">
                  <c:v>23.491</c:v>
                </c:pt>
                <c:pt idx="29">
                  <c:v>22.542999999999999</c:v>
                </c:pt>
                <c:pt idx="30">
                  <c:v>19.701000000000001</c:v>
                </c:pt>
                <c:pt idx="31">
                  <c:v>20.995000000000001</c:v>
                </c:pt>
                <c:pt idx="32">
                  <c:v>20</c:v>
                </c:pt>
                <c:pt idx="33">
                  <c:v>23.084</c:v>
                </c:pt>
                <c:pt idx="34">
                  <c:v>21.457999999999998</c:v>
                </c:pt>
                <c:pt idx="35">
                  <c:v>0</c:v>
                </c:pt>
                <c:pt idx="36">
                  <c:v>0</c:v>
                </c:pt>
                <c:pt idx="37">
                  <c:v>21.108000000000001</c:v>
                </c:pt>
                <c:pt idx="38">
                  <c:v>23.391999999999999</c:v>
                </c:pt>
                <c:pt idx="39">
                  <c:v>23.292999999999999</c:v>
                </c:pt>
                <c:pt idx="40">
                  <c:v>23.431999999999999</c:v>
                </c:pt>
                <c:pt idx="41">
                  <c:v>21.99</c:v>
                </c:pt>
                <c:pt idx="42">
                  <c:v>18.905000000000001</c:v>
                </c:pt>
                <c:pt idx="43">
                  <c:v>23.681000000000001</c:v>
                </c:pt>
                <c:pt idx="44">
                  <c:v>17.710999999999999</c:v>
                </c:pt>
                <c:pt idx="45">
                  <c:v>23.971</c:v>
                </c:pt>
                <c:pt idx="46">
                  <c:v>21.791</c:v>
                </c:pt>
                <c:pt idx="47">
                  <c:v>24.57</c:v>
                </c:pt>
                <c:pt idx="48">
                  <c:v>24.875</c:v>
                </c:pt>
                <c:pt idx="49">
                  <c:v>26.663</c:v>
                </c:pt>
                <c:pt idx="50">
                  <c:v>23.122</c:v>
                </c:pt>
                <c:pt idx="51">
                  <c:v>25.068000000000001</c:v>
                </c:pt>
                <c:pt idx="52">
                  <c:v>25.128</c:v>
                </c:pt>
                <c:pt idx="53">
                  <c:v>24.337</c:v>
                </c:pt>
                <c:pt idx="54">
                  <c:v>0</c:v>
                </c:pt>
                <c:pt idx="55">
                  <c:v>26.792999999999999</c:v>
                </c:pt>
                <c:pt idx="56">
                  <c:v>26.146000000000001</c:v>
                </c:pt>
                <c:pt idx="57">
                  <c:v>25.469000000000001</c:v>
                </c:pt>
                <c:pt idx="58">
                  <c:v>26.094000000000001</c:v>
                </c:pt>
                <c:pt idx="59">
                  <c:v>23.669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6-50E6-4CDD-A556-D9EAAA1849B5}"/>
            </c:ext>
          </c:extLst>
        </c:ser>
        <c:ser>
          <c:idx val="1"/>
          <c:order val="7"/>
          <c:tx>
            <c:strRef>
              <c:f>Calculos_M!$Z$5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Calculos_M!$A$6:$A$29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xVal>
          <c:yVal>
            <c:numRef>
              <c:f>Calculos_M!$B$6:$B$29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8-50E6-4CDD-A556-D9EAAA1849B5}"/>
            </c:ext>
          </c:extLst>
        </c:ser>
        <c:ser>
          <c:idx val="2"/>
          <c:order val="8"/>
          <c:tx>
            <c:strRef>
              <c:f>Calculos_M!$AA$4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Calculos_M!$C$6:$C$29</c:f>
              <c:numCache>
                <c:formatCode>0.000</c:formatCode>
                <c:ptCount val="24"/>
                <c:pt idx="0">
                  <c:v>4.8541783750000018</c:v>
                </c:pt>
                <c:pt idx="1">
                  <c:v>6.0544897386363647</c:v>
                </c:pt>
                <c:pt idx="2">
                  <c:v>7.2548011022727277</c:v>
                </c:pt>
                <c:pt idx="3">
                  <c:v>8.4551124659090906</c:v>
                </c:pt>
                <c:pt idx="4">
                  <c:v>9.6554238295454535</c:v>
                </c:pt>
                <c:pt idx="5">
                  <c:v>10.855735193181816</c:v>
                </c:pt>
                <c:pt idx="6">
                  <c:v>12.056046556818179</c:v>
                </c:pt>
                <c:pt idx="7">
                  <c:v>13.256357920454542</c:v>
                </c:pt>
                <c:pt idx="8">
                  <c:v>14.456669284090907</c:v>
                </c:pt>
                <c:pt idx="9">
                  <c:v>15.65698064772727</c:v>
                </c:pt>
                <c:pt idx="10">
                  <c:v>16.857292011363633</c:v>
                </c:pt>
                <c:pt idx="11">
                  <c:v>18.057603374999996</c:v>
                </c:pt>
                <c:pt idx="12">
                  <c:v>19.257914738636359</c:v>
                </c:pt>
                <c:pt idx="13">
                  <c:v>20.458226102272722</c:v>
                </c:pt>
                <c:pt idx="14">
                  <c:v>21.658537465909085</c:v>
                </c:pt>
                <c:pt idx="15">
                  <c:v>22.858848829545448</c:v>
                </c:pt>
                <c:pt idx="16">
                  <c:v>24.05916019318181</c:v>
                </c:pt>
                <c:pt idx="17">
                  <c:v>25.259471556818173</c:v>
                </c:pt>
                <c:pt idx="18">
                  <c:v>26.459782920454536</c:v>
                </c:pt>
                <c:pt idx="19">
                  <c:v>27.660094284090899</c:v>
                </c:pt>
                <c:pt idx="20">
                  <c:v>28.860405647727262</c:v>
                </c:pt>
                <c:pt idx="21">
                  <c:v>30.060717011363629</c:v>
                </c:pt>
                <c:pt idx="22">
                  <c:v>17.769778375000001</c:v>
                </c:pt>
                <c:pt idx="23">
                  <c:v>32.769778375000001</c:v>
                </c:pt>
              </c:numCache>
            </c:numRef>
          </c:xVal>
          <c:yVal>
            <c:numRef>
              <c:f>Calculos_M!$D$6:$D$29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A-50E6-4CDD-A556-D9EAAA1849B5}"/>
            </c:ext>
          </c:extLst>
        </c:ser>
        <c:ser>
          <c:idx val="3"/>
          <c:order val="9"/>
          <c:tx>
            <c:strRef>
              <c:f>Calculos_M!$AC$4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Calculos_M!$E$6:$E$29</c:f>
              <c:numCache>
                <c:formatCode>0.000</c:formatCode>
                <c:ptCount val="24"/>
                <c:pt idx="0">
                  <c:v>9.3146216249999991</c:v>
                </c:pt>
                <c:pt idx="1">
                  <c:v>10.514932988636362</c:v>
                </c:pt>
                <c:pt idx="2">
                  <c:v>11.715244352272725</c:v>
                </c:pt>
                <c:pt idx="3">
                  <c:v>12.915555715909088</c:v>
                </c:pt>
                <c:pt idx="4">
                  <c:v>14.115867079545451</c:v>
                </c:pt>
                <c:pt idx="5">
                  <c:v>15.316178443181814</c:v>
                </c:pt>
                <c:pt idx="6">
                  <c:v>16.516489806818178</c:v>
                </c:pt>
                <c:pt idx="7">
                  <c:v>17.716801170454541</c:v>
                </c:pt>
                <c:pt idx="8">
                  <c:v>18.917112534090904</c:v>
                </c:pt>
                <c:pt idx="9">
                  <c:v>20.117423897727267</c:v>
                </c:pt>
                <c:pt idx="10">
                  <c:v>21.31773526136363</c:v>
                </c:pt>
                <c:pt idx="11">
                  <c:v>22.518046624999993</c:v>
                </c:pt>
                <c:pt idx="12">
                  <c:v>23.718357988636356</c:v>
                </c:pt>
                <c:pt idx="13">
                  <c:v>24.918669352272719</c:v>
                </c:pt>
                <c:pt idx="14">
                  <c:v>26.118980715909082</c:v>
                </c:pt>
                <c:pt idx="15">
                  <c:v>27.319292079545445</c:v>
                </c:pt>
                <c:pt idx="16">
                  <c:v>28.519603443181808</c:v>
                </c:pt>
                <c:pt idx="17">
                  <c:v>29.719914806818171</c:v>
                </c:pt>
                <c:pt idx="18">
                  <c:v>30.920226170454534</c:v>
                </c:pt>
                <c:pt idx="19">
                  <c:v>32.1205375340909</c:v>
                </c:pt>
                <c:pt idx="20">
                  <c:v>33.320848897727259</c:v>
                </c:pt>
                <c:pt idx="21">
                  <c:v>34.521160261363626</c:v>
                </c:pt>
                <c:pt idx="22">
                  <c:v>22.230221624999999</c:v>
                </c:pt>
                <c:pt idx="23">
                  <c:v>37.230221624999999</c:v>
                </c:pt>
              </c:numCache>
            </c:numRef>
          </c:xVal>
          <c:yVal>
            <c:numRef>
              <c:f>Calculos_M!$F$6:$F$29</c:f>
              <c:numCache>
                <c:formatCode>0.000</c:formatCode>
                <c:ptCount val="24"/>
                <c:pt idx="0">
                  <c:v>7.0844000000000005</c:v>
                </c:pt>
                <c:pt idx="1">
                  <c:v>8.2847113636363634</c:v>
                </c:pt>
                <c:pt idx="2">
                  <c:v>9.4850227272727263</c:v>
                </c:pt>
                <c:pt idx="3">
                  <c:v>10.685334090909089</c:v>
                </c:pt>
                <c:pt idx="4">
                  <c:v>11.885645454545452</c:v>
                </c:pt>
                <c:pt idx="5">
                  <c:v>13.085956818181815</c:v>
                </c:pt>
                <c:pt idx="6">
                  <c:v>14.286268181818178</c:v>
                </c:pt>
                <c:pt idx="7">
                  <c:v>15.486579545454541</c:v>
                </c:pt>
                <c:pt idx="8">
                  <c:v>16.686890909090906</c:v>
                </c:pt>
                <c:pt idx="9">
                  <c:v>17.887202272727269</c:v>
                </c:pt>
                <c:pt idx="10">
                  <c:v>19.087513636363632</c:v>
                </c:pt>
                <c:pt idx="11">
                  <c:v>20.287824999999994</c:v>
                </c:pt>
                <c:pt idx="12">
                  <c:v>21.488136363636357</c:v>
                </c:pt>
                <c:pt idx="13">
                  <c:v>22.68844772727272</c:v>
                </c:pt>
                <c:pt idx="14">
                  <c:v>23.888759090909083</c:v>
                </c:pt>
                <c:pt idx="15">
                  <c:v>25.089070454545446</c:v>
                </c:pt>
                <c:pt idx="16">
                  <c:v>26.289381818181809</c:v>
                </c:pt>
                <c:pt idx="17">
                  <c:v>27.489693181818172</c:v>
                </c:pt>
                <c:pt idx="18">
                  <c:v>28.690004545454535</c:v>
                </c:pt>
                <c:pt idx="19">
                  <c:v>29.890315909090898</c:v>
                </c:pt>
                <c:pt idx="20">
                  <c:v>31.090627272727261</c:v>
                </c:pt>
                <c:pt idx="21">
                  <c:v>32.290938636363627</c:v>
                </c:pt>
                <c:pt idx="22">
                  <c:v>20</c:v>
                </c:pt>
                <c:pt idx="23">
                  <c:v>35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C-50E6-4CDD-A556-D9EAAA1849B5}"/>
            </c:ext>
          </c:extLst>
        </c:ser>
        <c:ser>
          <c:idx val="4"/>
          <c:order val="10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TABLA_M!$D$64</c:f>
              <c:numCache>
                <c:formatCode>0.000</c:formatCode>
                <c:ptCount val="1"/>
                <c:pt idx="0">
                  <c:v>23.400463104248047</c:v>
                </c:pt>
              </c:numCache>
            </c:numRef>
          </c:xVal>
          <c:yVal>
            <c:numRef>
              <c:f>TABLA_M!$E$64</c:f>
              <c:numCache>
                <c:formatCode>0.000</c:formatCode>
                <c:ptCount val="1"/>
                <c:pt idx="0">
                  <c:v>23.776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D-50E6-4CDD-A556-D9EAAA1849B5}"/>
            </c:ext>
          </c:extLst>
        </c:ser>
        <c:ser>
          <c:idx val="5"/>
          <c:order val="11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TABLA_M!$D$65</c:f>
            </c:numRef>
          </c:xVal>
          <c:yVal>
            <c:numRef>
              <c:f>TABLA_M!$E$65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E-50E6-4CDD-A556-D9EAAA184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344198744"/>
        <c:axId val="344199136"/>
      </c:bubbleChart>
      <c:valAx>
        <c:axId val="344198744"/>
        <c:scaling>
          <c:orientation val="minMax"/>
          <c:max val="3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966620269094513"/>
              <c:y val="0.945398132641407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9136"/>
        <c:crosses val="autoZero"/>
        <c:crossBetween val="midCat"/>
      </c:valAx>
      <c:valAx>
        <c:axId val="344199136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8744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COLA FINAL - PLANTA DE MOLIBDENO (%Cu)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8898041976827448"/>
          <c:y val="1.0818435977858835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11802721059337"/>
          <c:y val="0.10845534970846407"/>
          <c:w val="0.82975712710339689"/>
          <c:h val="0.73142111088584538"/>
        </c:manualLayout>
      </c:layout>
      <c:bubbleChart>
        <c:varyColors val="0"/>
        <c:ser>
          <c:idx val="6"/>
          <c:order val="0"/>
          <c:tx>
            <c:strRef>
              <c:f>TABLA_M!$E$3</c:f>
              <c:strCache>
                <c:ptCount val="1"/>
                <c:pt idx="0">
                  <c:v>H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TABLA_M!$Y$4:$Y$63</c:f>
              <c:numCache>
                <c:formatCode>0.000</c:formatCode>
                <c:ptCount val="60"/>
                <c:pt idx="0">
                  <c:v>21.793367385864258</c:v>
                </c:pt>
                <c:pt idx="1">
                  <c:v>21.793367385864258</c:v>
                </c:pt>
                <c:pt idx="2">
                  <c:v>25.253507614135742</c:v>
                </c:pt>
                <c:pt idx="3">
                  <c:v>25.253507614135742</c:v>
                </c:pt>
                <c:pt idx="4">
                  <c:v>25.209236145019531</c:v>
                </c:pt>
                <c:pt idx="5">
                  <c:v>25.286367416381836</c:v>
                </c:pt>
                <c:pt idx="6">
                  <c:v>24.104804992675781</c:v>
                </c:pt>
                <c:pt idx="7">
                  <c:v>23.548566818237305</c:v>
                </c:pt>
                <c:pt idx="8">
                  <c:v>21.278430938720703</c:v>
                </c:pt>
                <c:pt idx="9">
                  <c:v>24.443809509277344</c:v>
                </c:pt>
                <c:pt idx="10">
                  <c:v>23.779850006103516</c:v>
                </c:pt>
                <c:pt idx="11">
                  <c:v>21.322835922241211</c:v>
                </c:pt>
                <c:pt idx="12">
                  <c:v>19.861064910888672</c:v>
                </c:pt>
                <c:pt idx="13">
                  <c:v>23.91087532043457</c:v>
                </c:pt>
                <c:pt idx="14">
                  <c:v>22.782251358032227</c:v>
                </c:pt>
                <c:pt idx="15">
                  <c:v>23.487161636352539</c:v>
                </c:pt>
                <c:pt idx="16">
                  <c:v>25.519594192504883</c:v>
                </c:pt>
                <c:pt idx="17">
                  <c:v>25.519594192504883</c:v>
                </c:pt>
                <c:pt idx="18">
                  <c:v>25.068899154663086</c:v>
                </c:pt>
                <c:pt idx="19">
                  <c:v>24.310548782348633</c:v>
                </c:pt>
                <c:pt idx="20">
                  <c:v>24.298362731933594</c:v>
                </c:pt>
                <c:pt idx="21">
                  <c:v>24.033393859863281</c:v>
                </c:pt>
                <c:pt idx="22">
                  <c:v>22.300138473510742</c:v>
                </c:pt>
                <c:pt idx="23">
                  <c:v>23.689096450805664</c:v>
                </c:pt>
                <c:pt idx="24">
                  <c:v>20.800651550292969</c:v>
                </c:pt>
                <c:pt idx="25">
                  <c:v>22.796459197998047</c:v>
                </c:pt>
                <c:pt idx="26">
                  <c:v>22.796459197998047</c:v>
                </c:pt>
                <c:pt idx="27">
                  <c:v>21.517040252685547</c:v>
                </c:pt>
                <c:pt idx="28">
                  <c:v>23.994331359863281</c:v>
                </c:pt>
                <c:pt idx="29">
                  <c:v>22.875391006469727</c:v>
                </c:pt>
                <c:pt idx="30">
                  <c:v>21.951410293579102</c:v>
                </c:pt>
                <c:pt idx="31">
                  <c:v>21.885499954223633</c:v>
                </c:pt>
                <c:pt idx="32">
                  <c:v>22.472513198852539</c:v>
                </c:pt>
                <c:pt idx="33">
                  <c:v>23.350467681884766</c:v>
                </c:pt>
                <c:pt idx="34">
                  <c:v>22.97532844543457</c:v>
                </c:pt>
                <c:pt idx="35">
                  <c:v>22.950065612792969</c:v>
                </c:pt>
                <c:pt idx="36">
                  <c:v>22.950065612792969</c:v>
                </c:pt>
                <c:pt idx="37">
                  <c:v>22.364408493041992</c:v>
                </c:pt>
                <c:pt idx="38">
                  <c:v>22.362728118896484</c:v>
                </c:pt>
                <c:pt idx="39">
                  <c:v>23.310703277587891</c:v>
                </c:pt>
                <c:pt idx="40">
                  <c:v>22.593915939331055</c:v>
                </c:pt>
                <c:pt idx="41">
                  <c:v>22.245033264160156</c:v>
                </c:pt>
                <c:pt idx="42">
                  <c:v>21.316932678222656</c:v>
                </c:pt>
                <c:pt idx="43">
                  <c:v>21.316932678222656</c:v>
                </c:pt>
                <c:pt idx="44">
                  <c:v>21.468421936035156</c:v>
                </c:pt>
                <c:pt idx="45">
                  <c:v>25.500570297241211</c:v>
                </c:pt>
                <c:pt idx="46">
                  <c:v>24.990884780883789</c:v>
                </c:pt>
                <c:pt idx="47">
                  <c:v>25.59405517578125</c:v>
                </c:pt>
                <c:pt idx="48">
                  <c:v>27.13728141784668</c:v>
                </c:pt>
                <c:pt idx="49">
                  <c:v>26.986896514892578</c:v>
                </c:pt>
                <c:pt idx="50">
                  <c:v>25.830345153808594</c:v>
                </c:pt>
                <c:pt idx="51">
                  <c:v>25.62885856628418</c:v>
                </c:pt>
                <c:pt idx="52">
                  <c:v>25.941305160522461</c:v>
                </c:pt>
                <c:pt idx="53">
                  <c:v>25.204212188720703</c:v>
                </c:pt>
                <c:pt idx="54">
                  <c:v>24.093988418579102</c:v>
                </c:pt>
                <c:pt idx="55">
                  <c:v>27.795993804931641</c:v>
                </c:pt>
                <c:pt idx="56">
                  <c:v>26.973537445068359</c:v>
                </c:pt>
                <c:pt idx="57">
                  <c:v>26.553373336791992</c:v>
                </c:pt>
                <c:pt idx="58">
                  <c:v>27.450481414794922</c:v>
                </c:pt>
                <c:pt idx="59">
                  <c:v>26.031570434570313</c:v>
                </c:pt>
              </c:numCache>
            </c:numRef>
          </c:xVal>
          <c:yVal>
            <c:numRef>
              <c:f>TABLA_M!$Z$4:$Z$63</c:f>
              <c:numCache>
                <c:formatCode>0.000</c:formatCode>
                <c:ptCount val="60"/>
                <c:pt idx="0">
                  <c:v>22.686</c:v>
                </c:pt>
                <c:pt idx="1">
                  <c:v>24.474</c:v>
                </c:pt>
                <c:pt idx="2">
                  <c:v>23.491</c:v>
                </c:pt>
                <c:pt idx="3">
                  <c:v>21.212</c:v>
                </c:pt>
                <c:pt idx="4">
                  <c:v>23.145</c:v>
                </c:pt>
                <c:pt idx="5">
                  <c:v>22.411999999999999</c:v>
                </c:pt>
                <c:pt idx="6">
                  <c:v>23.283000000000001</c:v>
                </c:pt>
                <c:pt idx="7">
                  <c:v>20.567</c:v>
                </c:pt>
                <c:pt idx="8">
                  <c:v>21.212</c:v>
                </c:pt>
                <c:pt idx="9">
                  <c:v>25.276</c:v>
                </c:pt>
                <c:pt idx="10">
                  <c:v>23.591000000000001</c:v>
                </c:pt>
                <c:pt idx="11">
                  <c:v>23.491</c:v>
                </c:pt>
                <c:pt idx="12">
                  <c:v>22.138999999999999</c:v>
                </c:pt>
                <c:pt idx="13">
                  <c:v>23.69</c:v>
                </c:pt>
                <c:pt idx="14">
                  <c:v>0</c:v>
                </c:pt>
                <c:pt idx="15">
                  <c:v>25.474</c:v>
                </c:pt>
                <c:pt idx="16">
                  <c:v>23.376999999999999</c:v>
                </c:pt>
                <c:pt idx="17">
                  <c:v>22.786000000000001</c:v>
                </c:pt>
                <c:pt idx="18">
                  <c:v>22.486999999999998</c:v>
                </c:pt>
                <c:pt idx="19">
                  <c:v>22.786000000000001</c:v>
                </c:pt>
                <c:pt idx="20">
                  <c:v>22.885000000000002</c:v>
                </c:pt>
                <c:pt idx="21">
                  <c:v>24.132000000000001</c:v>
                </c:pt>
                <c:pt idx="22">
                  <c:v>22.841000000000001</c:v>
                </c:pt>
                <c:pt idx="23">
                  <c:v>22.885000000000002</c:v>
                </c:pt>
                <c:pt idx="24">
                  <c:v>23.391999999999999</c:v>
                </c:pt>
                <c:pt idx="25">
                  <c:v>23.785</c:v>
                </c:pt>
                <c:pt idx="26">
                  <c:v>23.541</c:v>
                </c:pt>
                <c:pt idx="27">
                  <c:v>22.288</c:v>
                </c:pt>
                <c:pt idx="28">
                  <c:v>23.565999999999999</c:v>
                </c:pt>
                <c:pt idx="29">
                  <c:v>22.196000000000002</c:v>
                </c:pt>
                <c:pt idx="30">
                  <c:v>20.398</c:v>
                </c:pt>
                <c:pt idx="31">
                  <c:v>21.393000000000001</c:v>
                </c:pt>
                <c:pt idx="32">
                  <c:v>22.288</c:v>
                </c:pt>
                <c:pt idx="33">
                  <c:v>24.675999999999998</c:v>
                </c:pt>
                <c:pt idx="34">
                  <c:v>21.358000000000001</c:v>
                </c:pt>
                <c:pt idx="35">
                  <c:v>0</c:v>
                </c:pt>
                <c:pt idx="36">
                  <c:v>0</c:v>
                </c:pt>
                <c:pt idx="37">
                  <c:v>22.564</c:v>
                </c:pt>
                <c:pt idx="38">
                  <c:v>23.491</c:v>
                </c:pt>
                <c:pt idx="39">
                  <c:v>19.402999999999999</c:v>
                </c:pt>
                <c:pt idx="40">
                  <c:v>23.382999999999999</c:v>
                </c:pt>
                <c:pt idx="41">
                  <c:v>22.786000000000001</c:v>
                </c:pt>
                <c:pt idx="42">
                  <c:v>21.640999999999998</c:v>
                </c:pt>
                <c:pt idx="43">
                  <c:v>25.173999999999999</c:v>
                </c:pt>
                <c:pt idx="44">
                  <c:v>22.138999999999999</c:v>
                </c:pt>
                <c:pt idx="45">
                  <c:v>26.068999999999999</c:v>
                </c:pt>
                <c:pt idx="46">
                  <c:v>23.431999999999999</c:v>
                </c:pt>
                <c:pt idx="47">
                  <c:v>25.37</c:v>
                </c:pt>
                <c:pt idx="48">
                  <c:v>26.068999999999999</c:v>
                </c:pt>
                <c:pt idx="49">
                  <c:v>26.465</c:v>
                </c:pt>
                <c:pt idx="50">
                  <c:v>23.571999999999999</c:v>
                </c:pt>
                <c:pt idx="51">
                  <c:v>25.97</c:v>
                </c:pt>
                <c:pt idx="52">
                  <c:v>25.227</c:v>
                </c:pt>
                <c:pt idx="53">
                  <c:v>26.167000000000002</c:v>
                </c:pt>
                <c:pt idx="54">
                  <c:v>0</c:v>
                </c:pt>
                <c:pt idx="55">
                  <c:v>27.766999999999999</c:v>
                </c:pt>
                <c:pt idx="56">
                  <c:v>26.471</c:v>
                </c:pt>
                <c:pt idx="57">
                  <c:v>26.268000000000001</c:v>
                </c:pt>
                <c:pt idx="58">
                  <c:v>25.547000000000001</c:v>
                </c:pt>
                <c:pt idx="59">
                  <c:v>25.821000000000002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3AF1-41D4-9A5B-D893BB248332}"/>
            </c:ext>
          </c:extLst>
        </c:ser>
        <c:ser>
          <c:idx val="7"/>
          <c:order val="1"/>
          <c:tx>
            <c:strRef>
              <c:f>Calculos_M!$Z$5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Calculos_M!$M$6:$M$29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xVal>
          <c:yVal>
            <c:numRef>
              <c:f>Calculos_M!$N$6:$N$29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1-3AF1-41D4-9A5B-D893BB248332}"/>
            </c:ext>
          </c:extLst>
        </c:ser>
        <c:ser>
          <c:idx val="8"/>
          <c:order val="2"/>
          <c:tx>
            <c:strRef>
              <c:f>Calculos_M!$AA$4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Calculos_M!$O$6:$O$29</c:f>
              <c:numCache>
                <c:formatCode>0.000</c:formatCode>
                <c:ptCount val="24"/>
                <c:pt idx="0">
                  <c:v>10.575510852272727</c:v>
                </c:pt>
                <c:pt idx="1">
                  <c:v>11.497794943181818</c:v>
                </c:pt>
                <c:pt idx="2">
                  <c:v>12.420079034090909</c:v>
                </c:pt>
                <c:pt idx="3">
                  <c:v>13.342363125</c:v>
                </c:pt>
                <c:pt idx="4">
                  <c:v>14.264647215909092</c:v>
                </c:pt>
                <c:pt idx="5">
                  <c:v>15.186931306818183</c:v>
                </c:pt>
                <c:pt idx="6">
                  <c:v>16.109215397727276</c:v>
                </c:pt>
                <c:pt idx="7">
                  <c:v>17.031499488636367</c:v>
                </c:pt>
                <c:pt idx="8">
                  <c:v>17.953783579545458</c:v>
                </c:pt>
                <c:pt idx="9">
                  <c:v>18.87606767045455</c:v>
                </c:pt>
                <c:pt idx="10">
                  <c:v>19.798351761363641</c:v>
                </c:pt>
                <c:pt idx="11">
                  <c:v>20.720635852272732</c:v>
                </c:pt>
                <c:pt idx="12">
                  <c:v>21.642919943181823</c:v>
                </c:pt>
                <c:pt idx="13">
                  <c:v>22.565204034090915</c:v>
                </c:pt>
                <c:pt idx="14">
                  <c:v>23.487488125000006</c:v>
                </c:pt>
                <c:pt idx="15">
                  <c:v>24.409772215909097</c:v>
                </c:pt>
                <c:pt idx="16">
                  <c:v>25.332056306818188</c:v>
                </c:pt>
                <c:pt idx="17">
                  <c:v>26.25434039772728</c:v>
                </c:pt>
                <c:pt idx="18">
                  <c:v>27.176624488636371</c:v>
                </c:pt>
                <c:pt idx="19">
                  <c:v>28.098908579545462</c:v>
                </c:pt>
                <c:pt idx="20">
                  <c:v>29.021192670454553</c:v>
                </c:pt>
                <c:pt idx="21">
                  <c:v>29.943476761363645</c:v>
                </c:pt>
                <c:pt idx="22">
                  <c:v>30.865760852272736</c:v>
                </c:pt>
                <c:pt idx="23">
                  <c:v>31.788044943181827</c:v>
                </c:pt>
              </c:numCache>
            </c:numRef>
          </c:xVal>
          <c:yVal>
            <c:numRef>
              <c:f>Calculos_M!$P$6:$P$29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3AF1-41D4-9A5B-D893BB248332}"/>
            </c:ext>
          </c:extLst>
        </c:ser>
        <c:ser>
          <c:idx val="9"/>
          <c:order val="3"/>
          <c:tx>
            <c:strRef>
              <c:f>Calculos_M!$AC$4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xVal>
            <c:numRef>
              <c:f>Calculos_M!$Q$6:$Q$29</c:f>
              <c:numCache>
                <c:formatCode>0.000</c:formatCode>
                <c:ptCount val="24"/>
                <c:pt idx="0">
                  <c:v>12.708089147727273</c:v>
                </c:pt>
                <c:pt idx="1">
                  <c:v>13.630373238636365</c:v>
                </c:pt>
                <c:pt idx="2">
                  <c:v>14.552657329545456</c:v>
                </c:pt>
                <c:pt idx="3">
                  <c:v>15.474941420454547</c:v>
                </c:pt>
                <c:pt idx="4">
                  <c:v>16.397225511363636</c:v>
                </c:pt>
                <c:pt idx="5">
                  <c:v>17.319509602272728</c:v>
                </c:pt>
                <c:pt idx="6">
                  <c:v>18.241793693181819</c:v>
                </c:pt>
                <c:pt idx="7">
                  <c:v>19.16407778409091</c:v>
                </c:pt>
                <c:pt idx="8">
                  <c:v>20.086361875000001</c:v>
                </c:pt>
                <c:pt idx="9">
                  <c:v>21.008645965909093</c:v>
                </c:pt>
                <c:pt idx="10">
                  <c:v>21.930930056818184</c:v>
                </c:pt>
                <c:pt idx="11">
                  <c:v>22.853214147727275</c:v>
                </c:pt>
                <c:pt idx="12">
                  <c:v>23.775498238636366</c:v>
                </c:pt>
                <c:pt idx="13">
                  <c:v>24.697782329545458</c:v>
                </c:pt>
                <c:pt idx="14">
                  <c:v>25.620066420454549</c:v>
                </c:pt>
                <c:pt idx="15">
                  <c:v>26.54235051136364</c:v>
                </c:pt>
                <c:pt idx="16">
                  <c:v>27.464634602272731</c:v>
                </c:pt>
                <c:pt idx="17">
                  <c:v>28.386918693181823</c:v>
                </c:pt>
                <c:pt idx="18">
                  <c:v>29.309202784090914</c:v>
                </c:pt>
                <c:pt idx="19">
                  <c:v>30.231486875000005</c:v>
                </c:pt>
                <c:pt idx="20">
                  <c:v>31.153770965909096</c:v>
                </c:pt>
                <c:pt idx="21">
                  <c:v>32.076055056818191</c:v>
                </c:pt>
                <c:pt idx="22">
                  <c:v>32.998339147727279</c:v>
                </c:pt>
                <c:pt idx="23">
                  <c:v>33.920623238636374</c:v>
                </c:pt>
              </c:numCache>
            </c:numRef>
          </c:xVal>
          <c:yVal>
            <c:numRef>
              <c:f>Calculos_M!$R$6:$R$29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3-3AF1-41D4-9A5B-D893BB248332}"/>
            </c:ext>
          </c:extLst>
        </c:ser>
        <c:ser>
          <c:idx val="10"/>
          <c:order val="4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TABLA_M!$Y$64</c:f>
              <c:numCache>
                <c:formatCode>0.000</c:formatCode>
                <c:ptCount val="1"/>
                <c:pt idx="0">
                  <c:v>24.849987030029297</c:v>
                </c:pt>
              </c:numCache>
            </c:numRef>
          </c:xVal>
          <c:yVal>
            <c:numRef>
              <c:f>TABLA_M!$Z$64</c:f>
              <c:numCache>
                <c:formatCode>0.000</c:formatCode>
                <c:ptCount val="1"/>
                <c:pt idx="0">
                  <c:v>25.271000000000001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3AF1-41D4-9A5B-D893BB248332}"/>
            </c:ext>
          </c:extLst>
        </c:ser>
        <c:ser>
          <c:idx val="11"/>
          <c:order val="5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TABLA_M!$Y$65</c:f>
            </c:numRef>
          </c:xVal>
          <c:yVal>
            <c:numRef>
              <c:f>TABLA_M!$Z$65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5-3AF1-41D4-9A5B-D893BB248332}"/>
            </c:ext>
          </c:extLst>
        </c:ser>
        <c:ser>
          <c:idx val="0"/>
          <c:order val="6"/>
          <c:tx>
            <c:strRef>
              <c:f>TABLA_M!$AU$3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TABLA_M!$Y$4:$Y$63</c:f>
              <c:numCache>
                <c:formatCode>0.000</c:formatCode>
                <c:ptCount val="60"/>
                <c:pt idx="0">
                  <c:v>21.793367385864258</c:v>
                </c:pt>
                <c:pt idx="1">
                  <c:v>21.793367385864258</c:v>
                </c:pt>
                <c:pt idx="2">
                  <c:v>25.253507614135742</c:v>
                </c:pt>
                <c:pt idx="3">
                  <c:v>25.253507614135742</c:v>
                </c:pt>
                <c:pt idx="4">
                  <c:v>25.209236145019531</c:v>
                </c:pt>
                <c:pt idx="5">
                  <c:v>25.286367416381836</c:v>
                </c:pt>
                <c:pt idx="6">
                  <c:v>24.104804992675781</c:v>
                </c:pt>
                <c:pt idx="7">
                  <c:v>23.548566818237305</c:v>
                </c:pt>
                <c:pt idx="8">
                  <c:v>21.278430938720703</c:v>
                </c:pt>
                <c:pt idx="9">
                  <c:v>24.443809509277344</c:v>
                </c:pt>
                <c:pt idx="10">
                  <c:v>23.779850006103516</c:v>
                </c:pt>
                <c:pt idx="11">
                  <c:v>21.322835922241211</c:v>
                </c:pt>
                <c:pt idx="12">
                  <c:v>19.861064910888672</c:v>
                </c:pt>
                <c:pt idx="13">
                  <c:v>23.91087532043457</c:v>
                </c:pt>
                <c:pt idx="14">
                  <c:v>22.782251358032227</c:v>
                </c:pt>
                <c:pt idx="15">
                  <c:v>23.487161636352539</c:v>
                </c:pt>
                <c:pt idx="16">
                  <c:v>25.519594192504883</c:v>
                </c:pt>
                <c:pt idx="17">
                  <c:v>25.519594192504883</c:v>
                </c:pt>
                <c:pt idx="18">
                  <c:v>25.068899154663086</c:v>
                </c:pt>
                <c:pt idx="19">
                  <c:v>24.310548782348633</c:v>
                </c:pt>
                <c:pt idx="20">
                  <c:v>24.298362731933594</c:v>
                </c:pt>
                <c:pt idx="21">
                  <c:v>24.033393859863281</c:v>
                </c:pt>
                <c:pt idx="22">
                  <c:v>22.300138473510742</c:v>
                </c:pt>
                <c:pt idx="23">
                  <c:v>23.689096450805664</c:v>
                </c:pt>
                <c:pt idx="24">
                  <c:v>20.800651550292969</c:v>
                </c:pt>
                <c:pt idx="25">
                  <c:v>22.796459197998047</c:v>
                </c:pt>
                <c:pt idx="26">
                  <c:v>22.796459197998047</c:v>
                </c:pt>
                <c:pt idx="27">
                  <c:v>21.517040252685547</c:v>
                </c:pt>
                <c:pt idx="28">
                  <c:v>23.994331359863281</c:v>
                </c:pt>
                <c:pt idx="29">
                  <c:v>22.875391006469727</c:v>
                </c:pt>
                <c:pt idx="30">
                  <c:v>21.951410293579102</c:v>
                </c:pt>
                <c:pt idx="31">
                  <c:v>21.885499954223633</c:v>
                </c:pt>
                <c:pt idx="32">
                  <c:v>22.472513198852539</c:v>
                </c:pt>
                <c:pt idx="33">
                  <c:v>23.350467681884766</c:v>
                </c:pt>
                <c:pt idx="34">
                  <c:v>22.97532844543457</c:v>
                </c:pt>
                <c:pt idx="35">
                  <c:v>22.950065612792969</c:v>
                </c:pt>
                <c:pt idx="36">
                  <c:v>22.950065612792969</c:v>
                </c:pt>
                <c:pt idx="37">
                  <c:v>22.364408493041992</c:v>
                </c:pt>
                <c:pt idx="38">
                  <c:v>22.362728118896484</c:v>
                </c:pt>
                <c:pt idx="39">
                  <c:v>23.310703277587891</c:v>
                </c:pt>
                <c:pt idx="40">
                  <c:v>22.593915939331055</c:v>
                </c:pt>
                <c:pt idx="41">
                  <c:v>22.245033264160156</c:v>
                </c:pt>
                <c:pt idx="42">
                  <c:v>21.316932678222656</c:v>
                </c:pt>
                <c:pt idx="43">
                  <c:v>21.316932678222656</c:v>
                </c:pt>
                <c:pt idx="44">
                  <c:v>21.468421936035156</c:v>
                </c:pt>
                <c:pt idx="45">
                  <c:v>25.500570297241211</c:v>
                </c:pt>
                <c:pt idx="46">
                  <c:v>24.990884780883789</c:v>
                </c:pt>
                <c:pt idx="47">
                  <c:v>25.59405517578125</c:v>
                </c:pt>
                <c:pt idx="48">
                  <c:v>27.13728141784668</c:v>
                </c:pt>
                <c:pt idx="49">
                  <c:v>26.986896514892578</c:v>
                </c:pt>
                <c:pt idx="50">
                  <c:v>25.830345153808594</c:v>
                </c:pt>
                <c:pt idx="51">
                  <c:v>25.62885856628418</c:v>
                </c:pt>
                <c:pt idx="52">
                  <c:v>25.941305160522461</c:v>
                </c:pt>
                <c:pt idx="53">
                  <c:v>25.204212188720703</c:v>
                </c:pt>
                <c:pt idx="54">
                  <c:v>24.093988418579102</c:v>
                </c:pt>
                <c:pt idx="55">
                  <c:v>27.795993804931641</c:v>
                </c:pt>
                <c:pt idx="56">
                  <c:v>26.973537445068359</c:v>
                </c:pt>
                <c:pt idx="57">
                  <c:v>26.553373336791992</c:v>
                </c:pt>
                <c:pt idx="58">
                  <c:v>27.450481414794922</c:v>
                </c:pt>
                <c:pt idx="59">
                  <c:v>26.031570434570313</c:v>
                </c:pt>
              </c:numCache>
            </c:numRef>
          </c:xVal>
          <c:yVal>
            <c:numRef>
              <c:f>TABLA_M!$Z$4:$Z$63</c:f>
              <c:numCache>
                <c:formatCode>0.000</c:formatCode>
                <c:ptCount val="60"/>
                <c:pt idx="0">
                  <c:v>22.686</c:v>
                </c:pt>
                <c:pt idx="1">
                  <c:v>24.474</c:v>
                </c:pt>
                <c:pt idx="2">
                  <c:v>23.491</c:v>
                </c:pt>
                <c:pt idx="3">
                  <c:v>21.212</c:v>
                </c:pt>
                <c:pt idx="4">
                  <c:v>23.145</c:v>
                </c:pt>
                <c:pt idx="5">
                  <c:v>22.411999999999999</c:v>
                </c:pt>
                <c:pt idx="6">
                  <c:v>23.283000000000001</c:v>
                </c:pt>
                <c:pt idx="7">
                  <c:v>20.567</c:v>
                </c:pt>
                <c:pt idx="8">
                  <c:v>21.212</c:v>
                </c:pt>
                <c:pt idx="9">
                  <c:v>25.276</c:v>
                </c:pt>
                <c:pt idx="10">
                  <c:v>23.591000000000001</c:v>
                </c:pt>
                <c:pt idx="11">
                  <c:v>23.491</c:v>
                </c:pt>
                <c:pt idx="12">
                  <c:v>22.138999999999999</c:v>
                </c:pt>
                <c:pt idx="13">
                  <c:v>23.69</c:v>
                </c:pt>
                <c:pt idx="14">
                  <c:v>0</c:v>
                </c:pt>
                <c:pt idx="15">
                  <c:v>25.474</c:v>
                </c:pt>
                <c:pt idx="16">
                  <c:v>23.376999999999999</c:v>
                </c:pt>
                <c:pt idx="17">
                  <c:v>22.786000000000001</c:v>
                </c:pt>
                <c:pt idx="18">
                  <c:v>22.486999999999998</c:v>
                </c:pt>
                <c:pt idx="19">
                  <c:v>22.786000000000001</c:v>
                </c:pt>
                <c:pt idx="20">
                  <c:v>22.885000000000002</c:v>
                </c:pt>
                <c:pt idx="21">
                  <c:v>24.132000000000001</c:v>
                </c:pt>
                <c:pt idx="22">
                  <c:v>22.841000000000001</c:v>
                </c:pt>
                <c:pt idx="23">
                  <c:v>22.885000000000002</c:v>
                </c:pt>
                <c:pt idx="24">
                  <c:v>23.391999999999999</c:v>
                </c:pt>
                <c:pt idx="25">
                  <c:v>23.785</c:v>
                </c:pt>
                <c:pt idx="26">
                  <c:v>23.541</c:v>
                </c:pt>
                <c:pt idx="27">
                  <c:v>22.288</c:v>
                </c:pt>
                <c:pt idx="28">
                  <c:v>23.565999999999999</c:v>
                </c:pt>
                <c:pt idx="29">
                  <c:v>22.196000000000002</c:v>
                </c:pt>
                <c:pt idx="30">
                  <c:v>20.398</c:v>
                </c:pt>
                <c:pt idx="31">
                  <c:v>21.393000000000001</c:v>
                </c:pt>
                <c:pt idx="32">
                  <c:v>22.288</c:v>
                </c:pt>
                <c:pt idx="33">
                  <c:v>24.675999999999998</c:v>
                </c:pt>
                <c:pt idx="34">
                  <c:v>21.358000000000001</c:v>
                </c:pt>
                <c:pt idx="35">
                  <c:v>0</c:v>
                </c:pt>
                <c:pt idx="36">
                  <c:v>0</c:v>
                </c:pt>
                <c:pt idx="37">
                  <c:v>22.564</c:v>
                </c:pt>
                <c:pt idx="38">
                  <c:v>23.491</c:v>
                </c:pt>
                <c:pt idx="39">
                  <c:v>19.402999999999999</c:v>
                </c:pt>
                <c:pt idx="40">
                  <c:v>23.382999999999999</c:v>
                </c:pt>
                <c:pt idx="41">
                  <c:v>22.786000000000001</c:v>
                </c:pt>
                <c:pt idx="42">
                  <c:v>21.640999999999998</c:v>
                </c:pt>
                <c:pt idx="43">
                  <c:v>25.173999999999999</c:v>
                </c:pt>
                <c:pt idx="44">
                  <c:v>22.138999999999999</c:v>
                </c:pt>
                <c:pt idx="45">
                  <c:v>26.068999999999999</c:v>
                </c:pt>
                <c:pt idx="46">
                  <c:v>23.431999999999999</c:v>
                </c:pt>
                <c:pt idx="47">
                  <c:v>25.37</c:v>
                </c:pt>
                <c:pt idx="48">
                  <c:v>26.068999999999999</c:v>
                </c:pt>
                <c:pt idx="49">
                  <c:v>26.465</c:v>
                </c:pt>
                <c:pt idx="50">
                  <c:v>23.571999999999999</c:v>
                </c:pt>
                <c:pt idx="51">
                  <c:v>25.97</c:v>
                </c:pt>
                <c:pt idx="52">
                  <c:v>25.227</c:v>
                </c:pt>
                <c:pt idx="53">
                  <c:v>26.167000000000002</c:v>
                </c:pt>
                <c:pt idx="54">
                  <c:v>0</c:v>
                </c:pt>
                <c:pt idx="55">
                  <c:v>27.766999999999999</c:v>
                </c:pt>
                <c:pt idx="56">
                  <c:v>26.471</c:v>
                </c:pt>
                <c:pt idx="57">
                  <c:v>26.268000000000001</c:v>
                </c:pt>
                <c:pt idx="58">
                  <c:v>25.547000000000001</c:v>
                </c:pt>
                <c:pt idx="59">
                  <c:v>25.821000000000002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6-3AF1-41D4-9A5B-D893BB248332}"/>
            </c:ext>
          </c:extLst>
        </c:ser>
        <c:ser>
          <c:idx val="1"/>
          <c:order val="7"/>
          <c:tx>
            <c:strRef>
              <c:f>Calculos_M!$Z$5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Calculos_M!$M$6:$M$29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xVal>
          <c:yVal>
            <c:numRef>
              <c:f>Calculos_M!$N$6:$N$29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8-3AF1-41D4-9A5B-D893BB248332}"/>
            </c:ext>
          </c:extLst>
        </c:ser>
        <c:ser>
          <c:idx val="2"/>
          <c:order val="8"/>
          <c:tx>
            <c:strRef>
              <c:f>Calculos_M!$AA$4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Calculos_M!$O$6:$O$29</c:f>
              <c:numCache>
                <c:formatCode>0.000</c:formatCode>
                <c:ptCount val="24"/>
                <c:pt idx="0">
                  <c:v>10.575510852272727</c:v>
                </c:pt>
                <c:pt idx="1">
                  <c:v>11.497794943181818</c:v>
                </c:pt>
                <c:pt idx="2">
                  <c:v>12.420079034090909</c:v>
                </c:pt>
                <c:pt idx="3">
                  <c:v>13.342363125</c:v>
                </c:pt>
                <c:pt idx="4">
                  <c:v>14.264647215909092</c:v>
                </c:pt>
                <c:pt idx="5">
                  <c:v>15.186931306818183</c:v>
                </c:pt>
                <c:pt idx="6">
                  <c:v>16.109215397727276</c:v>
                </c:pt>
                <c:pt idx="7">
                  <c:v>17.031499488636367</c:v>
                </c:pt>
                <c:pt idx="8">
                  <c:v>17.953783579545458</c:v>
                </c:pt>
                <c:pt idx="9">
                  <c:v>18.87606767045455</c:v>
                </c:pt>
                <c:pt idx="10">
                  <c:v>19.798351761363641</c:v>
                </c:pt>
                <c:pt idx="11">
                  <c:v>20.720635852272732</c:v>
                </c:pt>
                <c:pt idx="12">
                  <c:v>21.642919943181823</c:v>
                </c:pt>
                <c:pt idx="13">
                  <c:v>22.565204034090915</c:v>
                </c:pt>
                <c:pt idx="14">
                  <c:v>23.487488125000006</c:v>
                </c:pt>
                <c:pt idx="15">
                  <c:v>24.409772215909097</c:v>
                </c:pt>
                <c:pt idx="16">
                  <c:v>25.332056306818188</c:v>
                </c:pt>
                <c:pt idx="17">
                  <c:v>26.25434039772728</c:v>
                </c:pt>
                <c:pt idx="18">
                  <c:v>27.176624488636371</c:v>
                </c:pt>
                <c:pt idx="19">
                  <c:v>28.098908579545462</c:v>
                </c:pt>
                <c:pt idx="20">
                  <c:v>29.021192670454553</c:v>
                </c:pt>
                <c:pt idx="21">
                  <c:v>29.943476761363645</c:v>
                </c:pt>
                <c:pt idx="22">
                  <c:v>30.865760852272736</c:v>
                </c:pt>
                <c:pt idx="23">
                  <c:v>31.788044943181827</c:v>
                </c:pt>
              </c:numCache>
            </c:numRef>
          </c:xVal>
          <c:yVal>
            <c:numRef>
              <c:f>Calculos_M!$P$6:$P$29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A-3AF1-41D4-9A5B-D893BB248332}"/>
            </c:ext>
          </c:extLst>
        </c:ser>
        <c:ser>
          <c:idx val="3"/>
          <c:order val="9"/>
          <c:tx>
            <c:strRef>
              <c:f>Calculos_M!$AC$4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Calculos_M!$Q$6:$Q$29</c:f>
              <c:numCache>
                <c:formatCode>0.000</c:formatCode>
                <c:ptCount val="24"/>
                <c:pt idx="0">
                  <c:v>12.708089147727273</c:v>
                </c:pt>
                <c:pt idx="1">
                  <c:v>13.630373238636365</c:v>
                </c:pt>
                <c:pt idx="2">
                  <c:v>14.552657329545456</c:v>
                </c:pt>
                <c:pt idx="3">
                  <c:v>15.474941420454547</c:v>
                </c:pt>
                <c:pt idx="4">
                  <c:v>16.397225511363636</c:v>
                </c:pt>
                <c:pt idx="5">
                  <c:v>17.319509602272728</c:v>
                </c:pt>
                <c:pt idx="6">
                  <c:v>18.241793693181819</c:v>
                </c:pt>
                <c:pt idx="7">
                  <c:v>19.16407778409091</c:v>
                </c:pt>
                <c:pt idx="8">
                  <c:v>20.086361875000001</c:v>
                </c:pt>
                <c:pt idx="9">
                  <c:v>21.008645965909093</c:v>
                </c:pt>
                <c:pt idx="10">
                  <c:v>21.930930056818184</c:v>
                </c:pt>
                <c:pt idx="11">
                  <c:v>22.853214147727275</c:v>
                </c:pt>
                <c:pt idx="12">
                  <c:v>23.775498238636366</c:v>
                </c:pt>
                <c:pt idx="13">
                  <c:v>24.697782329545458</c:v>
                </c:pt>
                <c:pt idx="14">
                  <c:v>25.620066420454549</c:v>
                </c:pt>
                <c:pt idx="15">
                  <c:v>26.54235051136364</c:v>
                </c:pt>
                <c:pt idx="16">
                  <c:v>27.464634602272731</c:v>
                </c:pt>
                <c:pt idx="17">
                  <c:v>28.386918693181823</c:v>
                </c:pt>
                <c:pt idx="18">
                  <c:v>29.309202784090914</c:v>
                </c:pt>
                <c:pt idx="19">
                  <c:v>30.231486875000005</c:v>
                </c:pt>
                <c:pt idx="20">
                  <c:v>31.153770965909096</c:v>
                </c:pt>
                <c:pt idx="21">
                  <c:v>32.076055056818191</c:v>
                </c:pt>
                <c:pt idx="22">
                  <c:v>32.998339147727279</c:v>
                </c:pt>
                <c:pt idx="23">
                  <c:v>33.920623238636374</c:v>
                </c:pt>
              </c:numCache>
            </c:numRef>
          </c:xVal>
          <c:yVal>
            <c:numRef>
              <c:f>Calculos_M!$R$6:$R$29</c:f>
              <c:numCache>
                <c:formatCode>0.000</c:formatCode>
                <c:ptCount val="24"/>
                <c:pt idx="0">
                  <c:v>11.6418</c:v>
                </c:pt>
                <c:pt idx="1">
                  <c:v>12.564084090909091</c:v>
                </c:pt>
                <c:pt idx="2">
                  <c:v>13.486368181818182</c:v>
                </c:pt>
                <c:pt idx="3">
                  <c:v>14.408652272727274</c:v>
                </c:pt>
                <c:pt idx="4">
                  <c:v>15.330936363636365</c:v>
                </c:pt>
                <c:pt idx="5">
                  <c:v>16.253220454545456</c:v>
                </c:pt>
                <c:pt idx="6">
                  <c:v>17.175504545454547</c:v>
                </c:pt>
                <c:pt idx="7">
                  <c:v>18.097788636363639</c:v>
                </c:pt>
                <c:pt idx="8">
                  <c:v>19.02007272727273</c:v>
                </c:pt>
                <c:pt idx="9">
                  <c:v>19.942356818181821</c:v>
                </c:pt>
                <c:pt idx="10">
                  <c:v>20.864640909090912</c:v>
                </c:pt>
                <c:pt idx="11">
                  <c:v>21.786925000000004</c:v>
                </c:pt>
                <c:pt idx="12">
                  <c:v>22.709209090909095</c:v>
                </c:pt>
                <c:pt idx="13">
                  <c:v>23.631493181818186</c:v>
                </c:pt>
                <c:pt idx="14">
                  <c:v>24.553777272727277</c:v>
                </c:pt>
                <c:pt idx="15">
                  <c:v>25.476061363636369</c:v>
                </c:pt>
                <c:pt idx="16">
                  <c:v>26.39834545454546</c:v>
                </c:pt>
                <c:pt idx="17">
                  <c:v>27.320629545454551</c:v>
                </c:pt>
                <c:pt idx="18">
                  <c:v>28.242913636363642</c:v>
                </c:pt>
                <c:pt idx="19">
                  <c:v>29.165197727272734</c:v>
                </c:pt>
                <c:pt idx="20">
                  <c:v>30.087481818181825</c:v>
                </c:pt>
                <c:pt idx="21">
                  <c:v>31.009765909090916</c:v>
                </c:pt>
                <c:pt idx="22">
                  <c:v>31.932050000000007</c:v>
                </c:pt>
                <c:pt idx="23">
                  <c:v>32.854334090909099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C-3AF1-41D4-9A5B-D893BB248332}"/>
            </c:ext>
          </c:extLst>
        </c:ser>
        <c:ser>
          <c:idx val="4"/>
          <c:order val="10"/>
          <c:tx>
            <c:v>H LAB ACT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TABLA_M!$Y$64</c:f>
              <c:numCache>
                <c:formatCode>0.000</c:formatCode>
                <c:ptCount val="1"/>
                <c:pt idx="0">
                  <c:v>24.849987030029297</c:v>
                </c:pt>
              </c:numCache>
            </c:numRef>
          </c:xVal>
          <c:yVal>
            <c:numRef>
              <c:f>TABLA_M!$Z$64</c:f>
              <c:numCache>
                <c:formatCode>0.000</c:formatCode>
                <c:ptCount val="1"/>
                <c:pt idx="0">
                  <c:v>25.271000000000001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D-3AF1-41D4-9A5B-D893BB248332}"/>
            </c:ext>
          </c:extLst>
        </c:ser>
        <c:ser>
          <c:idx val="5"/>
          <c:order val="11"/>
          <c:tx>
            <c:v>H LAB ACTA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TABLA_M!$Y$65</c:f>
            </c:numRef>
          </c:xVal>
          <c:yVal>
            <c:numRef>
              <c:f>TABLA_M!$Z$65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E-3AF1-41D4-9A5B-D893BB248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344198744"/>
        <c:axId val="344199136"/>
      </c:bubbleChart>
      <c:valAx>
        <c:axId val="344198744"/>
        <c:scaling>
          <c:orientation val="minMax"/>
          <c:max val="3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966620269094513"/>
              <c:y val="0.945398132641407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9136"/>
        <c:crosses val="autoZero"/>
        <c:crossBetween val="midCat"/>
      </c:valAx>
      <c:valAx>
        <c:axId val="344199136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8744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ALIMENTACION ROUGHER- PLANTA DE MOLIBDENO (%Mo)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0993175623795"/>
          <c:y val="7.2122906519058901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70148403375023"/>
          <c:y val="0.10845534970846407"/>
          <c:w val="0.84317370744023656"/>
          <c:h val="0.73142111088584538"/>
        </c:manualLayout>
      </c:layout>
      <c:bubbleChart>
        <c:varyColors val="0"/>
        <c:ser>
          <c:idx val="0"/>
          <c:order val="0"/>
          <c:tx>
            <c:strRef>
              <c:f>TABLA_M!$BB$3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TABLA_M!$K$4:$K$63</c:f>
              <c:numCache>
                <c:formatCode>0.000</c:formatCode>
                <c:ptCount val="60"/>
                <c:pt idx="0">
                  <c:v>1.4718281030654907</c:v>
                </c:pt>
                <c:pt idx="1">
                  <c:v>1.4718281030654907</c:v>
                </c:pt>
                <c:pt idx="2">
                  <c:v>3.6074600219726563</c:v>
                </c:pt>
                <c:pt idx="3">
                  <c:v>3.6074600219726563</c:v>
                </c:pt>
                <c:pt idx="4">
                  <c:v>2.1859698295593262</c:v>
                </c:pt>
                <c:pt idx="5">
                  <c:v>2.4801154136657715</c:v>
                </c:pt>
                <c:pt idx="6">
                  <c:v>1.1837607622146606</c:v>
                </c:pt>
                <c:pt idx="7">
                  <c:v>1.6933015584945679</c:v>
                </c:pt>
                <c:pt idx="8">
                  <c:v>2.1402573585510254</c:v>
                </c:pt>
                <c:pt idx="9">
                  <c:v>1.935106635093689</c:v>
                </c:pt>
                <c:pt idx="10">
                  <c:v>1.1269073486328125</c:v>
                </c:pt>
                <c:pt idx="11">
                  <c:v>0.90195196866989136</c:v>
                </c:pt>
                <c:pt idx="12">
                  <c:v>1.2089604139328003</c:v>
                </c:pt>
                <c:pt idx="13">
                  <c:v>1.2117031812667847</c:v>
                </c:pt>
                <c:pt idx="14">
                  <c:v>1.44896399974823</c:v>
                </c:pt>
                <c:pt idx="15">
                  <c:v>1.2693836688995361</c:v>
                </c:pt>
                <c:pt idx="16">
                  <c:v>1.3908547163009644</c:v>
                </c:pt>
                <c:pt idx="17">
                  <c:v>1.3908547163009644</c:v>
                </c:pt>
                <c:pt idx="18">
                  <c:v>2.3223707675933838</c:v>
                </c:pt>
                <c:pt idx="19">
                  <c:v>3.1678712368011475</c:v>
                </c:pt>
                <c:pt idx="20">
                  <c:v>2.301372766494751</c:v>
                </c:pt>
                <c:pt idx="21">
                  <c:v>1.8395191431045532</c:v>
                </c:pt>
                <c:pt idx="22">
                  <c:v>4.3784956932067871</c:v>
                </c:pt>
                <c:pt idx="23">
                  <c:v>4.0803060531616211</c:v>
                </c:pt>
                <c:pt idx="24">
                  <c:v>2.3282473087310791</c:v>
                </c:pt>
                <c:pt idx="25">
                  <c:v>2.5708036422729492</c:v>
                </c:pt>
                <c:pt idx="26">
                  <c:v>2.5708036422729492</c:v>
                </c:pt>
                <c:pt idx="27">
                  <c:v>0.68110287189483643</c:v>
                </c:pt>
                <c:pt idx="28">
                  <c:v>0.74810713529586792</c:v>
                </c:pt>
                <c:pt idx="29">
                  <c:v>0.76367515325546265</c:v>
                </c:pt>
                <c:pt idx="30">
                  <c:v>1.1042046546936035</c:v>
                </c:pt>
                <c:pt idx="31">
                  <c:v>1.250199556350708</c:v>
                </c:pt>
                <c:pt idx="32">
                  <c:v>1.1539222002029419</c:v>
                </c:pt>
                <c:pt idx="33">
                  <c:v>1.1675971746444702</c:v>
                </c:pt>
                <c:pt idx="34">
                  <c:v>1.2683455944061279</c:v>
                </c:pt>
                <c:pt idx="35">
                  <c:v>1.1988584995269775</c:v>
                </c:pt>
                <c:pt idx="36">
                  <c:v>1.8395336866378784</c:v>
                </c:pt>
                <c:pt idx="37">
                  <c:v>2.4774608612060547</c:v>
                </c:pt>
                <c:pt idx="38">
                  <c:v>2.4923830032348633</c:v>
                </c:pt>
                <c:pt idx="39">
                  <c:v>2.3033030033111572</c:v>
                </c:pt>
                <c:pt idx="40">
                  <c:v>2.4225966930389404</c:v>
                </c:pt>
                <c:pt idx="41">
                  <c:v>1.8730242252349854</c:v>
                </c:pt>
                <c:pt idx="42">
                  <c:v>1.5055280923843384</c:v>
                </c:pt>
                <c:pt idx="43">
                  <c:v>1.5055280923843384</c:v>
                </c:pt>
                <c:pt idx="44">
                  <c:v>1.6340122222900391</c:v>
                </c:pt>
                <c:pt idx="45">
                  <c:v>1.7126438617706299</c:v>
                </c:pt>
                <c:pt idx="46">
                  <c:v>2.2196602821350098</c:v>
                </c:pt>
                <c:pt idx="47">
                  <c:v>2.1810171604156494</c:v>
                </c:pt>
                <c:pt idx="48">
                  <c:v>1.9882111549377441</c:v>
                </c:pt>
                <c:pt idx="49">
                  <c:v>1.9882111549377441</c:v>
                </c:pt>
                <c:pt idx="50">
                  <c:v>1.9882111549377441</c:v>
                </c:pt>
                <c:pt idx="51">
                  <c:v>2.427558422088623</c:v>
                </c:pt>
                <c:pt idx="52">
                  <c:v>2.2709739208221436</c:v>
                </c:pt>
                <c:pt idx="53">
                  <c:v>2.8069972991943359</c:v>
                </c:pt>
                <c:pt idx="54">
                  <c:v>2.6013236045837402</c:v>
                </c:pt>
                <c:pt idx="55">
                  <c:v>2.6947493553161621</c:v>
                </c:pt>
                <c:pt idx="56">
                  <c:v>2.728614330291748</c:v>
                </c:pt>
                <c:pt idx="57">
                  <c:v>2.8998367786407471</c:v>
                </c:pt>
                <c:pt idx="58">
                  <c:v>2.8712384700775146</c:v>
                </c:pt>
                <c:pt idx="59">
                  <c:v>2.7573964595794678</c:v>
                </c:pt>
              </c:numCache>
            </c:numRef>
          </c:xVal>
          <c:yVal>
            <c:numRef>
              <c:f>TABLA_M!$L$4:$L$63</c:f>
              <c:numCache>
                <c:formatCode>0.000</c:formatCode>
                <c:ptCount val="60"/>
                <c:pt idx="0">
                  <c:v>1.877</c:v>
                </c:pt>
                <c:pt idx="1">
                  <c:v>1.639</c:v>
                </c:pt>
                <c:pt idx="2">
                  <c:v>4.1959999999999997</c:v>
                </c:pt>
                <c:pt idx="3">
                  <c:v>1.746</c:v>
                </c:pt>
                <c:pt idx="4">
                  <c:v>3.2970000000000002</c:v>
                </c:pt>
                <c:pt idx="5">
                  <c:v>3.585</c:v>
                </c:pt>
                <c:pt idx="6">
                  <c:v>2.0670000000000002</c:v>
                </c:pt>
                <c:pt idx="7">
                  <c:v>2.3029999999999999</c:v>
                </c:pt>
                <c:pt idx="8">
                  <c:v>2.5670000000000002</c:v>
                </c:pt>
                <c:pt idx="9">
                  <c:v>1.821</c:v>
                </c:pt>
                <c:pt idx="10">
                  <c:v>0.96499999999999997</c:v>
                </c:pt>
                <c:pt idx="11">
                  <c:v>1.1180000000000001</c:v>
                </c:pt>
                <c:pt idx="12">
                  <c:v>1.2949999999999999</c:v>
                </c:pt>
                <c:pt idx="13">
                  <c:v>1.2709999999999999</c:v>
                </c:pt>
                <c:pt idx="14">
                  <c:v>0</c:v>
                </c:pt>
                <c:pt idx="15">
                  <c:v>1.1879999999999999</c:v>
                </c:pt>
                <c:pt idx="16">
                  <c:v>1.6910000000000001</c:v>
                </c:pt>
                <c:pt idx="17">
                  <c:v>1.782</c:v>
                </c:pt>
                <c:pt idx="18">
                  <c:v>1.86</c:v>
                </c:pt>
                <c:pt idx="19">
                  <c:v>3.2440000000000002</c:v>
                </c:pt>
                <c:pt idx="20">
                  <c:v>2.0419999999999998</c:v>
                </c:pt>
                <c:pt idx="21">
                  <c:v>2.032</c:v>
                </c:pt>
                <c:pt idx="22">
                  <c:v>5.9749999999999996</c:v>
                </c:pt>
                <c:pt idx="23">
                  <c:v>2.98</c:v>
                </c:pt>
                <c:pt idx="24">
                  <c:v>2.2480000000000002</c:v>
                </c:pt>
                <c:pt idx="25">
                  <c:v>4.2629999999999999</c:v>
                </c:pt>
                <c:pt idx="26">
                  <c:v>2.2709999999999999</c:v>
                </c:pt>
                <c:pt idx="27">
                  <c:v>1.7969999999999999</c:v>
                </c:pt>
                <c:pt idx="28">
                  <c:v>1.99</c:v>
                </c:pt>
                <c:pt idx="29">
                  <c:v>1.716</c:v>
                </c:pt>
                <c:pt idx="30">
                  <c:v>1.3540000000000001</c:v>
                </c:pt>
                <c:pt idx="31">
                  <c:v>0.95399999999999996</c:v>
                </c:pt>
                <c:pt idx="32">
                  <c:v>0.97099999999999997</c:v>
                </c:pt>
                <c:pt idx="33">
                  <c:v>1.677</c:v>
                </c:pt>
                <c:pt idx="34">
                  <c:v>1.538</c:v>
                </c:pt>
                <c:pt idx="35">
                  <c:v>0</c:v>
                </c:pt>
                <c:pt idx="36">
                  <c:v>0</c:v>
                </c:pt>
                <c:pt idx="37">
                  <c:v>2.657</c:v>
                </c:pt>
                <c:pt idx="38">
                  <c:v>2.6150000000000002</c:v>
                </c:pt>
                <c:pt idx="39">
                  <c:v>2.73</c:v>
                </c:pt>
                <c:pt idx="40">
                  <c:v>2.0859999999999999</c:v>
                </c:pt>
                <c:pt idx="41">
                  <c:v>2.048</c:v>
                </c:pt>
                <c:pt idx="42">
                  <c:v>1.381</c:v>
                </c:pt>
                <c:pt idx="43">
                  <c:v>2.2570000000000001</c:v>
                </c:pt>
                <c:pt idx="44">
                  <c:v>2.0019999999999998</c:v>
                </c:pt>
                <c:pt idx="45">
                  <c:v>1.4410000000000001</c:v>
                </c:pt>
                <c:pt idx="46">
                  <c:v>3.226</c:v>
                </c:pt>
                <c:pt idx="47">
                  <c:v>2.9020000000000001</c:v>
                </c:pt>
                <c:pt idx="48">
                  <c:v>2.8490000000000002</c:v>
                </c:pt>
                <c:pt idx="49">
                  <c:v>1.901</c:v>
                </c:pt>
                <c:pt idx="50">
                  <c:v>3.302</c:v>
                </c:pt>
                <c:pt idx="51">
                  <c:v>3.0830000000000002</c:v>
                </c:pt>
                <c:pt idx="52">
                  <c:v>3.9340000000000002</c:v>
                </c:pt>
                <c:pt idx="53">
                  <c:v>2.57</c:v>
                </c:pt>
                <c:pt idx="54">
                  <c:v>0</c:v>
                </c:pt>
                <c:pt idx="55">
                  <c:v>2.8439999999999999</c:v>
                </c:pt>
                <c:pt idx="56">
                  <c:v>2.3490000000000002</c:v>
                </c:pt>
                <c:pt idx="57">
                  <c:v>2.7330000000000001</c:v>
                </c:pt>
                <c:pt idx="58">
                  <c:v>3.5649999999999999</c:v>
                </c:pt>
                <c:pt idx="59">
                  <c:v>2.339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6C51-41CF-A3C4-9B6B6A9A91CE}"/>
            </c:ext>
          </c:extLst>
        </c:ser>
        <c:ser>
          <c:idx val="1"/>
          <c:order val="1"/>
          <c:tx>
            <c:strRef>
              <c:f>Calculos_M!$AF$5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Calculos_M!$G$6:$G$29</c:f>
              <c:numCache>
                <c:formatCode>0.000</c:formatCode>
                <c:ptCount val="24"/>
                <c:pt idx="0">
                  <c:v>0.38160000000000005</c:v>
                </c:pt>
                <c:pt idx="1">
                  <c:v>0.676584090909091</c:v>
                </c:pt>
                <c:pt idx="2">
                  <c:v>0.97156818181818183</c:v>
                </c:pt>
                <c:pt idx="3">
                  <c:v>1.2665522727272727</c:v>
                </c:pt>
                <c:pt idx="4">
                  <c:v>1.5615363636363635</c:v>
                </c:pt>
                <c:pt idx="5">
                  <c:v>1.8565204545454543</c:v>
                </c:pt>
                <c:pt idx="6">
                  <c:v>2.1515045454545452</c:v>
                </c:pt>
                <c:pt idx="7">
                  <c:v>2.446488636363636</c:v>
                </c:pt>
                <c:pt idx="8">
                  <c:v>2.7414727272727268</c:v>
                </c:pt>
                <c:pt idx="9">
                  <c:v>3.0364568181818177</c:v>
                </c:pt>
                <c:pt idx="10">
                  <c:v>3.3314409090909085</c:v>
                </c:pt>
                <c:pt idx="11">
                  <c:v>3.6264249999999993</c:v>
                </c:pt>
                <c:pt idx="12">
                  <c:v>3.9214090909090902</c:v>
                </c:pt>
                <c:pt idx="13">
                  <c:v>4.216393181818181</c:v>
                </c:pt>
                <c:pt idx="14">
                  <c:v>4.5113772727272723</c:v>
                </c:pt>
                <c:pt idx="15">
                  <c:v>4.8063613636363636</c:v>
                </c:pt>
                <c:pt idx="16">
                  <c:v>5.1013454545454548</c:v>
                </c:pt>
                <c:pt idx="17">
                  <c:v>5.3963295454545461</c:v>
                </c:pt>
                <c:pt idx="18">
                  <c:v>5.6913136363636374</c:v>
                </c:pt>
                <c:pt idx="19">
                  <c:v>5.9862977272727287</c:v>
                </c:pt>
                <c:pt idx="20">
                  <c:v>6.28128181818182</c:v>
                </c:pt>
                <c:pt idx="21">
                  <c:v>6.5762659090909112</c:v>
                </c:pt>
                <c:pt idx="22">
                  <c:v>0</c:v>
                </c:pt>
                <c:pt idx="23">
                  <c:v>2.5</c:v>
                </c:pt>
              </c:numCache>
            </c:numRef>
          </c:xVal>
          <c:yVal>
            <c:numRef>
              <c:f>Calculos_M!$H$6:$H$29</c:f>
              <c:numCache>
                <c:formatCode>0.000</c:formatCode>
                <c:ptCount val="24"/>
                <c:pt idx="0">
                  <c:v>0.38160000000000005</c:v>
                </c:pt>
                <c:pt idx="1">
                  <c:v>0.676584090909091</c:v>
                </c:pt>
                <c:pt idx="2">
                  <c:v>0.97156818181818183</c:v>
                </c:pt>
                <c:pt idx="3">
                  <c:v>1.2665522727272727</c:v>
                </c:pt>
                <c:pt idx="4">
                  <c:v>1.5615363636363635</c:v>
                </c:pt>
                <c:pt idx="5">
                  <c:v>1.8565204545454543</c:v>
                </c:pt>
                <c:pt idx="6">
                  <c:v>2.1515045454545452</c:v>
                </c:pt>
                <c:pt idx="7">
                  <c:v>2.446488636363636</c:v>
                </c:pt>
                <c:pt idx="8">
                  <c:v>2.7414727272727268</c:v>
                </c:pt>
                <c:pt idx="9">
                  <c:v>3.0364568181818177</c:v>
                </c:pt>
                <c:pt idx="10">
                  <c:v>3.3314409090909085</c:v>
                </c:pt>
                <c:pt idx="11">
                  <c:v>3.6264249999999993</c:v>
                </c:pt>
                <c:pt idx="12">
                  <c:v>3.9214090909090902</c:v>
                </c:pt>
                <c:pt idx="13">
                  <c:v>4.216393181818181</c:v>
                </c:pt>
                <c:pt idx="14">
                  <c:v>4.5113772727272723</c:v>
                </c:pt>
                <c:pt idx="15">
                  <c:v>4.8063613636363636</c:v>
                </c:pt>
                <c:pt idx="16">
                  <c:v>5.1013454545454548</c:v>
                </c:pt>
                <c:pt idx="17">
                  <c:v>5.3963295454545461</c:v>
                </c:pt>
                <c:pt idx="18">
                  <c:v>5.6913136363636374</c:v>
                </c:pt>
                <c:pt idx="19">
                  <c:v>5.9862977272727287</c:v>
                </c:pt>
                <c:pt idx="20">
                  <c:v>6.28128181818182</c:v>
                </c:pt>
                <c:pt idx="21">
                  <c:v>6.5762659090909112</c:v>
                </c:pt>
                <c:pt idx="22">
                  <c:v>0</c:v>
                </c:pt>
                <c:pt idx="23">
                  <c:v>2.5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6C51-41CF-A3C4-9B6B6A9A91CE}"/>
            </c:ext>
          </c:extLst>
        </c:ser>
        <c:ser>
          <c:idx val="2"/>
          <c:order val="2"/>
          <c:tx>
            <c:strRef>
              <c:f>Calculos_M!$AG$4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Calculos_M!$I$6:$I$29</c:f>
              <c:numCache>
                <c:formatCode>0.000</c:formatCode>
                <c:ptCount val="24"/>
                <c:pt idx="0">
                  <c:v>-1.0826249999999482E-3</c:v>
                </c:pt>
                <c:pt idx="1">
                  <c:v>0.293901465909091</c:v>
                </c:pt>
                <c:pt idx="2">
                  <c:v>0.58888555681818189</c:v>
                </c:pt>
                <c:pt idx="3">
                  <c:v>0.88386964772727272</c:v>
                </c:pt>
                <c:pt idx="4">
                  <c:v>1.1788537386363636</c:v>
                </c:pt>
                <c:pt idx="5">
                  <c:v>1.4738378295454544</c:v>
                </c:pt>
                <c:pt idx="6">
                  <c:v>1.7688219204545452</c:v>
                </c:pt>
                <c:pt idx="7">
                  <c:v>2.0638060113636358</c:v>
                </c:pt>
                <c:pt idx="8">
                  <c:v>2.3587901022727267</c:v>
                </c:pt>
                <c:pt idx="9">
                  <c:v>2.6537741931818175</c:v>
                </c:pt>
                <c:pt idx="10">
                  <c:v>2.9487582840909083</c:v>
                </c:pt>
                <c:pt idx="11">
                  <c:v>3.2437423749999992</c:v>
                </c:pt>
                <c:pt idx="12">
                  <c:v>3.53872646590909</c:v>
                </c:pt>
                <c:pt idx="13">
                  <c:v>3.8337105568181808</c:v>
                </c:pt>
                <c:pt idx="14">
                  <c:v>4.1286946477272721</c:v>
                </c:pt>
                <c:pt idx="15">
                  <c:v>4.4236787386363634</c:v>
                </c:pt>
                <c:pt idx="16">
                  <c:v>4.7186628295454547</c:v>
                </c:pt>
                <c:pt idx="17">
                  <c:v>5.013646920454546</c:v>
                </c:pt>
                <c:pt idx="18">
                  <c:v>5.3086310113636372</c:v>
                </c:pt>
                <c:pt idx="19">
                  <c:v>5.6036151022727285</c:v>
                </c:pt>
                <c:pt idx="20">
                  <c:v>5.8985991931818198</c:v>
                </c:pt>
                <c:pt idx="21">
                  <c:v>6.1935832840909111</c:v>
                </c:pt>
                <c:pt idx="22">
                  <c:v>-0.382682625</c:v>
                </c:pt>
                <c:pt idx="23">
                  <c:v>2.1173173749999998</c:v>
                </c:pt>
              </c:numCache>
            </c:numRef>
          </c:xVal>
          <c:yVal>
            <c:numRef>
              <c:f>Calculos_M!$J$6:$J$29</c:f>
              <c:numCache>
                <c:formatCode>0.000</c:formatCode>
                <c:ptCount val="24"/>
                <c:pt idx="0">
                  <c:v>0.38160000000000005</c:v>
                </c:pt>
                <c:pt idx="1">
                  <c:v>0.676584090909091</c:v>
                </c:pt>
                <c:pt idx="2">
                  <c:v>0.97156818181818183</c:v>
                </c:pt>
                <c:pt idx="3">
                  <c:v>1.2665522727272727</c:v>
                </c:pt>
                <c:pt idx="4">
                  <c:v>1.5615363636363635</c:v>
                </c:pt>
                <c:pt idx="5">
                  <c:v>1.8565204545454543</c:v>
                </c:pt>
                <c:pt idx="6">
                  <c:v>2.1515045454545452</c:v>
                </c:pt>
                <c:pt idx="7">
                  <c:v>2.446488636363636</c:v>
                </c:pt>
                <c:pt idx="8">
                  <c:v>2.7414727272727268</c:v>
                </c:pt>
                <c:pt idx="9">
                  <c:v>3.0364568181818177</c:v>
                </c:pt>
                <c:pt idx="10">
                  <c:v>3.3314409090909085</c:v>
                </c:pt>
                <c:pt idx="11">
                  <c:v>3.6264249999999993</c:v>
                </c:pt>
                <c:pt idx="12">
                  <c:v>3.9214090909090902</c:v>
                </c:pt>
                <c:pt idx="13">
                  <c:v>4.216393181818181</c:v>
                </c:pt>
                <c:pt idx="14">
                  <c:v>4.5113772727272723</c:v>
                </c:pt>
                <c:pt idx="15">
                  <c:v>4.8063613636363636</c:v>
                </c:pt>
                <c:pt idx="16">
                  <c:v>5.1013454545454548</c:v>
                </c:pt>
                <c:pt idx="17">
                  <c:v>5.3963295454545461</c:v>
                </c:pt>
                <c:pt idx="18">
                  <c:v>5.6913136363636374</c:v>
                </c:pt>
                <c:pt idx="19">
                  <c:v>5.9862977272727287</c:v>
                </c:pt>
                <c:pt idx="20">
                  <c:v>6.28128181818182</c:v>
                </c:pt>
                <c:pt idx="21">
                  <c:v>6.5762659090909112</c:v>
                </c:pt>
                <c:pt idx="22">
                  <c:v>0</c:v>
                </c:pt>
                <c:pt idx="23">
                  <c:v>2.5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6C51-41CF-A3C4-9B6B6A9A91CE}"/>
            </c:ext>
          </c:extLst>
        </c:ser>
        <c:ser>
          <c:idx val="3"/>
          <c:order val="3"/>
          <c:tx>
            <c:strRef>
              <c:f>Calculos_M!$AI$4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Calculos_M!$K$6:$K$29</c:f>
              <c:numCache>
                <c:formatCode>0.000</c:formatCode>
                <c:ptCount val="24"/>
                <c:pt idx="0">
                  <c:v>0.7642826250000001</c:v>
                </c:pt>
                <c:pt idx="1">
                  <c:v>1.0592667159090909</c:v>
                </c:pt>
                <c:pt idx="2">
                  <c:v>1.3542508068181818</c:v>
                </c:pt>
                <c:pt idx="3">
                  <c:v>1.6492348977272726</c:v>
                </c:pt>
                <c:pt idx="4">
                  <c:v>1.9442189886363634</c:v>
                </c:pt>
                <c:pt idx="5">
                  <c:v>2.2392030795454545</c:v>
                </c:pt>
                <c:pt idx="6">
                  <c:v>2.5341871704545453</c:v>
                </c:pt>
                <c:pt idx="7">
                  <c:v>2.8291712613636362</c:v>
                </c:pt>
                <c:pt idx="8">
                  <c:v>3.124155352272727</c:v>
                </c:pt>
                <c:pt idx="9">
                  <c:v>3.4191394431818178</c:v>
                </c:pt>
                <c:pt idx="10">
                  <c:v>3.7141235340909087</c:v>
                </c:pt>
                <c:pt idx="11">
                  <c:v>4.0091076249999995</c:v>
                </c:pt>
                <c:pt idx="12">
                  <c:v>4.3040917159090899</c:v>
                </c:pt>
                <c:pt idx="13">
                  <c:v>4.5990758068181812</c:v>
                </c:pt>
                <c:pt idx="14">
                  <c:v>4.8940598977272725</c:v>
                </c:pt>
                <c:pt idx="15">
                  <c:v>5.1890439886363637</c:v>
                </c:pt>
                <c:pt idx="16">
                  <c:v>5.484028079545455</c:v>
                </c:pt>
                <c:pt idx="17">
                  <c:v>5.7790121704545463</c:v>
                </c:pt>
                <c:pt idx="18">
                  <c:v>6.0739962613636376</c:v>
                </c:pt>
                <c:pt idx="19">
                  <c:v>6.3689803522727289</c:v>
                </c:pt>
                <c:pt idx="20">
                  <c:v>6.6639644431818201</c:v>
                </c:pt>
                <c:pt idx="21">
                  <c:v>6.9589485340909114</c:v>
                </c:pt>
                <c:pt idx="22">
                  <c:v>0.382682625</c:v>
                </c:pt>
                <c:pt idx="23">
                  <c:v>2.8826826250000002</c:v>
                </c:pt>
              </c:numCache>
            </c:numRef>
          </c:xVal>
          <c:yVal>
            <c:numRef>
              <c:f>Calculos_M!$L$6:$L$29</c:f>
              <c:numCache>
                <c:formatCode>0.000</c:formatCode>
                <c:ptCount val="24"/>
                <c:pt idx="0">
                  <c:v>0.38160000000000005</c:v>
                </c:pt>
                <c:pt idx="1">
                  <c:v>0.676584090909091</c:v>
                </c:pt>
                <c:pt idx="2">
                  <c:v>0.97156818181818183</c:v>
                </c:pt>
                <c:pt idx="3">
                  <c:v>1.2665522727272727</c:v>
                </c:pt>
                <c:pt idx="4">
                  <c:v>1.5615363636363635</c:v>
                </c:pt>
                <c:pt idx="5">
                  <c:v>1.8565204545454543</c:v>
                </c:pt>
                <c:pt idx="6">
                  <c:v>2.1515045454545452</c:v>
                </c:pt>
                <c:pt idx="7">
                  <c:v>2.446488636363636</c:v>
                </c:pt>
                <c:pt idx="8">
                  <c:v>2.7414727272727268</c:v>
                </c:pt>
                <c:pt idx="9">
                  <c:v>3.0364568181818177</c:v>
                </c:pt>
                <c:pt idx="10">
                  <c:v>3.3314409090909085</c:v>
                </c:pt>
                <c:pt idx="11">
                  <c:v>3.6264249999999993</c:v>
                </c:pt>
                <c:pt idx="12">
                  <c:v>3.9214090909090902</c:v>
                </c:pt>
                <c:pt idx="13">
                  <c:v>4.216393181818181</c:v>
                </c:pt>
                <c:pt idx="14">
                  <c:v>4.5113772727272723</c:v>
                </c:pt>
                <c:pt idx="15">
                  <c:v>4.8063613636363636</c:v>
                </c:pt>
                <c:pt idx="16">
                  <c:v>5.1013454545454548</c:v>
                </c:pt>
                <c:pt idx="17">
                  <c:v>5.3963295454545461</c:v>
                </c:pt>
                <c:pt idx="18">
                  <c:v>5.6913136363636374</c:v>
                </c:pt>
                <c:pt idx="19">
                  <c:v>5.9862977272727287</c:v>
                </c:pt>
                <c:pt idx="20">
                  <c:v>6.28128181818182</c:v>
                </c:pt>
                <c:pt idx="21">
                  <c:v>6.5762659090909112</c:v>
                </c:pt>
                <c:pt idx="22">
                  <c:v>0</c:v>
                </c:pt>
                <c:pt idx="23">
                  <c:v>2.5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6-6C51-41CF-A3C4-9B6B6A9A91CE}"/>
            </c:ext>
          </c:extLst>
        </c:ser>
        <c:ser>
          <c:idx val="4"/>
          <c:order val="4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TABLA_M!$K$64</c:f>
              <c:numCache>
                <c:formatCode>0.000</c:formatCode>
                <c:ptCount val="1"/>
                <c:pt idx="0">
                  <c:v>1.8072060346603394</c:v>
                </c:pt>
              </c:numCache>
            </c:numRef>
          </c:xVal>
          <c:yVal>
            <c:numRef>
              <c:f>TABLA_M!$L$64</c:f>
              <c:numCache>
                <c:formatCode>0.000</c:formatCode>
                <c:ptCount val="1"/>
                <c:pt idx="0">
                  <c:v>1.7549999999999999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7-6C51-41CF-A3C4-9B6B6A9A91CE}"/>
            </c:ext>
          </c:extLst>
        </c:ser>
        <c:ser>
          <c:idx val="5"/>
          <c:order val="5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TABLA_M!$K$65</c:f>
            </c:numRef>
          </c:xVal>
          <c:yVal>
            <c:numRef>
              <c:f>TABLA_M!$L$65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8-6C51-41CF-A3C4-9B6B6A9A9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344196392"/>
        <c:axId val="344192472"/>
      </c:bubbleChart>
      <c:valAx>
        <c:axId val="344196392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258507215614016"/>
              <c:y val="0.93097355133759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2472"/>
        <c:crosses val="autoZero"/>
        <c:crossBetween val="midCat"/>
      </c:valAx>
      <c:valAx>
        <c:axId val="344192472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6392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GRAFICA DE AJUSTE</a:t>
            </a:r>
          </a:p>
          <a:p>
            <a:pPr>
              <a:defRPr sz="9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PE" sz="900" b="1" i="0" u="none" strike="noStrike" baseline="0">
                <a:effectLst/>
              </a:rPr>
              <a:t>COLA FINAL  - PLANTA DE MOLIBDENO (%Mo)</a:t>
            </a:r>
            <a:endParaRPr lang="es-PE" sz="9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0993175623795"/>
          <c:y val="7.2122906519058901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70148403375023"/>
          <c:y val="0.10845534970846407"/>
          <c:w val="0.84317370744023656"/>
          <c:h val="0.73142111088584538"/>
        </c:manualLayout>
      </c:layout>
      <c:bubbleChart>
        <c:varyColors val="0"/>
        <c:ser>
          <c:idx val="0"/>
          <c:order val="0"/>
          <c:tx>
            <c:strRef>
              <c:f>TABLA_M!$BB$3</c:f>
              <c:strCache>
                <c:ptCount val="1"/>
                <c:pt idx="0">
                  <c:v>C LABO</c:v>
                </c:pt>
              </c:strCache>
            </c:strRef>
          </c:tx>
          <c:spPr>
            <a:solidFill>
              <a:srgbClr val="021FF6"/>
            </a:soli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xVal>
            <c:numRef>
              <c:f>TABLA_M!$AF$4:$AF$63</c:f>
              <c:numCache>
                <c:formatCode>0.000</c:formatCode>
                <c:ptCount val="60"/>
                <c:pt idx="0">
                  <c:v>0.43541663885116577</c:v>
                </c:pt>
                <c:pt idx="1">
                  <c:v>0.43541663885116577</c:v>
                </c:pt>
                <c:pt idx="2">
                  <c:v>0.20480257272720337</c:v>
                </c:pt>
                <c:pt idx="3">
                  <c:v>0.20480257272720337</c:v>
                </c:pt>
                <c:pt idx="4">
                  <c:v>0.14440962672233582</c:v>
                </c:pt>
                <c:pt idx="5">
                  <c:v>0.10134220868349075</c:v>
                </c:pt>
                <c:pt idx="6">
                  <c:v>0.10239333659410477</c:v>
                </c:pt>
                <c:pt idx="7">
                  <c:v>8.8767431676387787E-2</c:v>
                </c:pt>
                <c:pt idx="8">
                  <c:v>9.7924016416072845E-2</c:v>
                </c:pt>
                <c:pt idx="9">
                  <c:v>6.4414113759994507E-2</c:v>
                </c:pt>
                <c:pt idx="10">
                  <c:v>5.3388558328151703E-2</c:v>
                </c:pt>
                <c:pt idx="11">
                  <c:v>0.18215537071228027</c:v>
                </c:pt>
                <c:pt idx="12">
                  <c:v>0.67277532815933228</c:v>
                </c:pt>
                <c:pt idx="13">
                  <c:v>0.15042237937450409</c:v>
                </c:pt>
                <c:pt idx="14">
                  <c:v>0.28837582468986511</c:v>
                </c:pt>
                <c:pt idx="15">
                  <c:v>0.38917356729507446</c:v>
                </c:pt>
                <c:pt idx="16">
                  <c:v>0.16438183188438416</c:v>
                </c:pt>
                <c:pt idx="17">
                  <c:v>0.16438183188438416</c:v>
                </c:pt>
                <c:pt idx="18">
                  <c:v>0.28070893883705139</c:v>
                </c:pt>
                <c:pt idx="19">
                  <c:v>0.26761573553085327</c:v>
                </c:pt>
                <c:pt idx="20">
                  <c:v>5.9297509491443634E-2</c:v>
                </c:pt>
                <c:pt idx="21">
                  <c:v>7.9983144998550415E-2</c:v>
                </c:pt>
                <c:pt idx="22">
                  <c:v>0.43560272455215454</c:v>
                </c:pt>
                <c:pt idx="23">
                  <c:v>0.14035680890083313</c:v>
                </c:pt>
                <c:pt idx="24">
                  <c:v>0.22028069198131561</c:v>
                </c:pt>
                <c:pt idx="25">
                  <c:v>0.1689692884683609</c:v>
                </c:pt>
                <c:pt idx="26">
                  <c:v>0.1689692884683609</c:v>
                </c:pt>
                <c:pt idx="27">
                  <c:v>6.8032629787921906E-2</c:v>
                </c:pt>
                <c:pt idx="28">
                  <c:v>9.1524593532085419E-2</c:v>
                </c:pt>
                <c:pt idx="29">
                  <c:v>6.9822221994400024E-2</c:v>
                </c:pt>
                <c:pt idx="30">
                  <c:v>9.7445882856845856E-2</c:v>
                </c:pt>
                <c:pt idx="31">
                  <c:v>5.1226496696472168E-2</c:v>
                </c:pt>
                <c:pt idx="32">
                  <c:v>6.0069702565670013E-2</c:v>
                </c:pt>
                <c:pt idx="33">
                  <c:v>0.12544995546340942</c:v>
                </c:pt>
                <c:pt idx="34">
                  <c:v>0.13723689317703247</c:v>
                </c:pt>
                <c:pt idx="35">
                  <c:v>0.17933668196201324</c:v>
                </c:pt>
                <c:pt idx="36">
                  <c:v>0.17933668196201324</c:v>
                </c:pt>
                <c:pt idx="37">
                  <c:v>0.85045719146728516</c:v>
                </c:pt>
                <c:pt idx="38">
                  <c:v>1.069115161895752</c:v>
                </c:pt>
                <c:pt idx="39">
                  <c:v>0.20690819621086121</c:v>
                </c:pt>
                <c:pt idx="40">
                  <c:v>0.49336770176887512</c:v>
                </c:pt>
                <c:pt idx="41">
                  <c:v>9.0064592659473419E-2</c:v>
                </c:pt>
                <c:pt idx="42">
                  <c:v>0.17403541505336761</c:v>
                </c:pt>
                <c:pt idx="43">
                  <c:v>0.17403541505336761</c:v>
                </c:pt>
                <c:pt idx="44">
                  <c:v>0.15090176463127136</c:v>
                </c:pt>
                <c:pt idx="45">
                  <c:v>0.15326644480228424</c:v>
                </c:pt>
                <c:pt idx="46">
                  <c:v>5.4691430181264877E-2</c:v>
                </c:pt>
                <c:pt idx="47">
                  <c:v>9.6487991511821747E-2</c:v>
                </c:pt>
                <c:pt idx="48">
                  <c:v>8.5849106311798096E-2</c:v>
                </c:pt>
                <c:pt idx="49">
                  <c:v>6.6281162202358246E-2</c:v>
                </c:pt>
                <c:pt idx="50">
                  <c:v>0.10891502350568771</c:v>
                </c:pt>
                <c:pt idx="51">
                  <c:v>9.5075011253356934E-2</c:v>
                </c:pt>
                <c:pt idx="52">
                  <c:v>0.10948605090379715</c:v>
                </c:pt>
                <c:pt idx="53">
                  <c:v>6.9430828094482422E-2</c:v>
                </c:pt>
                <c:pt idx="54">
                  <c:v>8.3107098937034607E-2</c:v>
                </c:pt>
                <c:pt idx="55">
                  <c:v>0.38959759473800659</c:v>
                </c:pt>
                <c:pt idx="56">
                  <c:v>0.30744925141334534</c:v>
                </c:pt>
                <c:pt idx="57">
                  <c:v>0.10706456750631332</c:v>
                </c:pt>
                <c:pt idx="58">
                  <c:v>0.10866567492485046</c:v>
                </c:pt>
                <c:pt idx="59">
                  <c:v>0.17398174107074738</c:v>
                </c:pt>
              </c:numCache>
            </c:numRef>
          </c:xVal>
          <c:yVal>
            <c:numRef>
              <c:f>TABLA_M!$AG$4:$AG$63</c:f>
              <c:numCache>
                <c:formatCode>0.000</c:formatCode>
                <c:ptCount val="60"/>
                <c:pt idx="0">
                  <c:v>7.3999999999999996E-2</c:v>
                </c:pt>
                <c:pt idx="1">
                  <c:v>8.1000000000000003E-2</c:v>
                </c:pt>
                <c:pt idx="2">
                  <c:v>0.11799999999999999</c:v>
                </c:pt>
                <c:pt idx="3">
                  <c:v>8.8999999999999996E-2</c:v>
                </c:pt>
                <c:pt idx="4">
                  <c:v>8.3000000000000004E-2</c:v>
                </c:pt>
                <c:pt idx="5">
                  <c:v>6.6000000000000003E-2</c:v>
                </c:pt>
                <c:pt idx="6">
                  <c:v>0.11</c:v>
                </c:pt>
                <c:pt idx="7">
                  <c:v>0.04</c:v>
                </c:pt>
                <c:pt idx="8">
                  <c:v>3.2000000000000001E-2</c:v>
                </c:pt>
                <c:pt idx="9">
                  <c:v>5.2999999999999999E-2</c:v>
                </c:pt>
                <c:pt idx="10">
                  <c:v>2.9000000000000001E-2</c:v>
                </c:pt>
                <c:pt idx="11">
                  <c:v>5.0999999999999997E-2</c:v>
                </c:pt>
                <c:pt idx="12">
                  <c:v>4.3999999999999997E-2</c:v>
                </c:pt>
                <c:pt idx="13">
                  <c:v>4.2000000000000003E-2</c:v>
                </c:pt>
                <c:pt idx="14">
                  <c:v>0</c:v>
                </c:pt>
                <c:pt idx="15">
                  <c:v>0.05</c:v>
                </c:pt>
                <c:pt idx="16">
                  <c:v>6.7000000000000004E-2</c:v>
                </c:pt>
                <c:pt idx="17">
                  <c:v>0.104</c:v>
                </c:pt>
                <c:pt idx="18">
                  <c:v>0.106</c:v>
                </c:pt>
                <c:pt idx="19">
                  <c:v>7.6999999999999999E-2</c:v>
                </c:pt>
                <c:pt idx="20">
                  <c:v>9.0999999999999998E-2</c:v>
                </c:pt>
                <c:pt idx="21">
                  <c:v>3.5000000000000003E-2</c:v>
                </c:pt>
                <c:pt idx="22">
                  <c:v>6.7000000000000004E-2</c:v>
                </c:pt>
                <c:pt idx="23">
                  <c:v>7.5999999999999998E-2</c:v>
                </c:pt>
                <c:pt idx="24">
                  <c:v>4.9000000000000002E-2</c:v>
                </c:pt>
                <c:pt idx="25">
                  <c:v>8.5999999999999993E-2</c:v>
                </c:pt>
                <c:pt idx="26">
                  <c:v>0.05</c:v>
                </c:pt>
                <c:pt idx="27">
                  <c:v>2.7E-2</c:v>
                </c:pt>
                <c:pt idx="28">
                  <c:v>0.152</c:v>
                </c:pt>
                <c:pt idx="29">
                  <c:v>0.13700000000000001</c:v>
                </c:pt>
                <c:pt idx="30">
                  <c:v>7.6999999999999999E-2</c:v>
                </c:pt>
                <c:pt idx="31">
                  <c:v>7.8E-2</c:v>
                </c:pt>
                <c:pt idx="32">
                  <c:v>9.7000000000000003E-2</c:v>
                </c:pt>
                <c:pt idx="33">
                  <c:v>0.125</c:v>
                </c:pt>
                <c:pt idx="34">
                  <c:v>0.10299999999999999</c:v>
                </c:pt>
                <c:pt idx="35">
                  <c:v>0</c:v>
                </c:pt>
                <c:pt idx="36">
                  <c:v>0</c:v>
                </c:pt>
                <c:pt idx="37">
                  <c:v>5.3999999999999999E-2</c:v>
                </c:pt>
                <c:pt idx="38">
                  <c:v>7.5999999999999998E-2</c:v>
                </c:pt>
                <c:pt idx="39">
                  <c:v>4.5999999999999999E-2</c:v>
                </c:pt>
                <c:pt idx="40">
                  <c:v>7.2999999999999995E-2</c:v>
                </c:pt>
                <c:pt idx="41">
                  <c:v>4.1000000000000002E-2</c:v>
                </c:pt>
                <c:pt idx="42">
                  <c:v>0.14099999999999999</c:v>
                </c:pt>
                <c:pt idx="43">
                  <c:v>5.1999999999999998E-2</c:v>
                </c:pt>
                <c:pt idx="44">
                  <c:v>0.57699999999999996</c:v>
                </c:pt>
                <c:pt idx="45">
                  <c:v>4.9000000000000002E-2</c:v>
                </c:pt>
                <c:pt idx="46">
                  <c:v>3.9E-2</c:v>
                </c:pt>
                <c:pt idx="47">
                  <c:v>4.9000000000000002E-2</c:v>
                </c:pt>
                <c:pt idx="48">
                  <c:v>6.5000000000000002E-2</c:v>
                </c:pt>
                <c:pt idx="49">
                  <c:v>5.8999999999999997E-2</c:v>
                </c:pt>
                <c:pt idx="50">
                  <c:v>9.9000000000000005E-2</c:v>
                </c:pt>
                <c:pt idx="51">
                  <c:v>0.106</c:v>
                </c:pt>
                <c:pt idx="52">
                  <c:v>7.2999999999999995E-2</c:v>
                </c:pt>
                <c:pt idx="53">
                  <c:v>6.2E-2</c:v>
                </c:pt>
                <c:pt idx="54">
                  <c:v>0</c:v>
                </c:pt>
                <c:pt idx="55">
                  <c:v>0.14499999999999999</c:v>
                </c:pt>
                <c:pt idx="56">
                  <c:v>0.13700000000000001</c:v>
                </c:pt>
                <c:pt idx="57">
                  <c:v>8.5999999999999993E-2</c:v>
                </c:pt>
                <c:pt idx="58">
                  <c:v>9.2999999999999999E-2</c:v>
                </c:pt>
                <c:pt idx="59">
                  <c:v>0.108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E29B-4CE4-929F-22FD4CA05C8A}"/>
            </c:ext>
          </c:extLst>
        </c:ser>
        <c:ser>
          <c:idx val="1"/>
          <c:order val="1"/>
          <c:tx>
            <c:strRef>
              <c:f>Calculos_M!$AF$5</c:f>
              <c:strCache>
                <c:ptCount val="1"/>
                <c:pt idx="0">
                  <c:v>Teórico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Calculos_M!$S$6:$S$29</c:f>
              <c:numCache>
                <c:formatCode>0.000</c:formatCode>
                <c:ptCount val="24"/>
                <c:pt idx="0">
                  <c:v>1.6199999999999999E-2</c:v>
                </c:pt>
                <c:pt idx="1">
                  <c:v>4.5624999999999999E-2</c:v>
                </c:pt>
                <c:pt idx="2">
                  <c:v>7.5050000000000006E-2</c:v>
                </c:pt>
                <c:pt idx="3">
                  <c:v>0.10447500000000001</c:v>
                </c:pt>
                <c:pt idx="4">
                  <c:v>0.13390000000000002</c:v>
                </c:pt>
                <c:pt idx="5">
                  <c:v>0.16332500000000003</c:v>
                </c:pt>
                <c:pt idx="6">
                  <c:v>0.19275000000000003</c:v>
                </c:pt>
                <c:pt idx="7">
                  <c:v>0.22217500000000004</c:v>
                </c:pt>
                <c:pt idx="8">
                  <c:v>0.25160000000000005</c:v>
                </c:pt>
                <c:pt idx="9">
                  <c:v>0.28102500000000002</c:v>
                </c:pt>
                <c:pt idx="10">
                  <c:v>0.31045</c:v>
                </c:pt>
                <c:pt idx="11">
                  <c:v>0.33987499999999998</c:v>
                </c:pt>
                <c:pt idx="12">
                  <c:v>0.36929999999999996</c:v>
                </c:pt>
                <c:pt idx="13">
                  <c:v>0.39872499999999994</c:v>
                </c:pt>
                <c:pt idx="14">
                  <c:v>0.42814999999999992</c:v>
                </c:pt>
                <c:pt idx="15">
                  <c:v>0.4575749999999999</c:v>
                </c:pt>
                <c:pt idx="16">
                  <c:v>0.48699999999999988</c:v>
                </c:pt>
                <c:pt idx="17">
                  <c:v>0.51642499999999991</c:v>
                </c:pt>
                <c:pt idx="18">
                  <c:v>0.54584999999999995</c:v>
                </c:pt>
                <c:pt idx="19">
                  <c:v>0.57527499999999998</c:v>
                </c:pt>
                <c:pt idx="20">
                  <c:v>0.60470000000000002</c:v>
                </c:pt>
                <c:pt idx="21">
                  <c:v>0.63412500000000005</c:v>
                </c:pt>
                <c:pt idx="22">
                  <c:v>0</c:v>
                </c:pt>
                <c:pt idx="23">
                  <c:v>2.9425E-2</c:v>
                </c:pt>
              </c:numCache>
            </c:numRef>
          </c:xVal>
          <c:yVal>
            <c:numRef>
              <c:f>Calculos_M!$T$6:$T$29</c:f>
              <c:numCache>
                <c:formatCode>0.000</c:formatCode>
                <c:ptCount val="24"/>
                <c:pt idx="0">
                  <c:v>1.6199999999999999E-2</c:v>
                </c:pt>
                <c:pt idx="1">
                  <c:v>4.5624999999999999E-2</c:v>
                </c:pt>
                <c:pt idx="2">
                  <c:v>7.5050000000000006E-2</c:v>
                </c:pt>
                <c:pt idx="3">
                  <c:v>0.10447500000000001</c:v>
                </c:pt>
                <c:pt idx="4">
                  <c:v>0.13390000000000002</c:v>
                </c:pt>
                <c:pt idx="5">
                  <c:v>0.16332500000000003</c:v>
                </c:pt>
                <c:pt idx="6">
                  <c:v>0.19275000000000003</c:v>
                </c:pt>
                <c:pt idx="7">
                  <c:v>0.22217500000000004</c:v>
                </c:pt>
                <c:pt idx="8">
                  <c:v>0.25160000000000005</c:v>
                </c:pt>
                <c:pt idx="9">
                  <c:v>0.28102500000000002</c:v>
                </c:pt>
                <c:pt idx="10">
                  <c:v>0.31045</c:v>
                </c:pt>
                <c:pt idx="11">
                  <c:v>0.33987499999999998</c:v>
                </c:pt>
                <c:pt idx="12">
                  <c:v>0.36929999999999996</c:v>
                </c:pt>
                <c:pt idx="13">
                  <c:v>0.39872499999999994</c:v>
                </c:pt>
                <c:pt idx="14">
                  <c:v>0.42814999999999992</c:v>
                </c:pt>
                <c:pt idx="15">
                  <c:v>0.4575749999999999</c:v>
                </c:pt>
                <c:pt idx="16">
                  <c:v>0.48699999999999988</c:v>
                </c:pt>
                <c:pt idx="17">
                  <c:v>0.51642499999999991</c:v>
                </c:pt>
                <c:pt idx="18">
                  <c:v>0.54584999999999995</c:v>
                </c:pt>
                <c:pt idx="19">
                  <c:v>0.57527499999999998</c:v>
                </c:pt>
                <c:pt idx="20">
                  <c:v>0.60470000000000002</c:v>
                </c:pt>
                <c:pt idx="21">
                  <c:v>0.63412500000000005</c:v>
                </c:pt>
                <c:pt idx="22">
                  <c:v>0</c:v>
                </c:pt>
                <c:pt idx="23">
                  <c:v>2.9425E-2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2-E29B-4CE4-929F-22FD4CA05C8A}"/>
            </c:ext>
          </c:extLst>
        </c:ser>
        <c:ser>
          <c:idx val="2"/>
          <c:order val="2"/>
          <c:tx>
            <c:strRef>
              <c:f>Calculos_M!$AG$4</c:f>
              <c:strCache>
                <c:ptCount val="1"/>
                <c:pt idx="0">
                  <c:v>INFERIOR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Calculos_M!$U$6:$U$29</c:f>
              <c:numCache>
                <c:formatCode>0.000</c:formatCode>
                <c:ptCount val="24"/>
                <c:pt idx="0">
                  <c:v>-1.6316250000000004E-2</c:v>
                </c:pt>
                <c:pt idx="1">
                  <c:v>1.3108749999999995E-2</c:v>
                </c:pt>
                <c:pt idx="2">
                  <c:v>4.2533750000000002E-2</c:v>
                </c:pt>
                <c:pt idx="3">
                  <c:v>7.1958750000000016E-2</c:v>
                </c:pt>
                <c:pt idx="4">
                  <c:v>0.10138375000000002</c:v>
                </c:pt>
                <c:pt idx="5">
                  <c:v>0.13080875000000003</c:v>
                </c:pt>
                <c:pt idx="6">
                  <c:v>0.16023375000000004</c:v>
                </c:pt>
                <c:pt idx="7">
                  <c:v>0.18965875000000004</c:v>
                </c:pt>
                <c:pt idx="8">
                  <c:v>0.21908375000000005</c:v>
                </c:pt>
                <c:pt idx="9">
                  <c:v>0.24850875000000003</c:v>
                </c:pt>
                <c:pt idx="10">
                  <c:v>0.27793374999999998</c:v>
                </c:pt>
                <c:pt idx="11">
                  <c:v>0.30735874999999996</c:v>
                </c:pt>
                <c:pt idx="12">
                  <c:v>0.33678374999999994</c:v>
                </c:pt>
                <c:pt idx="13">
                  <c:v>0.36620874999999992</c:v>
                </c:pt>
                <c:pt idx="14">
                  <c:v>0.3956337499999999</c:v>
                </c:pt>
                <c:pt idx="15">
                  <c:v>0.42505874999999987</c:v>
                </c:pt>
                <c:pt idx="16">
                  <c:v>0.45448374999999985</c:v>
                </c:pt>
                <c:pt idx="17">
                  <c:v>0.48390874999999989</c:v>
                </c:pt>
                <c:pt idx="18">
                  <c:v>0.51333374999999992</c:v>
                </c:pt>
                <c:pt idx="19">
                  <c:v>0.54275874999999996</c:v>
                </c:pt>
                <c:pt idx="20">
                  <c:v>0.57218374999999999</c:v>
                </c:pt>
                <c:pt idx="21">
                  <c:v>0.60160875000000003</c:v>
                </c:pt>
                <c:pt idx="22">
                  <c:v>-3.2516250000000003E-2</c:v>
                </c:pt>
                <c:pt idx="23">
                  <c:v>-3.0912500000000037E-3</c:v>
                </c:pt>
              </c:numCache>
            </c:numRef>
          </c:xVal>
          <c:yVal>
            <c:numRef>
              <c:f>Calculos_M!$V$6:$V$29</c:f>
              <c:numCache>
                <c:formatCode>0.000</c:formatCode>
                <c:ptCount val="24"/>
                <c:pt idx="0">
                  <c:v>1.6199999999999999E-2</c:v>
                </c:pt>
                <c:pt idx="1">
                  <c:v>4.5624999999999999E-2</c:v>
                </c:pt>
                <c:pt idx="2">
                  <c:v>7.5050000000000006E-2</c:v>
                </c:pt>
                <c:pt idx="3">
                  <c:v>0.10447500000000001</c:v>
                </c:pt>
                <c:pt idx="4">
                  <c:v>0.13390000000000002</c:v>
                </c:pt>
                <c:pt idx="5">
                  <c:v>0.16332500000000003</c:v>
                </c:pt>
                <c:pt idx="6">
                  <c:v>0.19275000000000003</c:v>
                </c:pt>
                <c:pt idx="7">
                  <c:v>0.22217500000000004</c:v>
                </c:pt>
                <c:pt idx="8">
                  <c:v>0.25160000000000005</c:v>
                </c:pt>
                <c:pt idx="9">
                  <c:v>0.28102500000000002</c:v>
                </c:pt>
                <c:pt idx="10">
                  <c:v>0.31045</c:v>
                </c:pt>
                <c:pt idx="11">
                  <c:v>0.33987499999999998</c:v>
                </c:pt>
                <c:pt idx="12">
                  <c:v>0.36929999999999996</c:v>
                </c:pt>
                <c:pt idx="13">
                  <c:v>0.39872499999999994</c:v>
                </c:pt>
                <c:pt idx="14">
                  <c:v>0.42814999999999992</c:v>
                </c:pt>
                <c:pt idx="15">
                  <c:v>0.4575749999999999</c:v>
                </c:pt>
                <c:pt idx="16">
                  <c:v>0.48699999999999988</c:v>
                </c:pt>
                <c:pt idx="17">
                  <c:v>0.51642499999999991</c:v>
                </c:pt>
                <c:pt idx="18">
                  <c:v>0.54584999999999995</c:v>
                </c:pt>
                <c:pt idx="19">
                  <c:v>0.57527499999999998</c:v>
                </c:pt>
                <c:pt idx="20">
                  <c:v>0.60470000000000002</c:v>
                </c:pt>
                <c:pt idx="21">
                  <c:v>0.63412500000000005</c:v>
                </c:pt>
                <c:pt idx="22">
                  <c:v>0</c:v>
                </c:pt>
                <c:pt idx="23">
                  <c:v>2.9425E-2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4-E29B-4CE4-929F-22FD4CA05C8A}"/>
            </c:ext>
          </c:extLst>
        </c:ser>
        <c:ser>
          <c:idx val="3"/>
          <c:order val="3"/>
          <c:tx>
            <c:strRef>
              <c:f>Calculos_M!$AI$4</c:f>
              <c:strCache>
                <c:ptCount val="1"/>
                <c:pt idx="0">
                  <c:v>SUPERIOR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Calculos_M!$W$6:$W$29</c:f>
              <c:numCache>
                <c:formatCode>0.000</c:formatCode>
                <c:ptCount val="24"/>
                <c:pt idx="0">
                  <c:v>4.8716250000000003E-2</c:v>
                </c:pt>
                <c:pt idx="1">
                  <c:v>7.8141249999999995E-2</c:v>
                </c:pt>
                <c:pt idx="2">
                  <c:v>0.10756625</c:v>
                </c:pt>
                <c:pt idx="3">
                  <c:v>0.13699125000000001</c:v>
                </c:pt>
                <c:pt idx="4">
                  <c:v>0.16641625000000002</c:v>
                </c:pt>
                <c:pt idx="5">
                  <c:v>0.19584125000000002</c:v>
                </c:pt>
                <c:pt idx="6">
                  <c:v>0.22526625000000003</c:v>
                </c:pt>
                <c:pt idx="7">
                  <c:v>0.25469125000000004</c:v>
                </c:pt>
                <c:pt idx="8">
                  <c:v>0.28411625000000007</c:v>
                </c:pt>
                <c:pt idx="9">
                  <c:v>0.31354125000000005</c:v>
                </c:pt>
                <c:pt idx="10">
                  <c:v>0.34296625000000003</c:v>
                </c:pt>
                <c:pt idx="11">
                  <c:v>0.37239125000000001</c:v>
                </c:pt>
                <c:pt idx="12">
                  <c:v>0.40181624999999999</c:v>
                </c:pt>
                <c:pt idx="13">
                  <c:v>0.43124124999999996</c:v>
                </c:pt>
                <c:pt idx="14">
                  <c:v>0.46066624999999994</c:v>
                </c:pt>
                <c:pt idx="15">
                  <c:v>0.49009124999999992</c:v>
                </c:pt>
                <c:pt idx="16">
                  <c:v>0.5195162499999999</c:v>
                </c:pt>
                <c:pt idx="17">
                  <c:v>0.54894124999999994</c:v>
                </c:pt>
                <c:pt idx="18">
                  <c:v>0.57836624999999997</c:v>
                </c:pt>
                <c:pt idx="19">
                  <c:v>0.60779125000000001</c:v>
                </c:pt>
                <c:pt idx="20">
                  <c:v>0.63721625000000004</c:v>
                </c:pt>
                <c:pt idx="21">
                  <c:v>0.66664125000000007</c:v>
                </c:pt>
                <c:pt idx="22">
                  <c:v>3.2516250000000003E-2</c:v>
                </c:pt>
                <c:pt idx="23">
                  <c:v>6.1941250000000003E-2</c:v>
                </c:pt>
              </c:numCache>
            </c:numRef>
          </c:xVal>
          <c:yVal>
            <c:numRef>
              <c:f>Calculos_M!$X$6:$X$29</c:f>
              <c:numCache>
                <c:formatCode>0.000</c:formatCode>
                <c:ptCount val="24"/>
                <c:pt idx="0">
                  <c:v>1.6199999999999999E-2</c:v>
                </c:pt>
                <c:pt idx="1">
                  <c:v>4.5624999999999999E-2</c:v>
                </c:pt>
                <c:pt idx="2">
                  <c:v>7.5050000000000006E-2</c:v>
                </c:pt>
                <c:pt idx="3">
                  <c:v>0.10447500000000001</c:v>
                </c:pt>
                <c:pt idx="4">
                  <c:v>0.13390000000000002</c:v>
                </c:pt>
                <c:pt idx="5">
                  <c:v>0.16332500000000003</c:v>
                </c:pt>
                <c:pt idx="6">
                  <c:v>0.19275000000000003</c:v>
                </c:pt>
                <c:pt idx="7">
                  <c:v>0.22217500000000004</c:v>
                </c:pt>
                <c:pt idx="8">
                  <c:v>0.25160000000000005</c:v>
                </c:pt>
                <c:pt idx="9">
                  <c:v>0.28102500000000002</c:v>
                </c:pt>
                <c:pt idx="10">
                  <c:v>0.31045</c:v>
                </c:pt>
                <c:pt idx="11">
                  <c:v>0.33987499999999998</c:v>
                </c:pt>
                <c:pt idx="12">
                  <c:v>0.36929999999999996</c:v>
                </c:pt>
                <c:pt idx="13">
                  <c:v>0.39872499999999994</c:v>
                </c:pt>
                <c:pt idx="14">
                  <c:v>0.42814999999999992</c:v>
                </c:pt>
                <c:pt idx="15">
                  <c:v>0.4575749999999999</c:v>
                </c:pt>
                <c:pt idx="16">
                  <c:v>0.48699999999999988</c:v>
                </c:pt>
                <c:pt idx="17">
                  <c:v>0.51642499999999991</c:v>
                </c:pt>
                <c:pt idx="18">
                  <c:v>0.54584999999999995</c:v>
                </c:pt>
                <c:pt idx="19">
                  <c:v>0.57527499999999998</c:v>
                </c:pt>
                <c:pt idx="20">
                  <c:v>0.60470000000000002</c:v>
                </c:pt>
                <c:pt idx="21">
                  <c:v>0.63412500000000005</c:v>
                </c:pt>
                <c:pt idx="22">
                  <c:v>0</c:v>
                </c:pt>
                <c:pt idx="23">
                  <c:v>2.9425E-2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6-E29B-4CE4-929F-22FD4CA05C8A}"/>
            </c:ext>
          </c:extLst>
        </c:ser>
        <c:ser>
          <c:idx val="4"/>
          <c:order val="4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TABLA_M!$AF$64</c:f>
              <c:numCache>
                <c:formatCode>0.000</c:formatCode>
                <c:ptCount val="1"/>
                <c:pt idx="0">
                  <c:v>7.5125448405742645E-2</c:v>
                </c:pt>
              </c:numCache>
            </c:numRef>
          </c:xVal>
          <c:yVal>
            <c:numRef>
              <c:f>TABLA_M!$AG$64</c:f>
              <c:numCache>
                <c:formatCode>0.000</c:formatCode>
                <c:ptCount val="1"/>
                <c:pt idx="0">
                  <c:v>7.1999999999999995E-2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7-E29B-4CE4-929F-22FD4CA05C8A}"/>
            </c:ext>
          </c:extLst>
        </c:ser>
        <c:ser>
          <c:idx val="5"/>
          <c:order val="5"/>
          <c:tx>
            <c:v>H LAB AC</c:v>
          </c:tx>
          <c:spPr>
            <a:solidFill>
              <a:srgbClr val="FF000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xVal>
            <c:numRef>
              <c:f>TABLA_M!$AF$65</c:f>
            </c:numRef>
          </c:xVal>
          <c:yVal>
            <c:numRef>
              <c:f>TABLA_M!$AG$65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bubbleSize>
            <c:numLit>
              <c:formatCode>General</c:formatCode>
              <c:ptCount val="5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8-E29B-4CE4-929F-22FD4CA05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"/>
        <c:showNegBubbles val="0"/>
        <c:axId val="344196392"/>
        <c:axId val="344192472"/>
      </c:bubbleChart>
      <c:valAx>
        <c:axId val="344196392"/>
        <c:scaling>
          <c:orientation val="minMax"/>
          <c:max val="0.70000000000000007"/>
          <c:min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COURIER</a:t>
                </a:r>
              </a:p>
            </c:rich>
          </c:tx>
          <c:layout>
            <c:manualLayout>
              <c:xMode val="edge"/>
              <c:yMode val="edge"/>
              <c:x val="0.48258507215614016"/>
              <c:y val="0.93097355133759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2472"/>
        <c:crosses val="autoZero"/>
        <c:crossBetween val="midCat"/>
      </c:valAx>
      <c:valAx>
        <c:axId val="344192472"/>
        <c:scaling>
          <c:orientation val="minMax"/>
          <c:max val="0.70000000000000007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LABORATORIO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4196392"/>
        <c:crosses val="autoZero"/>
        <c:crossBetween val="midCat"/>
      </c:valAx>
      <c:spPr>
        <a:noFill/>
        <a:ln w="9525"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 ULT LIMPIEZA- PLANTA DE MOLIBDENO (%Cu)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437324549"/>
          <c:y val="0.11615740740740743"/>
          <c:w val="0.83065193155732542"/>
          <c:h val="0.69253204514304334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TABLA_M!$AV$3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TABLA_M!$B$4:$B$63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TABLA_M!$AV$4:$AV$63</c:f>
              <c:numCache>
                <c:formatCode>0.000</c:formatCode>
                <c:ptCount val="60"/>
                <c:pt idx="0">
                  <c:v>-6.417796325683589E-2</c:v>
                </c:pt>
                <c:pt idx="1">
                  <c:v>0.43470202755928045</c:v>
                </c:pt>
                <c:pt idx="2">
                  <c:v>0.29112839984893801</c:v>
                </c:pt>
                <c:pt idx="3">
                  <c:v>0.18412839984893803</c:v>
                </c:pt>
                <c:pt idx="4">
                  <c:v>0.3114355955123902</c:v>
                </c:pt>
                <c:pt idx="5">
                  <c:v>-6.9983330726623549E-2</c:v>
                </c:pt>
                <c:pt idx="6">
                  <c:v>9.2889567375183058E-2</c:v>
                </c:pt>
                <c:pt idx="7">
                  <c:v>0.31712797594070441</c:v>
                </c:pt>
                <c:pt idx="8">
                  <c:v>0.11167297697067258</c:v>
                </c:pt>
                <c:pt idx="9">
                  <c:v>-0.38304660463333129</c:v>
                </c:pt>
                <c:pt idx="10">
                  <c:v>-0.41529506587982179</c:v>
                </c:pt>
                <c:pt idx="11">
                  <c:v>-0.16200890207290647</c:v>
                </c:pt>
                <c:pt idx="12">
                  <c:v>-0.11794796705245969</c:v>
                </c:pt>
                <c:pt idx="13">
                  <c:v>0.26932790088653569</c:v>
                </c:pt>
                <c:pt idx="14">
                  <c:v>0</c:v>
                </c:pt>
                <c:pt idx="15">
                  <c:v>0.14699062967300414</c:v>
                </c:pt>
                <c:pt idx="16">
                  <c:v>0</c:v>
                </c:pt>
                <c:pt idx="17">
                  <c:v>1.6109906296730041</c:v>
                </c:pt>
                <c:pt idx="18">
                  <c:v>-9.4324283123016328E-2</c:v>
                </c:pt>
                <c:pt idx="19">
                  <c:v>5.5349160194396951E-2</c:v>
                </c:pt>
                <c:pt idx="20">
                  <c:v>-6.1683158874511701E-2</c:v>
                </c:pt>
                <c:pt idx="21">
                  <c:v>0.27970417642593381</c:v>
                </c:pt>
                <c:pt idx="22">
                  <c:v>7.4936953067779588E-2</c:v>
                </c:pt>
                <c:pt idx="23">
                  <c:v>-0.15524614381790158</c:v>
                </c:pt>
                <c:pt idx="24">
                  <c:v>-0.33241354703903203</c:v>
                </c:pt>
                <c:pt idx="25">
                  <c:v>-0.23411351490020749</c:v>
                </c:pt>
                <c:pt idx="26">
                  <c:v>0</c:v>
                </c:pt>
                <c:pt idx="27">
                  <c:v>-0.31449008560180663</c:v>
                </c:pt>
                <c:pt idx="28">
                  <c:v>-0.26030465364456179</c:v>
                </c:pt>
                <c:pt idx="29">
                  <c:v>-0.19246652698516847</c:v>
                </c:pt>
                <c:pt idx="30">
                  <c:v>-0.13100110626220701</c:v>
                </c:pt>
                <c:pt idx="31">
                  <c:v>-7.2317894458770737E-2</c:v>
                </c:pt>
                <c:pt idx="32">
                  <c:v>0.2075758168697357</c:v>
                </c:pt>
                <c:pt idx="33">
                  <c:v>3.7788257598877495E-3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0.10975346636772154</c:v>
                </c:pt>
                <c:pt idx="38">
                  <c:v>0</c:v>
                </c:pt>
                <c:pt idx="39">
                  <c:v>4.0447943210601855E-2</c:v>
                </c:pt>
                <c:pt idx="40">
                  <c:v>0.41628572845458989</c:v>
                </c:pt>
                <c:pt idx="41">
                  <c:v>4.1832633018493603E-2</c:v>
                </c:pt>
                <c:pt idx="42">
                  <c:v>-0.1542314953804016</c:v>
                </c:pt>
                <c:pt idx="43">
                  <c:v>-7.9231495380401584E-2</c:v>
                </c:pt>
                <c:pt idx="44">
                  <c:v>-0.17800951051712038</c:v>
                </c:pt>
                <c:pt idx="45">
                  <c:v>2.3522056102752709E-2</c:v>
                </c:pt>
                <c:pt idx="46">
                  <c:v>3.0761194229123046E-4</c:v>
                </c:pt>
                <c:pt idx="47">
                  <c:v>-0.13973463582992551</c:v>
                </c:pt>
                <c:pt idx="48">
                  <c:v>4.0036181449890185E-2</c:v>
                </c:pt>
                <c:pt idx="49">
                  <c:v>-0.12930835723876954</c:v>
                </c:pt>
                <c:pt idx="50">
                  <c:v>-0.10169217777252193</c:v>
                </c:pt>
                <c:pt idx="51">
                  <c:v>-4.6818674087524381E-2</c:v>
                </c:pt>
                <c:pt idx="52">
                  <c:v>-0.17063550996780397</c:v>
                </c:pt>
                <c:pt idx="53">
                  <c:v>0.10913403654098508</c:v>
                </c:pt>
                <c:pt idx="54">
                  <c:v>0</c:v>
                </c:pt>
                <c:pt idx="55">
                  <c:v>7.1793622016906755E-2</c:v>
                </c:pt>
                <c:pt idx="56">
                  <c:v>-0.25512490367889407</c:v>
                </c:pt>
                <c:pt idx="57">
                  <c:v>-0.14907480525970462</c:v>
                </c:pt>
                <c:pt idx="58">
                  <c:v>-0.15120120096206668</c:v>
                </c:pt>
                <c:pt idx="59">
                  <c:v>-0.1405895562171936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6C-47D6-B83A-3B5B100072D9}"/>
            </c:ext>
          </c:extLst>
        </c:ser>
        <c:ser>
          <c:idx val="1"/>
          <c:order val="1"/>
          <c:tx>
            <c:strRef>
              <c:f>TABLA!$BC$3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TABLA_M!$AZ$4:$AZ$64</c:f>
              <c:numCache>
                <c:formatCode>0.000</c:formatCode>
                <c:ptCount val="61"/>
                <c:pt idx="0">
                  <c:v>-8.3191193181818196E-2</c:v>
                </c:pt>
                <c:pt idx="1">
                  <c:v>-8.3191193181818196E-2</c:v>
                </c:pt>
                <c:pt idx="2">
                  <c:v>-8.3191193181818196E-2</c:v>
                </c:pt>
                <c:pt idx="3">
                  <c:v>-8.3191193181818196E-2</c:v>
                </c:pt>
                <c:pt idx="4">
                  <c:v>-8.3191193181818196E-2</c:v>
                </c:pt>
                <c:pt idx="5">
                  <c:v>-8.3191193181818196E-2</c:v>
                </c:pt>
                <c:pt idx="6">
                  <c:v>-8.3191193181818196E-2</c:v>
                </c:pt>
                <c:pt idx="7">
                  <c:v>-8.3191193181818196E-2</c:v>
                </c:pt>
                <c:pt idx="8">
                  <c:v>-8.3191193181818196E-2</c:v>
                </c:pt>
                <c:pt idx="9">
                  <c:v>-8.3191193181818196E-2</c:v>
                </c:pt>
                <c:pt idx="10">
                  <c:v>-8.3191193181818196E-2</c:v>
                </c:pt>
                <c:pt idx="11">
                  <c:v>-8.3191193181818196E-2</c:v>
                </c:pt>
                <c:pt idx="12">
                  <c:v>-8.3191193181818196E-2</c:v>
                </c:pt>
                <c:pt idx="13">
                  <c:v>-8.3191193181818196E-2</c:v>
                </c:pt>
                <c:pt idx="14">
                  <c:v>-8.3191193181818196E-2</c:v>
                </c:pt>
                <c:pt idx="15">
                  <c:v>-8.3191193181818196E-2</c:v>
                </c:pt>
                <c:pt idx="16">
                  <c:v>-8.3191193181818196E-2</c:v>
                </c:pt>
                <c:pt idx="17">
                  <c:v>-8.3191193181818196E-2</c:v>
                </c:pt>
                <c:pt idx="18">
                  <c:v>-8.3191193181818196E-2</c:v>
                </c:pt>
                <c:pt idx="19">
                  <c:v>-8.3191193181818196E-2</c:v>
                </c:pt>
                <c:pt idx="20">
                  <c:v>-8.3191193181818196E-2</c:v>
                </c:pt>
                <c:pt idx="21">
                  <c:v>-8.3191193181818196E-2</c:v>
                </c:pt>
                <c:pt idx="22">
                  <c:v>-8.3191193181818196E-2</c:v>
                </c:pt>
                <c:pt idx="23">
                  <c:v>-8.3191193181818196E-2</c:v>
                </c:pt>
                <c:pt idx="24">
                  <c:v>-8.3191193181818196E-2</c:v>
                </c:pt>
                <c:pt idx="25">
                  <c:v>-8.3191193181818196E-2</c:v>
                </c:pt>
                <c:pt idx="26">
                  <c:v>-8.3191193181818196E-2</c:v>
                </c:pt>
                <c:pt idx="27">
                  <c:v>-8.3191193181818196E-2</c:v>
                </c:pt>
                <c:pt idx="28">
                  <c:v>-8.3191193181818196E-2</c:v>
                </c:pt>
                <c:pt idx="29">
                  <c:v>-8.3191193181818196E-2</c:v>
                </c:pt>
                <c:pt idx="30">
                  <c:v>-8.3191193181818196E-2</c:v>
                </c:pt>
                <c:pt idx="31">
                  <c:v>-8.3191193181818196E-2</c:v>
                </c:pt>
                <c:pt idx="32">
                  <c:v>-8.3191193181818196E-2</c:v>
                </c:pt>
                <c:pt idx="33">
                  <c:v>-8.3191193181818196E-2</c:v>
                </c:pt>
                <c:pt idx="34">
                  <c:v>-8.3191193181818196E-2</c:v>
                </c:pt>
                <c:pt idx="35">
                  <c:v>-8.3191193181818196E-2</c:v>
                </c:pt>
                <c:pt idx="36">
                  <c:v>-8.3191193181818196E-2</c:v>
                </c:pt>
                <c:pt idx="37">
                  <c:v>-8.3191193181818196E-2</c:v>
                </c:pt>
                <c:pt idx="38">
                  <c:v>-8.3191193181818196E-2</c:v>
                </c:pt>
                <c:pt idx="39">
                  <c:v>-8.3191193181818196E-2</c:v>
                </c:pt>
                <c:pt idx="40">
                  <c:v>-8.3191193181818196E-2</c:v>
                </c:pt>
                <c:pt idx="41">
                  <c:v>-8.3191193181818196E-2</c:v>
                </c:pt>
                <c:pt idx="42">
                  <c:v>-8.3191193181818196E-2</c:v>
                </c:pt>
                <c:pt idx="43">
                  <c:v>-8.3191193181818196E-2</c:v>
                </c:pt>
                <c:pt idx="44">
                  <c:v>-8.3191193181818196E-2</c:v>
                </c:pt>
                <c:pt idx="45">
                  <c:v>-8.3191193181818196E-2</c:v>
                </c:pt>
                <c:pt idx="46">
                  <c:v>-8.3191193181818196E-2</c:v>
                </c:pt>
                <c:pt idx="47">
                  <c:v>-8.3191193181818196E-2</c:v>
                </c:pt>
                <c:pt idx="48">
                  <c:v>-8.3191193181818196E-2</c:v>
                </c:pt>
                <c:pt idx="49">
                  <c:v>-8.3191193181818196E-2</c:v>
                </c:pt>
                <c:pt idx="50">
                  <c:v>-8.3191193181818196E-2</c:v>
                </c:pt>
                <c:pt idx="51">
                  <c:v>-8.3191193181818196E-2</c:v>
                </c:pt>
                <c:pt idx="52">
                  <c:v>-8.3191193181818196E-2</c:v>
                </c:pt>
                <c:pt idx="53">
                  <c:v>-8.3191193181818196E-2</c:v>
                </c:pt>
                <c:pt idx="54">
                  <c:v>-8.3191193181818196E-2</c:v>
                </c:pt>
                <c:pt idx="55">
                  <c:v>-8.3191193181818196E-2</c:v>
                </c:pt>
                <c:pt idx="56">
                  <c:v>-8.3191193181818196E-2</c:v>
                </c:pt>
                <c:pt idx="57">
                  <c:v>-8.3191193181818196E-2</c:v>
                </c:pt>
                <c:pt idx="58">
                  <c:v>-8.3191193181818196E-2</c:v>
                </c:pt>
                <c:pt idx="59">
                  <c:v>-8.3191193181818196E-2</c:v>
                </c:pt>
                <c:pt idx="60">
                  <c:v>-8.3191193181818196E-2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6C-47D6-B83A-3B5B100072D9}"/>
            </c:ext>
          </c:extLst>
        </c:ser>
        <c:ser>
          <c:idx val="2"/>
          <c:order val="2"/>
          <c:tx>
            <c:strRef>
              <c:f>TABLA!$BB$3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TABLA_M!$AY$4:$AY$64</c:f>
              <c:numCache>
                <c:formatCode>0.000</c:formatCode>
                <c:ptCount val="61"/>
                <c:pt idx="0">
                  <c:v>8.3191193181818196E-2</c:v>
                </c:pt>
                <c:pt idx="1">
                  <c:v>8.3191193181818196E-2</c:v>
                </c:pt>
                <c:pt idx="2">
                  <c:v>8.3191193181818196E-2</c:v>
                </c:pt>
                <c:pt idx="3">
                  <c:v>8.3191193181818196E-2</c:v>
                </c:pt>
                <c:pt idx="4">
                  <c:v>8.3191193181818196E-2</c:v>
                </c:pt>
                <c:pt idx="5">
                  <c:v>8.3191193181818196E-2</c:v>
                </c:pt>
                <c:pt idx="6">
                  <c:v>8.3191193181818196E-2</c:v>
                </c:pt>
                <c:pt idx="7">
                  <c:v>8.3191193181818196E-2</c:v>
                </c:pt>
                <c:pt idx="8">
                  <c:v>8.3191193181818196E-2</c:v>
                </c:pt>
                <c:pt idx="9">
                  <c:v>8.3191193181818196E-2</c:v>
                </c:pt>
                <c:pt idx="10">
                  <c:v>8.3191193181818196E-2</c:v>
                </c:pt>
                <c:pt idx="11">
                  <c:v>8.3191193181818196E-2</c:v>
                </c:pt>
                <c:pt idx="12">
                  <c:v>8.3191193181818196E-2</c:v>
                </c:pt>
                <c:pt idx="13">
                  <c:v>8.3191193181818196E-2</c:v>
                </c:pt>
                <c:pt idx="14">
                  <c:v>8.3191193181818196E-2</c:v>
                </c:pt>
                <c:pt idx="15">
                  <c:v>8.3191193181818196E-2</c:v>
                </c:pt>
                <c:pt idx="16">
                  <c:v>8.3191193181818196E-2</c:v>
                </c:pt>
                <c:pt idx="17">
                  <c:v>8.3191193181818196E-2</c:v>
                </c:pt>
                <c:pt idx="18">
                  <c:v>8.3191193181818196E-2</c:v>
                </c:pt>
                <c:pt idx="19">
                  <c:v>8.3191193181818196E-2</c:v>
                </c:pt>
                <c:pt idx="20">
                  <c:v>8.3191193181818196E-2</c:v>
                </c:pt>
                <c:pt idx="21">
                  <c:v>8.3191193181818196E-2</c:v>
                </c:pt>
                <c:pt idx="22">
                  <c:v>8.3191193181818196E-2</c:v>
                </c:pt>
                <c:pt idx="23">
                  <c:v>8.3191193181818196E-2</c:v>
                </c:pt>
                <c:pt idx="24">
                  <c:v>8.3191193181818196E-2</c:v>
                </c:pt>
                <c:pt idx="25">
                  <c:v>8.3191193181818196E-2</c:v>
                </c:pt>
                <c:pt idx="26">
                  <c:v>8.3191193181818196E-2</c:v>
                </c:pt>
                <c:pt idx="27">
                  <c:v>8.3191193181818196E-2</c:v>
                </c:pt>
                <c:pt idx="28">
                  <c:v>8.3191193181818196E-2</c:v>
                </c:pt>
                <c:pt idx="29">
                  <c:v>8.3191193181818196E-2</c:v>
                </c:pt>
                <c:pt idx="30">
                  <c:v>8.3191193181818196E-2</c:v>
                </c:pt>
                <c:pt idx="31">
                  <c:v>8.3191193181818196E-2</c:v>
                </c:pt>
                <c:pt idx="32">
                  <c:v>8.3191193181818196E-2</c:v>
                </c:pt>
                <c:pt idx="33">
                  <c:v>8.3191193181818196E-2</c:v>
                </c:pt>
                <c:pt idx="34">
                  <c:v>8.3191193181818196E-2</c:v>
                </c:pt>
                <c:pt idx="35">
                  <c:v>8.3191193181818196E-2</c:v>
                </c:pt>
                <c:pt idx="36">
                  <c:v>8.3191193181818196E-2</c:v>
                </c:pt>
                <c:pt idx="37">
                  <c:v>8.3191193181818196E-2</c:v>
                </c:pt>
                <c:pt idx="38">
                  <c:v>8.3191193181818196E-2</c:v>
                </c:pt>
                <c:pt idx="39">
                  <c:v>8.3191193181818196E-2</c:v>
                </c:pt>
                <c:pt idx="40">
                  <c:v>8.3191193181818196E-2</c:v>
                </c:pt>
                <c:pt idx="41">
                  <c:v>8.3191193181818196E-2</c:v>
                </c:pt>
                <c:pt idx="42">
                  <c:v>8.3191193181818196E-2</c:v>
                </c:pt>
                <c:pt idx="43">
                  <c:v>8.3191193181818196E-2</c:v>
                </c:pt>
                <c:pt idx="44">
                  <c:v>8.3191193181818196E-2</c:v>
                </c:pt>
                <c:pt idx="45">
                  <c:v>8.3191193181818196E-2</c:v>
                </c:pt>
                <c:pt idx="46">
                  <c:v>8.3191193181818196E-2</c:v>
                </c:pt>
                <c:pt idx="47">
                  <c:v>8.3191193181818196E-2</c:v>
                </c:pt>
                <c:pt idx="48">
                  <c:v>8.3191193181818196E-2</c:v>
                </c:pt>
                <c:pt idx="49">
                  <c:v>8.3191193181818196E-2</c:v>
                </c:pt>
                <c:pt idx="50">
                  <c:v>8.3191193181818196E-2</c:v>
                </c:pt>
                <c:pt idx="51">
                  <c:v>8.3191193181818196E-2</c:v>
                </c:pt>
                <c:pt idx="52">
                  <c:v>8.3191193181818196E-2</c:v>
                </c:pt>
                <c:pt idx="53">
                  <c:v>8.3191193181818196E-2</c:v>
                </c:pt>
                <c:pt idx="54">
                  <c:v>8.3191193181818196E-2</c:v>
                </c:pt>
                <c:pt idx="55">
                  <c:v>8.3191193181818196E-2</c:v>
                </c:pt>
                <c:pt idx="56">
                  <c:v>8.3191193181818196E-2</c:v>
                </c:pt>
                <c:pt idx="57">
                  <c:v>8.3191193181818196E-2</c:v>
                </c:pt>
                <c:pt idx="58">
                  <c:v>8.3191193181818196E-2</c:v>
                </c:pt>
                <c:pt idx="59">
                  <c:v>8.3191193181818196E-2</c:v>
                </c:pt>
                <c:pt idx="60">
                  <c:v>8.3191193181818196E-2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6C-47D6-B83A-3B5B100072D9}"/>
            </c:ext>
          </c:extLst>
        </c:ser>
        <c:ser>
          <c:idx val="3"/>
          <c:order val="3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TABLA_M!$AV$64</c:f>
              <c:numCache>
                <c:formatCode>0.000</c:formatCode>
                <c:ptCount val="1"/>
                <c:pt idx="0">
                  <c:v>-2.7740729331970249E-2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1B-4488-853F-DE14DE83FC99}"/>
            </c:ext>
          </c:extLst>
        </c:ser>
        <c:ser>
          <c:idx val="4"/>
          <c:order val="4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TABLA_M!$AV$65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1B-4488-853F-DE14DE83F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0656"/>
        <c:axId val="342635752"/>
      </c:scatterChart>
      <c:valAx>
        <c:axId val="34263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5752"/>
        <c:crosses val="autoZero"/>
        <c:crossBetween val="midCat"/>
      </c:valAx>
      <c:valAx>
        <c:axId val="342635752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cross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0656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</a:t>
            </a:r>
            <a:r>
              <a:rPr lang="en-US" sz="8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ULT LIMPIEZA</a:t>
            </a: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- PLANTA DE MOLIBDENO (%mO)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28031792"/>
          <c:y val="0.1437995477735684"/>
          <c:w val="0.83065193155732542"/>
          <c:h val="0.68068535438085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TABLA!$BF$3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TABLA_M!$BC$4:$BC$63</c:f>
              <c:numCache>
                <c:formatCode>0.000</c:formatCode>
                <c:ptCount val="60"/>
                <c:pt idx="0">
                  <c:v>0.17197125244140921</c:v>
                </c:pt>
                <c:pt idx="1">
                  <c:v>1.7100967407226548</c:v>
                </c:pt>
                <c:pt idx="2">
                  <c:v>1.3846559143066415</c:v>
                </c:pt>
                <c:pt idx="3">
                  <c:v>1.6286559143066413</c:v>
                </c:pt>
                <c:pt idx="4">
                  <c:v>1.1167027282714841</c:v>
                </c:pt>
                <c:pt idx="5">
                  <c:v>0.82343774414062665</c:v>
                </c:pt>
                <c:pt idx="6">
                  <c:v>1.1944667968749982</c:v>
                </c:pt>
                <c:pt idx="7">
                  <c:v>0.76545620727539188</c:v>
                </c:pt>
                <c:pt idx="8">
                  <c:v>1.6278869628905568E-2</c:v>
                </c:pt>
                <c:pt idx="9">
                  <c:v>0.5517673339843725</c:v>
                </c:pt>
                <c:pt idx="10">
                  <c:v>0.68428311157226318</c:v>
                </c:pt>
                <c:pt idx="11">
                  <c:v>0.49187768554687494</c:v>
                </c:pt>
                <c:pt idx="12">
                  <c:v>1.3473052978518751E-2</c:v>
                </c:pt>
                <c:pt idx="13">
                  <c:v>-1.2521085205078109</c:v>
                </c:pt>
                <c:pt idx="14">
                  <c:v>0</c:v>
                </c:pt>
                <c:pt idx="15">
                  <c:v>-1.0280243835449241</c:v>
                </c:pt>
                <c:pt idx="16">
                  <c:v>0</c:v>
                </c:pt>
                <c:pt idx="17">
                  <c:v>-5.3980243835449215</c:v>
                </c:pt>
                <c:pt idx="18">
                  <c:v>2.8285518798828093</c:v>
                </c:pt>
                <c:pt idx="19">
                  <c:v>3.056297454833981</c:v>
                </c:pt>
                <c:pt idx="20">
                  <c:v>2.5595057678222659</c:v>
                </c:pt>
                <c:pt idx="21">
                  <c:v>1.3437955627441411</c:v>
                </c:pt>
                <c:pt idx="22">
                  <c:v>2.1981539916992219</c:v>
                </c:pt>
                <c:pt idx="23">
                  <c:v>0.39825982666015847</c:v>
                </c:pt>
                <c:pt idx="24">
                  <c:v>1.2420056457519522</c:v>
                </c:pt>
                <c:pt idx="25">
                  <c:v>1.1312559814453138</c:v>
                </c:pt>
                <c:pt idx="26">
                  <c:v>0</c:v>
                </c:pt>
                <c:pt idx="27">
                  <c:v>0.22444854736328068</c:v>
                </c:pt>
                <c:pt idx="28">
                  <c:v>0.93959835815429926</c:v>
                </c:pt>
                <c:pt idx="29">
                  <c:v>0.8050346679687479</c:v>
                </c:pt>
                <c:pt idx="30">
                  <c:v>0.64695086669922119</c:v>
                </c:pt>
                <c:pt idx="31">
                  <c:v>-0.27643661499023153</c:v>
                </c:pt>
                <c:pt idx="32">
                  <c:v>-2.662753082275394</c:v>
                </c:pt>
                <c:pt idx="33">
                  <c:v>-1.7154319763183565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-0.37921453857421739</c:v>
                </c:pt>
                <c:pt idx="38">
                  <c:v>0</c:v>
                </c:pt>
                <c:pt idx="39">
                  <c:v>1.9753975219726527</c:v>
                </c:pt>
                <c:pt idx="40">
                  <c:v>-0.22531652832031313</c:v>
                </c:pt>
                <c:pt idx="41">
                  <c:v>0.95416644287109165</c:v>
                </c:pt>
                <c:pt idx="42">
                  <c:v>0.57163790893554989</c:v>
                </c:pt>
                <c:pt idx="43">
                  <c:v>0.27763790893554585</c:v>
                </c:pt>
                <c:pt idx="44">
                  <c:v>1.5801121520996091</c:v>
                </c:pt>
                <c:pt idx="45">
                  <c:v>1.3265581359863248</c:v>
                </c:pt>
                <c:pt idx="46">
                  <c:v>1.3619768981933618</c:v>
                </c:pt>
                <c:pt idx="47">
                  <c:v>1.5985733032226577</c:v>
                </c:pt>
                <c:pt idx="48">
                  <c:v>-0.11598651123046722</c:v>
                </c:pt>
                <c:pt idx="49">
                  <c:v>1.2145152893066395</c:v>
                </c:pt>
                <c:pt idx="50">
                  <c:v>1.6083836364746062</c:v>
                </c:pt>
                <c:pt idx="51">
                  <c:v>0.50161291503906114</c:v>
                </c:pt>
                <c:pt idx="52">
                  <c:v>-0.39555694580078438</c:v>
                </c:pt>
                <c:pt idx="53">
                  <c:v>-1.1710684204101582</c:v>
                </c:pt>
                <c:pt idx="54">
                  <c:v>0</c:v>
                </c:pt>
                <c:pt idx="55">
                  <c:v>-1.190315093994144</c:v>
                </c:pt>
                <c:pt idx="56">
                  <c:v>0.54724319458007642</c:v>
                </c:pt>
                <c:pt idx="57">
                  <c:v>1.0465656738281268</c:v>
                </c:pt>
                <c:pt idx="58">
                  <c:v>1.4887966613769521</c:v>
                </c:pt>
                <c:pt idx="59">
                  <c:v>0.8858695983886733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3A3-AD23-0F705FAE432E}"/>
            </c:ext>
          </c:extLst>
        </c:ser>
        <c:ser>
          <c:idx val="1"/>
          <c:order val="1"/>
          <c:tx>
            <c:strRef>
              <c:f>TABLA!$BJ$3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TABLA_M!$BG$4:$BG$64</c:f>
              <c:numCache>
                <c:formatCode>0.000</c:formatCode>
                <c:ptCount val="61"/>
                <c:pt idx="0">
                  <c:v>-1.4830847050619838</c:v>
                </c:pt>
                <c:pt idx="1">
                  <c:v>-1.4830847050619838</c:v>
                </c:pt>
                <c:pt idx="2">
                  <c:v>-1.4830847050619838</c:v>
                </c:pt>
                <c:pt idx="3">
                  <c:v>-1.4830847050619838</c:v>
                </c:pt>
                <c:pt idx="4">
                  <c:v>-1.4830847050619838</c:v>
                </c:pt>
                <c:pt idx="5">
                  <c:v>-1.4830847050619838</c:v>
                </c:pt>
                <c:pt idx="6">
                  <c:v>-1.4830847050619838</c:v>
                </c:pt>
                <c:pt idx="7">
                  <c:v>-1.4830847050619838</c:v>
                </c:pt>
                <c:pt idx="8">
                  <c:v>-1.4830847050619838</c:v>
                </c:pt>
                <c:pt idx="9">
                  <c:v>-1.4830847050619838</c:v>
                </c:pt>
                <c:pt idx="10">
                  <c:v>-1.4830847050619838</c:v>
                </c:pt>
                <c:pt idx="11">
                  <c:v>-1.4830847050619838</c:v>
                </c:pt>
                <c:pt idx="12">
                  <c:v>-1.4830847050619838</c:v>
                </c:pt>
                <c:pt idx="13">
                  <c:v>-1.4830847050619838</c:v>
                </c:pt>
                <c:pt idx="14">
                  <c:v>-1.4830847050619838</c:v>
                </c:pt>
                <c:pt idx="15">
                  <c:v>-1.4830847050619838</c:v>
                </c:pt>
                <c:pt idx="16">
                  <c:v>-1.4830847050619838</c:v>
                </c:pt>
                <c:pt idx="17">
                  <c:v>-1.4830847050619838</c:v>
                </c:pt>
                <c:pt idx="18">
                  <c:v>-1.4830847050619838</c:v>
                </c:pt>
                <c:pt idx="19">
                  <c:v>-1.4830847050619838</c:v>
                </c:pt>
                <c:pt idx="20">
                  <c:v>-1.4830847050619838</c:v>
                </c:pt>
                <c:pt idx="21">
                  <c:v>-1.4830847050619838</c:v>
                </c:pt>
                <c:pt idx="22">
                  <c:v>-1.4830847050619838</c:v>
                </c:pt>
                <c:pt idx="23">
                  <c:v>-1.4830847050619838</c:v>
                </c:pt>
                <c:pt idx="24">
                  <c:v>-1.4830847050619838</c:v>
                </c:pt>
                <c:pt idx="25">
                  <c:v>-1.4830847050619838</c:v>
                </c:pt>
                <c:pt idx="26">
                  <c:v>-1.4830847050619838</c:v>
                </c:pt>
                <c:pt idx="27">
                  <c:v>-1.4830847050619838</c:v>
                </c:pt>
                <c:pt idx="28">
                  <c:v>-1.4830847050619838</c:v>
                </c:pt>
                <c:pt idx="29">
                  <c:v>-1.4830847050619838</c:v>
                </c:pt>
                <c:pt idx="30">
                  <c:v>-1.4830847050619838</c:v>
                </c:pt>
                <c:pt idx="31">
                  <c:v>-1.4830847050619838</c:v>
                </c:pt>
                <c:pt idx="32">
                  <c:v>-1.4830847050619838</c:v>
                </c:pt>
                <c:pt idx="33">
                  <c:v>-1.4830847050619838</c:v>
                </c:pt>
                <c:pt idx="34">
                  <c:v>-1.4830847050619838</c:v>
                </c:pt>
                <c:pt idx="35">
                  <c:v>-1.4830847050619838</c:v>
                </c:pt>
                <c:pt idx="36">
                  <c:v>-1.4830847050619838</c:v>
                </c:pt>
                <c:pt idx="37">
                  <c:v>-1.4830847050619838</c:v>
                </c:pt>
                <c:pt idx="38">
                  <c:v>-1.4830847050619838</c:v>
                </c:pt>
                <c:pt idx="39">
                  <c:v>-1.4830847050619838</c:v>
                </c:pt>
                <c:pt idx="40">
                  <c:v>-1.4830847050619838</c:v>
                </c:pt>
                <c:pt idx="41">
                  <c:v>-1.4830847050619838</c:v>
                </c:pt>
                <c:pt idx="42">
                  <c:v>-1.4830847050619838</c:v>
                </c:pt>
                <c:pt idx="43">
                  <c:v>-1.4830847050619838</c:v>
                </c:pt>
                <c:pt idx="44">
                  <c:v>-1.4830847050619838</c:v>
                </c:pt>
                <c:pt idx="45">
                  <c:v>-1.4830847050619838</c:v>
                </c:pt>
                <c:pt idx="46">
                  <c:v>-1.4830847050619838</c:v>
                </c:pt>
                <c:pt idx="47">
                  <c:v>-1.4830847050619838</c:v>
                </c:pt>
                <c:pt idx="48">
                  <c:v>-1.4830847050619838</c:v>
                </c:pt>
                <c:pt idx="49">
                  <c:v>-1.4830847050619838</c:v>
                </c:pt>
                <c:pt idx="50">
                  <c:v>-1.4830847050619838</c:v>
                </c:pt>
                <c:pt idx="51">
                  <c:v>-1.4830847050619838</c:v>
                </c:pt>
                <c:pt idx="52">
                  <c:v>-1.4830847050619838</c:v>
                </c:pt>
                <c:pt idx="53">
                  <c:v>-1.4830847050619838</c:v>
                </c:pt>
                <c:pt idx="54">
                  <c:v>-1.4830847050619838</c:v>
                </c:pt>
                <c:pt idx="55">
                  <c:v>-1.4830847050619838</c:v>
                </c:pt>
                <c:pt idx="56">
                  <c:v>-1.4830847050619838</c:v>
                </c:pt>
                <c:pt idx="57">
                  <c:v>-1.4830847050619838</c:v>
                </c:pt>
                <c:pt idx="58">
                  <c:v>-1.4830847050619838</c:v>
                </c:pt>
                <c:pt idx="59">
                  <c:v>-1.4830847050619838</c:v>
                </c:pt>
                <c:pt idx="60">
                  <c:v>-1.4830847050619838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4B-43A3-AD23-0F705FAE432E}"/>
            </c:ext>
          </c:extLst>
        </c:ser>
        <c:ser>
          <c:idx val="2"/>
          <c:order val="2"/>
          <c:tx>
            <c:strRef>
              <c:f>TABLA!$BI$3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TABLA_M!$BF$4:$BF$64</c:f>
              <c:numCache>
                <c:formatCode>0.000</c:formatCode>
                <c:ptCount val="61"/>
                <c:pt idx="0">
                  <c:v>1.4830847050619838</c:v>
                </c:pt>
                <c:pt idx="1">
                  <c:v>1.4830847050619838</c:v>
                </c:pt>
                <c:pt idx="2">
                  <c:v>1.4830847050619838</c:v>
                </c:pt>
                <c:pt idx="3">
                  <c:v>1.4830847050619838</c:v>
                </c:pt>
                <c:pt idx="4">
                  <c:v>1.4830847050619838</c:v>
                </c:pt>
                <c:pt idx="5">
                  <c:v>1.4830847050619838</c:v>
                </c:pt>
                <c:pt idx="6">
                  <c:v>1.4830847050619838</c:v>
                </c:pt>
                <c:pt idx="7">
                  <c:v>1.4830847050619838</c:v>
                </c:pt>
                <c:pt idx="8">
                  <c:v>1.4830847050619838</c:v>
                </c:pt>
                <c:pt idx="9">
                  <c:v>1.4830847050619838</c:v>
                </c:pt>
                <c:pt idx="10">
                  <c:v>1.4830847050619838</c:v>
                </c:pt>
                <c:pt idx="11">
                  <c:v>1.4830847050619838</c:v>
                </c:pt>
                <c:pt idx="12">
                  <c:v>1.4830847050619838</c:v>
                </c:pt>
                <c:pt idx="13">
                  <c:v>1.4830847050619838</c:v>
                </c:pt>
                <c:pt idx="14">
                  <c:v>1.4830847050619838</c:v>
                </c:pt>
                <c:pt idx="15">
                  <c:v>1.4830847050619838</c:v>
                </c:pt>
                <c:pt idx="16">
                  <c:v>1.4830847050619838</c:v>
                </c:pt>
                <c:pt idx="17">
                  <c:v>1.4830847050619838</c:v>
                </c:pt>
                <c:pt idx="18">
                  <c:v>1.4830847050619838</c:v>
                </c:pt>
                <c:pt idx="19">
                  <c:v>1.4830847050619838</c:v>
                </c:pt>
                <c:pt idx="20">
                  <c:v>1.4830847050619838</c:v>
                </c:pt>
                <c:pt idx="21">
                  <c:v>1.4830847050619838</c:v>
                </c:pt>
                <c:pt idx="22">
                  <c:v>1.4830847050619838</c:v>
                </c:pt>
                <c:pt idx="23">
                  <c:v>1.4830847050619838</c:v>
                </c:pt>
                <c:pt idx="24">
                  <c:v>1.4830847050619838</c:v>
                </c:pt>
                <c:pt idx="25">
                  <c:v>1.4830847050619838</c:v>
                </c:pt>
                <c:pt idx="26">
                  <c:v>1.4830847050619838</c:v>
                </c:pt>
                <c:pt idx="27">
                  <c:v>1.4830847050619838</c:v>
                </c:pt>
                <c:pt idx="28">
                  <c:v>1.4830847050619838</c:v>
                </c:pt>
                <c:pt idx="29">
                  <c:v>1.4830847050619838</c:v>
                </c:pt>
                <c:pt idx="30">
                  <c:v>1.4830847050619838</c:v>
                </c:pt>
                <c:pt idx="31">
                  <c:v>1.4830847050619838</c:v>
                </c:pt>
                <c:pt idx="32">
                  <c:v>1.4830847050619838</c:v>
                </c:pt>
                <c:pt idx="33">
                  <c:v>1.4830847050619838</c:v>
                </c:pt>
                <c:pt idx="34">
                  <c:v>1.4830847050619838</c:v>
                </c:pt>
                <c:pt idx="35">
                  <c:v>1.4830847050619838</c:v>
                </c:pt>
                <c:pt idx="36">
                  <c:v>1.4830847050619838</c:v>
                </c:pt>
                <c:pt idx="37">
                  <c:v>1.4830847050619838</c:v>
                </c:pt>
                <c:pt idx="38">
                  <c:v>1.4830847050619838</c:v>
                </c:pt>
                <c:pt idx="39">
                  <c:v>1.4830847050619838</c:v>
                </c:pt>
                <c:pt idx="40">
                  <c:v>1.4830847050619838</c:v>
                </c:pt>
                <c:pt idx="41">
                  <c:v>1.4830847050619838</c:v>
                </c:pt>
                <c:pt idx="42">
                  <c:v>1.4830847050619838</c:v>
                </c:pt>
                <c:pt idx="43">
                  <c:v>1.4830847050619838</c:v>
                </c:pt>
                <c:pt idx="44">
                  <c:v>1.4830847050619838</c:v>
                </c:pt>
                <c:pt idx="45">
                  <c:v>1.4830847050619838</c:v>
                </c:pt>
                <c:pt idx="46">
                  <c:v>1.4830847050619838</c:v>
                </c:pt>
                <c:pt idx="47">
                  <c:v>1.4830847050619838</c:v>
                </c:pt>
                <c:pt idx="48">
                  <c:v>1.4830847050619838</c:v>
                </c:pt>
                <c:pt idx="49">
                  <c:v>1.4830847050619838</c:v>
                </c:pt>
                <c:pt idx="50">
                  <c:v>1.4830847050619838</c:v>
                </c:pt>
                <c:pt idx="51">
                  <c:v>1.4830847050619838</c:v>
                </c:pt>
                <c:pt idx="52">
                  <c:v>1.4830847050619838</c:v>
                </c:pt>
                <c:pt idx="53">
                  <c:v>1.4830847050619838</c:v>
                </c:pt>
                <c:pt idx="54">
                  <c:v>1.4830847050619838</c:v>
                </c:pt>
                <c:pt idx="55">
                  <c:v>1.4830847050619838</c:v>
                </c:pt>
                <c:pt idx="56">
                  <c:v>1.4830847050619838</c:v>
                </c:pt>
                <c:pt idx="57">
                  <c:v>1.4830847050619838</c:v>
                </c:pt>
                <c:pt idx="58">
                  <c:v>1.4830847050619838</c:v>
                </c:pt>
                <c:pt idx="59">
                  <c:v>1.4830847050619838</c:v>
                </c:pt>
                <c:pt idx="60">
                  <c:v>1.4830847050619838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4B-43A3-AD23-0F705FAE432E}"/>
            </c:ext>
          </c:extLst>
        </c:ser>
        <c:ser>
          <c:idx val="3"/>
          <c:order val="3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TABLA_M!$BC$64</c:f>
              <c:numCache>
                <c:formatCode>0.000</c:formatCode>
                <c:ptCount val="1"/>
                <c:pt idx="0">
                  <c:v>0.88223510742187727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30-450F-8A7C-FDB74F7EB8D4}"/>
            </c:ext>
          </c:extLst>
        </c:ser>
        <c:ser>
          <c:idx val="4"/>
          <c:order val="4"/>
          <c:tx>
            <c:v>dd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C0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TABLA_M!$BC$65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30-450F-8A7C-FDB74F7EB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6928"/>
        <c:axId val="342633008"/>
      </c:scatterChart>
      <c:valAx>
        <c:axId val="34263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3008"/>
        <c:crosses val="autoZero"/>
        <c:crossBetween val="midCat"/>
      </c:valAx>
      <c:valAx>
        <c:axId val="342633008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6928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MOLIBDENO (%Cu)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437324549"/>
          <c:y val="0.11615740740740743"/>
          <c:w val="0.83065193155732542"/>
          <c:h val="0.69253204514304334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TABLA_M!$AV$3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TABLA_M!$B$4:$B$63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TABLA_M!$F$4:$F$63</c:f>
              <c:numCache>
                <c:formatCode>0.000</c:formatCode>
                <c:ptCount val="60"/>
                <c:pt idx="0">
                  <c:v>-1.0080230712890881E-2</c:v>
                </c:pt>
                <c:pt idx="1">
                  <c:v>2.3749197692871107</c:v>
                </c:pt>
                <c:pt idx="2">
                  <c:v>-1.9082793121337893</c:v>
                </c:pt>
                <c:pt idx="3">
                  <c:v>-1.4132793121337883</c:v>
                </c:pt>
                <c:pt idx="4">
                  <c:v>-0.44544799804687329</c:v>
                </c:pt>
                <c:pt idx="5">
                  <c:v>-0.1853721771240231</c:v>
                </c:pt>
                <c:pt idx="6">
                  <c:v>-0.54752073669433443</c:v>
                </c:pt>
                <c:pt idx="7">
                  <c:v>1.9096891937255869</c:v>
                </c:pt>
                <c:pt idx="8">
                  <c:v>1.9475517272949219</c:v>
                </c:pt>
                <c:pt idx="9">
                  <c:v>0.57346109008788915</c:v>
                </c:pt>
                <c:pt idx="10">
                  <c:v>0.2642202148437498</c:v>
                </c:pt>
                <c:pt idx="11">
                  <c:v>1.9482774963378908</c:v>
                </c:pt>
                <c:pt idx="12">
                  <c:v>-3.8415939331056137E-2</c:v>
                </c:pt>
                <c:pt idx="13">
                  <c:v>-2.3710784912118754E-3</c:v>
                </c:pt>
                <c:pt idx="14">
                  <c:v>0</c:v>
                </c:pt>
                <c:pt idx="15">
                  <c:v>-6.9287857055662982E-2</c:v>
                </c:pt>
                <c:pt idx="16">
                  <c:v>-0.36885375976562429</c:v>
                </c:pt>
                <c:pt idx="17">
                  <c:v>-0.66385375976562599</c:v>
                </c:pt>
                <c:pt idx="18">
                  <c:v>-2.4383579559326165</c:v>
                </c:pt>
                <c:pt idx="19">
                  <c:v>-1.3496385650634757</c:v>
                </c:pt>
                <c:pt idx="20">
                  <c:v>-1.0339439239501971</c:v>
                </c:pt>
                <c:pt idx="21">
                  <c:v>-1.0986511535644539</c:v>
                </c:pt>
                <c:pt idx="22">
                  <c:v>-0.69732759094238261</c:v>
                </c:pt>
                <c:pt idx="23">
                  <c:v>-0.38816369628906244</c:v>
                </c:pt>
                <c:pt idx="24">
                  <c:v>-0.18761334228515736</c:v>
                </c:pt>
                <c:pt idx="25">
                  <c:v>0.47759968566894528</c:v>
                </c:pt>
                <c:pt idx="26">
                  <c:v>0.43459968566894602</c:v>
                </c:pt>
                <c:pt idx="27">
                  <c:v>1.4495171356201162</c:v>
                </c:pt>
                <c:pt idx="28">
                  <c:v>-0.36564558410644565</c:v>
                </c:pt>
                <c:pt idx="29">
                  <c:v>-0.68739627075195386</c:v>
                </c:pt>
                <c:pt idx="30">
                  <c:v>-2.8035528411865229</c:v>
                </c:pt>
                <c:pt idx="31">
                  <c:v>-1.0076798248291006</c:v>
                </c:pt>
                <c:pt idx="32">
                  <c:v>-1.8075275421142578</c:v>
                </c:pt>
                <c:pt idx="33">
                  <c:v>0.18547094726562463</c:v>
                </c:pt>
                <c:pt idx="34">
                  <c:v>-1.1463281555175797</c:v>
                </c:pt>
                <c:pt idx="35">
                  <c:v>0</c:v>
                </c:pt>
                <c:pt idx="36">
                  <c:v>0</c:v>
                </c:pt>
                <c:pt idx="37">
                  <c:v>-1.3735597534179682</c:v>
                </c:pt>
                <c:pt idx="38">
                  <c:v>-0.95519657897949273</c:v>
                </c:pt>
                <c:pt idx="39">
                  <c:v>-8.1361038208008551E-2</c:v>
                </c:pt>
                <c:pt idx="40">
                  <c:v>0.92620166015624861</c:v>
                </c:pt>
                <c:pt idx="41">
                  <c:v>-0.96829772949218906</c:v>
                </c:pt>
                <c:pt idx="42">
                  <c:v>-0.84933731079101449</c:v>
                </c:pt>
                <c:pt idx="43">
                  <c:v>3.9266626892089853</c:v>
                </c:pt>
                <c:pt idx="44">
                  <c:v>-2.7898430480957046</c:v>
                </c:pt>
                <c:pt idx="45">
                  <c:v>0.26634912109375009</c:v>
                </c:pt>
                <c:pt idx="46">
                  <c:v>-1.2839740600585934</c:v>
                </c:pt>
                <c:pt idx="47">
                  <c:v>1.6985858154296878</c:v>
                </c:pt>
                <c:pt idx="48">
                  <c:v>1.4627685546875</c:v>
                </c:pt>
                <c:pt idx="49">
                  <c:v>3.2507685546875003</c:v>
                </c:pt>
                <c:pt idx="50">
                  <c:v>-0.29023144531250011</c:v>
                </c:pt>
                <c:pt idx="51">
                  <c:v>-0.52937396240234236</c:v>
                </c:pt>
                <c:pt idx="52">
                  <c:v>1.5047795562744142</c:v>
                </c:pt>
                <c:pt idx="53">
                  <c:v>-0.64214314270019557</c:v>
                </c:pt>
                <c:pt idx="54">
                  <c:v>0</c:v>
                </c:pt>
                <c:pt idx="55">
                  <c:v>-0.27431986999511793</c:v>
                </c:pt>
                <c:pt idx="56">
                  <c:v>-0.48771849060058514</c:v>
                </c:pt>
                <c:pt idx="57">
                  <c:v>0.28255857849121213</c:v>
                </c:pt>
                <c:pt idx="58">
                  <c:v>0.84411444091796994</c:v>
                </c:pt>
                <c:pt idx="59">
                  <c:v>-1.3005377349853511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0-40E9-BA82-F390E3B216FB}"/>
            </c:ext>
          </c:extLst>
        </c:ser>
        <c:ser>
          <c:idx val="1"/>
          <c:order val="1"/>
          <c:tx>
            <c:strRef>
              <c:f>TABLA!$BC$3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TABLA_M!$J$4:$J$64</c:f>
              <c:numCache>
                <c:formatCode>0.000</c:formatCode>
                <c:ptCount val="61"/>
                <c:pt idx="0">
                  <c:v>-2.2302216249999991</c:v>
                </c:pt>
                <c:pt idx="1">
                  <c:v>-2.2302216249999991</c:v>
                </c:pt>
                <c:pt idx="2">
                  <c:v>-2.2302216249999991</c:v>
                </c:pt>
                <c:pt idx="3">
                  <c:v>-2.2302216249999991</c:v>
                </c:pt>
                <c:pt idx="4">
                  <c:v>-2.2302216249999991</c:v>
                </c:pt>
                <c:pt idx="5">
                  <c:v>-2.2302216249999991</c:v>
                </c:pt>
                <c:pt idx="6">
                  <c:v>-2.2302216249999991</c:v>
                </c:pt>
                <c:pt idx="7">
                  <c:v>-2.2302216249999991</c:v>
                </c:pt>
                <c:pt idx="8">
                  <c:v>-2.2302216249999991</c:v>
                </c:pt>
                <c:pt idx="9">
                  <c:v>-2.2302216249999991</c:v>
                </c:pt>
                <c:pt idx="10">
                  <c:v>-2.2302216249999991</c:v>
                </c:pt>
                <c:pt idx="11">
                  <c:v>-2.2302216249999991</c:v>
                </c:pt>
                <c:pt idx="12">
                  <c:v>-2.2302216249999991</c:v>
                </c:pt>
                <c:pt idx="13">
                  <c:v>-2.2302216249999991</c:v>
                </c:pt>
                <c:pt idx="14">
                  <c:v>-2.2302216249999991</c:v>
                </c:pt>
                <c:pt idx="15">
                  <c:v>-2.2302216249999991</c:v>
                </c:pt>
                <c:pt idx="16">
                  <c:v>-2.2302216249999991</c:v>
                </c:pt>
                <c:pt idx="17">
                  <c:v>-2.2302216249999991</c:v>
                </c:pt>
                <c:pt idx="18">
                  <c:v>-2.2302216249999991</c:v>
                </c:pt>
                <c:pt idx="19">
                  <c:v>-2.2302216249999991</c:v>
                </c:pt>
                <c:pt idx="20">
                  <c:v>-2.2302216249999991</c:v>
                </c:pt>
                <c:pt idx="21">
                  <c:v>-2.2302216249999991</c:v>
                </c:pt>
                <c:pt idx="22">
                  <c:v>-2.2302216249999991</c:v>
                </c:pt>
                <c:pt idx="23">
                  <c:v>-2.2302216249999991</c:v>
                </c:pt>
                <c:pt idx="24">
                  <c:v>-2.2302216249999991</c:v>
                </c:pt>
                <c:pt idx="25">
                  <c:v>-2.2302216249999991</c:v>
                </c:pt>
                <c:pt idx="26">
                  <c:v>-2.2302216249999991</c:v>
                </c:pt>
                <c:pt idx="27">
                  <c:v>-2.2302216249999991</c:v>
                </c:pt>
                <c:pt idx="28">
                  <c:v>-2.2302216249999991</c:v>
                </c:pt>
                <c:pt idx="29">
                  <c:v>-2.2302216249999991</c:v>
                </c:pt>
                <c:pt idx="30">
                  <c:v>-2.2302216249999991</c:v>
                </c:pt>
                <c:pt idx="31">
                  <c:v>-2.2302216249999991</c:v>
                </c:pt>
                <c:pt idx="32">
                  <c:v>-2.2302216249999991</c:v>
                </c:pt>
                <c:pt idx="33">
                  <c:v>-2.2302216249999991</c:v>
                </c:pt>
                <c:pt idx="34">
                  <c:v>-2.2302216249999991</c:v>
                </c:pt>
                <c:pt idx="35">
                  <c:v>-2.2302216249999991</c:v>
                </c:pt>
                <c:pt idx="36">
                  <c:v>-2.2302216249999991</c:v>
                </c:pt>
                <c:pt idx="37">
                  <c:v>-2.2302216249999991</c:v>
                </c:pt>
                <c:pt idx="38">
                  <c:v>-2.2302216249999991</c:v>
                </c:pt>
                <c:pt idx="39">
                  <c:v>-2.2302216249999991</c:v>
                </c:pt>
                <c:pt idx="40">
                  <c:v>-2.2302216249999991</c:v>
                </c:pt>
                <c:pt idx="41">
                  <c:v>-2.2302216249999991</c:v>
                </c:pt>
                <c:pt idx="42">
                  <c:v>-2.2302216249999991</c:v>
                </c:pt>
                <c:pt idx="43">
                  <c:v>-2.2302216249999991</c:v>
                </c:pt>
                <c:pt idx="44">
                  <c:v>-2.2302216249999991</c:v>
                </c:pt>
                <c:pt idx="45">
                  <c:v>-2.2302216249999991</c:v>
                </c:pt>
                <c:pt idx="46">
                  <c:v>-2.2302216249999991</c:v>
                </c:pt>
                <c:pt idx="47">
                  <c:v>-2.2302216249999991</c:v>
                </c:pt>
                <c:pt idx="48">
                  <c:v>-2.2302216249999991</c:v>
                </c:pt>
                <c:pt idx="49">
                  <c:v>-2.2302216249999991</c:v>
                </c:pt>
                <c:pt idx="50">
                  <c:v>-2.2302216249999991</c:v>
                </c:pt>
                <c:pt idx="51">
                  <c:v>-2.2302216249999991</c:v>
                </c:pt>
                <c:pt idx="52">
                  <c:v>-2.2302216249999991</c:v>
                </c:pt>
                <c:pt idx="53">
                  <c:v>-2.2302216249999991</c:v>
                </c:pt>
                <c:pt idx="54">
                  <c:v>-2.2302216249999991</c:v>
                </c:pt>
                <c:pt idx="55">
                  <c:v>-2.2302216249999991</c:v>
                </c:pt>
                <c:pt idx="56">
                  <c:v>-2.2302216249999991</c:v>
                </c:pt>
                <c:pt idx="57">
                  <c:v>-2.2302216249999991</c:v>
                </c:pt>
                <c:pt idx="58">
                  <c:v>-2.2302216249999991</c:v>
                </c:pt>
                <c:pt idx="59">
                  <c:v>-2.2302216249999991</c:v>
                </c:pt>
                <c:pt idx="60">
                  <c:v>-2.2302216249999991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70-40E9-BA82-F390E3B216FB}"/>
            </c:ext>
          </c:extLst>
        </c:ser>
        <c:ser>
          <c:idx val="2"/>
          <c:order val="2"/>
          <c:tx>
            <c:strRef>
              <c:f>TABLA!$BB$3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TABLA_M!$I$4:$I$64</c:f>
              <c:numCache>
                <c:formatCode>0.000</c:formatCode>
                <c:ptCount val="61"/>
                <c:pt idx="0">
                  <c:v>2.2302216249999991</c:v>
                </c:pt>
                <c:pt idx="1">
                  <c:v>2.2302216249999991</c:v>
                </c:pt>
                <c:pt idx="2">
                  <c:v>2.2302216249999991</c:v>
                </c:pt>
                <c:pt idx="3">
                  <c:v>2.2302216249999991</c:v>
                </c:pt>
                <c:pt idx="4">
                  <c:v>2.2302216249999991</c:v>
                </c:pt>
                <c:pt idx="5">
                  <c:v>2.2302216249999991</c:v>
                </c:pt>
                <c:pt idx="6">
                  <c:v>2.2302216249999991</c:v>
                </c:pt>
                <c:pt idx="7">
                  <c:v>2.2302216249999991</c:v>
                </c:pt>
                <c:pt idx="8">
                  <c:v>2.2302216249999991</c:v>
                </c:pt>
                <c:pt idx="9">
                  <c:v>2.2302216249999991</c:v>
                </c:pt>
                <c:pt idx="10">
                  <c:v>2.2302216249999991</c:v>
                </c:pt>
                <c:pt idx="11">
                  <c:v>2.2302216249999991</c:v>
                </c:pt>
                <c:pt idx="12">
                  <c:v>2.2302216249999991</c:v>
                </c:pt>
                <c:pt idx="13">
                  <c:v>2.2302216249999991</c:v>
                </c:pt>
                <c:pt idx="14">
                  <c:v>2.2302216249999991</c:v>
                </c:pt>
                <c:pt idx="15">
                  <c:v>2.2302216249999991</c:v>
                </c:pt>
                <c:pt idx="16">
                  <c:v>2.2302216249999991</c:v>
                </c:pt>
                <c:pt idx="17">
                  <c:v>2.2302216249999991</c:v>
                </c:pt>
                <c:pt idx="18">
                  <c:v>2.2302216249999991</c:v>
                </c:pt>
                <c:pt idx="19">
                  <c:v>2.2302216249999991</c:v>
                </c:pt>
                <c:pt idx="20">
                  <c:v>2.2302216249999991</c:v>
                </c:pt>
                <c:pt idx="21">
                  <c:v>2.2302216249999991</c:v>
                </c:pt>
                <c:pt idx="22">
                  <c:v>2.2302216249999991</c:v>
                </c:pt>
                <c:pt idx="23">
                  <c:v>2.2302216249999991</c:v>
                </c:pt>
                <c:pt idx="24">
                  <c:v>2.2302216249999991</c:v>
                </c:pt>
                <c:pt idx="25">
                  <c:v>2.2302216249999991</c:v>
                </c:pt>
                <c:pt idx="26">
                  <c:v>2.2302216249999991</c:v>
                </c:pt>
                <c:pt idx="27">
                  <c:v>2.2302216249999991</c:v>
                </c:pt>
                <c:pt idx="28">
                  <c:v>2.2302216249999991</c:v>
                </c:pt>
                <c:pt idx="29">
                  <c:v>2.2302216249999991</c:v>
                </c:pt>
                <c:pt idx="30">
                  <c:v>2.2302216249999991</c:v>
                </c:pt>
                <c:pt idx="31">
                  <c:v>2.2302216249999991</c:v>
                </c:pt>
                <c:pt idx="32">
                  <c:v>2.2302216249999991</c:v>
                </c:pt>
                <c:pt idx="33">
                  <c:v>2.2302216249999991</c:v>
                </c:pt>
                <c:pt idx="34">
                  <c:v>2.2302216249999991</c:v>
                </c:pt>
                <c:pt idx="35">
                  <c:v>2.2302216249999991</c:v>
                </c:pt>
                <c:pt idx="36">
                  <c:v>2.2302216249999991</c:v>
                </c:pt>
                <c:pt idx="37">
                  <c:v>2.2302216249999991</c:v>
                </c:pt>
                <c:pt idx="38">
                  <c:v>2.2302216249999991</c:v>
                </c:pt>
                <c:pt idx="39">
                  <c:v>2.2302216249999991</c:v>
                </c:pt>
                <c:pt idx="40">
                  <c:v>2.2302216249999991</c:v>
                </c:pt>
                <c:pt idx="41">
                  <c:v>2.2302216249999991</c:v>
                </c:pt>
                <c:pt idx="42">
                  <c:v>2.2302216249999991</c:v>
                </c:pt>
                <c:pt idx="43">
                  <c:v>2.2302216249999991</c:v>
                </c:pt>
                <c:pt idx="44">
                  <c:v>2.2302216249999991</c:v>
                </c:pt>
                <c:pt idx="45">
                  <c:v>2.2302216249999991</c:v>
                </c:pt>
                <c:pt idx="46">
                  <c:v>2.2302216249999991</c:v>
                </c:pt>
                <c:pt idx="47">
                  <c:v>2.2302216249999991</c:v>
                </c:pt>
                <c:pt idx="48">
                  <c:v>2.2302216249999991</c:v>
                </c:pt>
                <c:pt idx="49">
                  <c:v>2.2302216249999991</c:v>
                </c:pt>
                <c:pt idx="50">
                  <c:v>2.2302216249999991</c:v>
                </c:pt>
                <c:pt idx="51">
                  <c:v>2.2302216249999991</c:v>
                </c:pt>
                <c:pt idx="52">
                  <c:v>2.2302216249999991</c:v>
                </c:pt>
                <c:pt idx="53">
                  <c:v>2.2302216249999991</c:v>
                </c:pt>
                <c:pt idx="54">
                  <c:v>2.2302216249999991</c:v>
                </c:pt>
                <c:pt idx="55">
                  <c:v>2.2302216249999991</c:v>
                </c:pt>
                <c:pt idx="56">
                  <c:v>2.2302216249999991</c:v>
                </c:pt>
                <c:pt idx="57">
                  <c:v>2.2302216249999991</c:v>
                </c:pt>
                <c:pt idx="58">
                  <c:v>2.2302216249999991</c:v>
                </c:pt>
                <c:pt idx="59">
                  <c:v>2.2302216249999991</c:v>
                </c:pt>
                <c:pt idx="60">
                  <c:v>2.2302216249999991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70-40E9-BA82-F390E3B216FB}"/>
            </c:ext>
          </c:extLst>
        </c:ser>
        <c:ser>
          <c:idx val="3"/>
          <c:order val="3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TABLA_M!$F$64</c:f>
              <c:numCache>
                <c:formatCode>0.000</c:formatCode>
                <c:ptCount val="1"/>
                <c:pt idx="0">
                  <c:v>0.37553689575195293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70-40E9-BA82-F390E3B216FB}"/>
            </c:ext>
          </c:extLst>
        </c:ser>
        <c:ser>
          <c:idx val="4"/>
          <c:order val="4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TABLA_M!$F$65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70-40E9-BA82-F390E3B21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0656"/>
        <c:axId val="342635752"/>
      </c:scatterChart>
      <c:valAx>
        <c:axId val="34263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5752"/>
        <c:crosses val="autoZero"/>
        <c:crossBetween val="midCat"/>
      </c:valAx>
      <c:valAx>
        <c:axId val="342635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cross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0656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 FINAL - PLANTA DE MOLIBDENO (%Cu)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437324549"/>
          <c:y val="0.11615740740740743"/>
          <c:w val="0.83065193155732542"/>
          <c:h val="0.69253204514304334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TABLA_M!$AV$3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TABLA_M!$B$4:$B$63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TABLA_M!$AA$4:$AA$63</c:f>
              <c:numCache>
                <c:formatCode>0.000</c:formatCode>
                <c:ptCount val="60"/>
                <c:pt idx="0">
                  <c:v>0.89263261413574213</c:v>
                </c:pt>
                <c:pt idx="1">
                  <c:v>2.6806326141357424</c:v>
                </c:pt>
                <c:pt idx="2">
                  <c:v>-1.7625076141357425</c:v>
                </c:pt>
                <c:pt idx="3">
                  <c:v>-4.0415076141357424</c:v>
                </c:pt>
                <c:pt idx="4">
                  <c:v>-2.0642361450195317</c:v>
                </c:pt>
                <c:pt idx="5">
                  <c:v>-2.8743674163818369</c:v>
                </c:pt>
                <c:pt idx="6">
                  <c:v>-0.82180499267578</c:v>
                </c:pt>
                <c:pt idx="7">
                  <c:v>-2.9815668182373045</c:v>
                </c:pt>
                <c:pt idx="8">
                  <c:v>-6.6430938720703381E-2</c:v>
                </c:pt>
                <c:pt idx="9">
                  <c:v>0.83219049072265605</c:v>
                </c:pt>
                <c:pt idx="10">
                  <c:v>-0.18885000610351454</c:v>
                </c:pt>
                <c:pt idx="11">
                  <c:v>2.1681640777587887</c:v>
                </c:pt>
                <c:pt idx="12">
                  <c:v>2.2779350891113275</c:v>
                </c:pt>
                <c:pt idx="13">
                  <c:v>-0.22087532043456903</c:v>
                </c:pt>
                <c:pt idx="14">
                  <c:v>0</c:v>
                </c:pt>
                <c:pt idx="15">
                  <c:v>1.9868383636474611</c:v>
                </c:pt>
                <c:pt idx="16">
                  <c:v>-2.1425941925048839</c:v>
                </c:pt>
                <c:pt idx="17">
                  <c:v>-2.7335941925048814</c:v>
                </c:pt>
                <c:pt idx="18">
                  <c:v>-2.5818991546630876</c:v>
                </c:pt>
                <c:pt idx="19">
                  <c:v>-1.5245487823486314</c:v>
                </c:pt>
                <c:pt idx="20">
                  <c:v>-1.4133627319335922</c:v>
                </c:pt>
                <c:pt idx="21">
                  <c:v>9.86061401367202E-2</c:v>
                </c:pt>
                <c:pt idx="22">
                  <c:v>0.54086152648925889</c:v>
                </c:pt>
                <c:pt idx="23">
                  <c:v>-0.8040964508056625</c:v>
                </c:pt>
                <c:pt idx="24">
                  <c:v>2.5913484497070307</c:v>
                </c:pt>
                <c:pt idx="25">
                  <c:v>0.98854080200195327</c:v>
                </c:pt>
                <c:pt idx="26">
                  <c:v>0.74454080200195349</c:v>
                </c:pt>
                <c:pt idx="27">
                  <c:v>0.77095974731445338</c:v>
                </c:pt>
                <c:pt idx="28">
                  <c:v>-0.4283313598632823</c:v>
                </c:pt>
                <c:pt idx="29">
                  <c:v>-0.67939100646972506</c:v>
                </c:pt>
                <c:pt idx="30">
                  <c:v>-1.5534102935791019</c:v>
                </c:pt>
                <c:pt idx="31">
                  <c:v>-0.49249995422363213</c:v>
                </c:pt>
                <c:pt idx="32">
                  <c:v>-0.18451319885253881</c:v>
                </c:pt>
                <c:pt idx="33">
                  <c:v>1.3255323181152328</c:v>
                </c:pt>
                <c:pt idx="34">
                  <c:v>-1.6173284454345698</c:v>
                </c:pt>
                <c:pt idx="35">
                  <c:v>0</c:v>
                </c:pt>
                <c:pt idx="36">
                  <c:v>0</c:v>
                </c:pt>
                <c:pt idx="37">
                  <c:v>0.19959150695800787</c:v>
                </c:pt>
                <c:pt idx="38">
                  <c:v>1.1282718811035153</c:v>
                </c:pt>
                <c:pt idx="39">
                  <c:v>-3.9077032775878919</c:v>
                </c:pt>
                <c:pt idx="40">
                  <c:v>0.78908406066894443</c:v>
                </c:pt>
                <c:pt idx="41">
                  <c:v>0.54096673583984511</c:v>
                </c:pt>
                <c:pt idx="42">
                  <c:v>0.32406732177734199</c:v>
                </c:pt>
                <c:pt idx="43">
                  <c:v>3.8570673217773432</c:v>
                </c:pt>
                <c:pt idx="44">
                  <c:v>0.6705780639648431</c:v>
                </c:pt>
                <c:pt idx="45">
                  <c:v>0.56842970275878812</c:v>
                </c:pt>
                <c:pt idx="46">
                  <c:v>-1.5588847808837905</c:v>
                </c:pt>
                <c:pt idx="47">
                  <c:v>-0.22405517578124901</c:v>
                </c:pt>
                <c:pt idx="48">
                  <c:v>-1.0682814178466806</c:v>
                </c:pt>
                <c:pt idx="49">
                  <c:v>-0.52189651489257827</c:v>
                </c:pt>
                <c:pt idx="50">
                  <c:v>-2.2583451538085946</c:v>
                </c:pt>
                <c:pt idx="51">
                  <c:v>0.34114143371581918</c:v>
                </c:pt>
                <c:pt idx="52">
                  <c:v>-0.71430516052246062</c:v>
                </c:pt>
                <c:pt idx="53">
                  <c:v>0.96278781127929847</c:v>
                </c:pt>
                <c:pt idx="54">
                  <c:v>0</c:v>
                </c:pt>
                <c:pt idx="55">
                  <c:v>-2.8993804931641165E-2</c:v>
                </c:pt>
                <c:pt idx="56">
                  <c:v>-0.50253744506835929</c:v>
                </c:pt>
                <c:pt idx="57">
                  <c:v>-0.28537333679199151</c:v>
                </c:pt>
                <c:pt idx="58">
                  <c:v>-1.9034814147949213</c:v>
                </c:pt>
                <c:pt idx="59">
                  <c:v>-0.21057043457031099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B-4B71-803F-EA56F7385039}"/>
            </c:ext>
          </c:extLst>
        </c:ser>
        <c:ser>
          <c:idx val="1"/>
          <c:order val="1"/>
          <c:tx>
            <c:strRef>
              <c:f>TABLA!$BC$3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>
                    <a:alpha val="65000"/>
                  </a:srgb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TABLA_M!$AE$4:$AE$64</c:f>
              <c:numCache>
                <c:formatCode>0.000</c:formatCode>
                <c:ptCount val="61"/>
                <c:pt idx="0">
                  <c:v>-1.0662891477272729</c:v>
                </c:pt>
                <c:pt idx="1">
                  <c:v>-1.0662891477272729</c:v>
                </c:pt>
                <c:pt idx="2">
                  <c:v>-1.0662891477272729</c:v>
                </c:pt>
                <c:pt idx="3">
                  <c:v>-1.0662891477272729</c:v>
                </c:pt>
                <c:pt idx="4">
                  <c:v>-1.0662891477272729</c:v>
                </c:pt>
                <c:pt idx="5">
                  <c:v>-1.0662891477272729</c:v>
                </c:pt>
                <c:pt idx="6">
                  <c:v>-1.0662891477272729</c:v>
                </c:pt>
                <c:pt idx="7">
                  <c:v>-1.0662891477272729</c:v>
                </c:pt>
                <c:pt idx="8">
                  <c:v>-1.0662891477272729</c:v>
                </c:pt>
                <c:pt idx="9">
                  <c:v>-1.0662891477272729</c:v>
                </c:pt>
                <c:pt idx="10">
                  <c:v>-1.0662891477272729</c:v>
                </c:pt>
                <c:pt idx="11">
                  <c:v>-1.0662891477272729</c:v>
                </c:pt>
                <c:pt idx="12">
                  <c:v>-1.0662891477272729</c:v>
                </c:pt>
                <c:pt idx="13">
                  <c:v>-1.0662891477272729</c:v>
                </c:pt>
                <c:pt idx="14">
                  <c:v>-1.0662891477272729</c:v>
                </c:pt>
                <c:pt idx="15">
                  <c:v>-1.0662891477272729</c:v>
                </c:pt>
                <c:pt idx="16">
                  <c:v>-1.0662891477272729</c:v>
                </c:pt>
                <c:pt idx="17">
                  <c:v>-1.0662891477272729</c:v>
                </c:pt>
                <c:pt idx="18">
                  <c:v>-1.0662891477272729</c:v>
                </c:pt>
                <c:pt idx="19">
                  <c:v>-1.0662891477272729</c:v>
                </c:pt>
                <c:pt idx="20">
                  <c:v>-1.0662891477272729</c:v>
                </c:pt>
                <c:pt idx="21">
                  <c:v>-1.0662891477272729</c:v>
                </c:pt>
                <c:pt idx="22">
                  <c:v>-1.0662891477272729</c:v>
                </c:pt>
                <c:pt idx="23">
                  <c:v>-1.0662891477272729</c:v>
                </c:pt>
                <c:pt idx="24">
                  <c:v>-1.0662891477272729</c:v>
                </c:pt>
                <c:pt idx="25">
                  <c:v>-1.0662891477272729</c:v>
                </c:pt>
                <c:pt idx="26">
                  <c:v>-1.0662891477272729</c:v>
                </c:pt>
                <c:pt idx="27">
                  <c:v>-1.0662891477272729</c:v>
                </c:pt>
                <c:pt idx="28">
                  <c:v>-1.0662891477272729</c:v>
                </c:pt>
                <c:pt idx="29">
                  <c:v>-1.0662891477272729</c:v>
                </c:pt>
                <c:pt idx="30">
                  <c:v>-1.0662891477272729</c:v>
                </c:pt>
                <c:pt idx="31">
                  <c:v>-1.0662891477272729</c:v>
                </c:pt>
                <c:pt idx="32">
                  <c:v>-1.0662891477272729</c:v>
                </c:pt>
                <c:pt idx="33">
                  <c:v>-1.0662891477272729</c:v>
                </c:pt>
                <c:pt idx="34">
                  <c:v>-1.0662891477272729</c:v>
                </c:pt>
                <c:pt idx="35">
                  <c:v>-1.0662891477272729</c:v>
                </c:pt>
                <c:pt idx="36">
                  <c:v>-1.0662891477272729</c:v>
                </c:pt>
                <c:pt idx="37">
                  <c:v>-1.0662891477272729</c:v>
                </c:pt>
                <c:pt idx="38">
                  <c:v>-1.0662891477272729</c:v>
                </c:pt>
                <c:pt idx="39">
                  <c:v>-1.0662891477272729</c:v>
                </c:pt>
                <c:pt idx="40">
                  <c:v>-1.0662891477272729</c:v>
                </c:pt>
                <c:pt idx="41">
                  <c:v>-1.0662891477272729</c:v>
                </c:pt>
                <c:pt idx="42">
                  <c:v>-1.0662891477272729</c:v>
                </c:pt>
                <c:pt idx="43">
                  <c:v>-1.0662891477272729</c:v>
                </c:pt>
                <c:pt idx="44">
                  <c:v>-1.0662891477272729</c:v>
                </c:pt>
                <c:pt idx="45">
                  <c:v>-1.0662891477272729</c:v>
                </c:pt>
                <c:pt idx="46">
                  <c:v>-1.0662891477272729</c:v>
                </c:pt>
                <c:pt idx="47">
                  <c:v>-1.0662891477272729</c:v>
                </c:pt>
                <c:pt idx="48">
                  <c:v>-1.0662891477272729</c:v>
                </c:pt>
                <c:pt idx="49">
                  <c:v>-1.0662891477272729</c:v>
                </c:pt>
                <c:pt idx="50">
                  <c:v>-1.0662891477272729</c:v>
                </c:pt>
                <c:pt idx="51">
                  <c:v>-1.0662891477272729</c:v>
                </c:pt>
                <c:pt idx="52">
                  <c:v>-1.0662891477272729</c:v>
                </c:pt>
                <c:pt idx="53">
                  <c:v>-1.0662891477272729</c:v>
                </c:pt>
                <c:pt idx="54">
                  <c:v>-1.0662891477272729</c:v>
                </c:pt>
                <c:pt idx="55">
                  <c:v>-1.0662891477272729</c:v>
                </c:pt>
                <c:pt idx="56">
                  <c:v>-1.0662891477272729</c:v>
                </c:pt>
                <c:pt idx="57">
                  <c:v>-1.0662891477272729</c:v>
                </c:pt>
                <c:pt idx="58">
                  <c:v>-1.0662891477272729</c:v>
                </c:pt>
                <c:pt idx="59">
                  <c:v>-1.0662891477272729</c:v>
                </c:pt>
                <c:pt idx="60">
                  <c:v>-1.0662891477272729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B-4B71-803F-EA56F7385039}"/>
            </c:ext>
          </c:extLst>
        </c:ser>
        <c:ser>
          <c:idx val="2"/>
          <c:order val="2"/>
          <c:tx>
            <c:strRef>
              <c:f>TABLA!$BB$3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TABLA_M!$AD$4:$AD$64</c:f>
              <c:numCache>
                <c:formatCode>0.000</c:formatCode>
                <c:ptCount val="61"/>
                <c:pt idx="0">
                  <c:v>1.0662891477272729</c:v>
                </c:pt>
                <c:pt idx="1">
                  <c:v>1.0662891477272729</c:v>
                </c:pt>
                <c:pt idx="2">
                  <c:v>1.0662891477272729</c:v>
                </c:pt>
                <c:pt idx="3">
                  <c:v>1.0662891477272729</c:v>
                </c:pt>
                <c:pt idx="4">
                  <c:v>1.0662891477272729</c:v>
                </c:pt>
                <c:pt idx="5">
                  <c:v>1.0662891477272729</c:v>
                </c:pt>
                <c:pt idx="6">
                  <c:v>1.0662891477272729</c:v>
                </c:pt>
                <c:pt idx="7">
                  <c:v>1.0662891477272729</c:v>
                </c:pt>
                <c:pt idx="8">
                  <c:v>1.0662891477272729</c:v>
                </c:pt>
                <c:pt idx="9">
                  <c:v>1.0662891477272729</c:v>
                </c:pt>
                <c:pt idx="10">
                  <c:v>1.0662891477272729</c:v>
                </c:pt>
                <c:pt idx="11">
                  <c:v>1.0662891477272729</c:v>
                </c:pt>
                <c:pt idx="12">
                  <c:v>1.0662891477272729</c:v>
                </c:pt>
                <c:pt idx="13">
                  <c:v>1.0662891477272729</c:v>
                </c:pt>
                <c:pt idx="14">
                  <c:v>1.0662891477272729</c:v>
                </c:pt>
                <c:pt idx="15">
                  <c:v>1.0662891477272729</c:v>
                </c:pt>
                <c:pt idx="16">
                  <c:v>1.0662891477272729</c:v>
                </c:pt>
                <c:pt idx="17">
                  <c:v>1.0662891477272729</c:v>
                </c:pt>
                <c:pt idx="18">
                  <c:v>1.0662891477272729</c:v>
                </c:pt>
                <c:pt idx="19">
                  <c:v>1.0662891477272729</c:v>
                </c:pt>
                <c:pt idx="20">
                  <c:v>1.0662891477272729</c:v>
                </c:pt>
                <c:pt idx="21">
                  <c:v>1.0662891477272729</c:v>
                </c:pt>
                <c:pt idx="22">
                  <c:v>1.0662891477272729</c:v>
                </c:pt>
                <c:pt idx="23">
                  <c:v>1.0662891477272729</c:v>
                </c:pt>
                <c:pt idx="24">
                  <c:v>1.0662891477272729</c:v>
                </c:pt>
                <c:pt idx="25">
                  <c:v>1.0662891477272729</c:v>
                </c:pt>
                <c:pt idx="26">
                  <c:v>1.0662891477272729</c:v>
                </c:pt>
                <c:pt idx="27">
                  <c:v>1.0662891477272729</c:v>
                </c:pt>
                <c:pt idx="28">
                  <c:v>1.0662891477272729</c:v>
                </c:pt>
                <c:pt idx="29">
                  <c:v>1.0662891477272729</c:v>
                </c:pt>
                <c:pt idx="30">
                  <c:v>1.0662891477272729</c:v>
                </c:pt>
                <c:pt idx="31">
                  <c:v>1.0662891477272729</c:v>
                </c:pt>
                <c:pt idx="32">
                  <c:v>1.0662891477272729</c:v>
                </c:pt>
                <c:pt idx="33">
                  <c:v>1.0662891477272729</c:v>
                </c:pt>
                <c:pt idx="34">
                  <c:v>1.0662891477272729</c:v>
                </c:pt>
                <c:pt idx="35">
                  <c:v>1.0662891477272729</c:v>
                </c:pt>
                <c:pt idx="36">
                  <c:v>1.0662891477272729</c:v>
                </c:pt>
                <c:pt idx="37">
                  <c:v>1.0662891477272729</c:v>
                </c:pt>
                <c:pt idx="38">
                  <c:v>1.0662891477272729</c:v>
                </c:pt>
                <c:pt idx="39">
                  <c:v>1.0662891477272729</c:v>
                </c:pt>
                <c:pt idx="40">
                  <c:v>1.0662891477272729</c:v>
                </c:pt>
                <c:pt idx="41">
                  <c:v>1.0662891477272729</c:v>
                </c:pt>
                <c:pt idx="42">
                  <c:v>1.0662891477272729</c:v>
                </c:pt>
                <c:pt idx="43">
                  <c:v>1.0662891477272729</c:v>
                </c:pt>
                <c:pt idx="44">
                  <c:v>1.0662891477272729</c:v>
                </c:pt>
                <c:pt idx="45">
                  <c:v>1.0662891477272729</c:v>
                </c:pt>
                <c:pt idx="46">
                  <c:v>1.0662891477272729</c:v>
                </c:pt>
                <c:pt idx="47">
                  <c:v>1.0662891477272729</c:v>
                </c:pt>
                <c:pt idx="48">
                  <c:v>1.0662891477272729</c:v>
                </c:pt>
                <c:pt idx="49">
                  <c:v>1.0662891477272729</c:v>
                </c:pt>
                <c:pt idx="50">
                  <c:v>1.0662891477272729</c:v>
                </c:pt>
                <c:pt idx="51">
                  <c:v>1.0662891477272729</c:v>
                </c:pt>
                <c:pt idx="52">
                  <c:v>1.0662891477272729</c:v>
                </c:pt>
                <c:pt idx="53">
                  <c:v>1.0662891477272729</c:v>
                </c:pt>
                <c:pt idx="54">
                  <c:v>1.0662891477272729</c:v>
                </c:pt>
                <c:pt idx="55">
                  <c:v>1.0662891477272729</c:v>
                </c:pt>
                <c:pt idx="56">
                  <c:v>1.0662891477272729</c:v>
                </c:pt>
                <c:pt idx="57">
                  <c:v>1.0662891477272729</c:v>
                </c:pt>
                <c:pt idx="58">
                  <c:v>1.0662891477272729</c:v>
                </c:pt>
                <c:pt idx="59">
                  <c:v>1.0662891477272729</c:v>
                </c:pt>
                <c:pt idx="60">
                  <c:v>1.0662891477272729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8B-4B71-803F-EA56F7385039}"/>
            </c:ext>
          </c:extLst>
        </c:ser>
        <c:ser>
          <c:idx val="3"/>
          <c:order val="3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TABLA_M!$AA$64</c:f>
              <c:numCache>
                <c:formatCode>0.000</c:formatCode>
                <c:ptCount val="1"/>
                <c:pt idx="0">
                  <c:v>0.42101296997070392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8B-4B71-803F-EA56F7385039}"/>
            </c:ext>
          </c:extLst>
        </c:ser>
        <c:ser>
          <c:idx val="4"/>
          <c:order val="4"/>
          <c:tx>
            <c:v>dif acc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TABLA_M!$AA$65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8B-4B71-803F-EA56F738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0656"/>
        <c:axId val="342635752"/>
      </c:scatterChart>
      <c:valAx>
        <c:axId val="34263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5752"/>
        <c:crosses val="autoZero"/>
        <c:crossBetween val="midCat"/>
      </c:valAx>
      <c:valAx>
        <c:axId val="342635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cross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0656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ROUGHER- PLANTA DE MOLIBDENO (%mO)</a:t>
            </a:r>
          </a:p>
        </c:rich>
      </c:tx>
      <c:layout>
        <c:manualLayout>
          <c:xMode val="edge"/>
          <c:yMode val="edge"/>
          <c:x val="0.17849491035842743"/>
          <c:y val="1.990049751243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28031792"/>
          <c:y val="0.1437995477735684"/>
          <c:w val="0.83065193155732542"/>
          <c:h val="0.68068535438085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TABLA!$BF$3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TABLA_M!$M$4:$M$63</c:f>
              <c:numCache>
                <c:formatCode>0.000</c:formatCode>
                <c:ptCount val="60"/>
                <c:pt idx="0">
                  <c:v>0.40517189693450928</c:v>
                </c:pt>
                <c:pt idx="1">
                  <c:v>0.16717189693450929</c:v>
                </c:pt>
                <c:pt idx="2">
                  <c:v>0.58853997802734348</c:v>
                </c:pt>
                <c:pt idx="3">
                  <c:v>-1.8614600219726563</c:v>
                </c:pt>
                <c:pt idx="4">
                  <c:v>1.111030170440674</c:v>
                </c:pt>
                <c:pt idx="5">
                  <c:v>1.1048845863342285</c:v>
                </c:pt>
                <c:pt idx="6">
                  <c:v>0.88323923778533953</c:v>
                </c:pt>
                <c:pt idx="7">
                  <c:v>0.60969844150543206</c:v>
                </c:pt>
                <c:pt idx="8">
                  <c:v>0.42674264144897478</c:v>
                </c:pt>
                <c:pt idx="9">
                  <c:v>-0.11410663509368901</c:v>
                </c:pt>
                <c:pt idx="10">
                  <c:v>-0.16190734863281253</c:v>
                </c:pt>
                <c:pt idx="11">
                  <c:v>0.21604803133010875</c:v>
                </c:pt>
                <c:pt idx="12">
                  <c:v>8.6039586067199636E-2</c:v>
                </c:pt>
                <c:pt idx="13">
                  <c:v>5.929681873321524E-2</c:v>
                </c:pt>
                <c:pt idx="14">
                  <c:v>0</c:v>
                </c:pt>
                <c:pt idx="15">
                  <c:v>-8.1383668899536188E-2</c:v>
                </c:pt>
                <c:pt idx="16">
                  <c:v>0.3001452836990357</c:v>
                </c:pt>
                <c:pt idx="17">
                  <c:v>0.39114528369903567</c:v>
                </c:pt>
                <c:pt idx="18">
                  <c:v>-0.46237076759338369</c:v>
                </c:pt>
                <c:pt idx="19">
                  <c:v>7.6128763198852756E-2</c:v>
                </c:pt>
                <c:pt idx="20">
                  <c:v>-0.25937276649475116</c:v>
                </c:pt>
                <c:pt idx="21">
                  <c:v>0.19248085689544681</c:v>
                </c:pt>
                <c:pt idx="22">
                  <c:v>1.5965043067932125</c:v>
                </c:pt>
                <c:pt idx="23">
                  <c:v>-1.1003060531616211</c:v>
                </c:pt>
                <c:pt idx="24">
                  <c:v>-8.0247308731078881E-2</c:v>
                </c:pt>
                <c:pt idx="25">
                  <c:v>1.6921963577270507</c:v>
                </c:pt>
                <c:pt idx="26">
                  <c:v>-0.29980364227294931</c:v>
                </c:pt>
                <c:pt idx="27">
                  <c:v>1.1158971281051635</c:v>
                </c:pt>
                <c:pt idx="28">
                  <c:v>1.2418928647041321</c:v>
                </c:pt>
                <c:pt idx="29">
                  <c:v>0.95232484674453732</c:v>
                </c:pt>
                <c:pt idx="30">
                  <c:v>0.24979534530639658</c:v>
                </c:pt>
                <c:pt idx="31">
                  <c:v>-0.29619955635070805</c:v>
                </c:pt>
                <c:pt idx="32">
                  <c:v>-0.18292220020294192</c:v>
                </c:pt>
                <c:pt idx="33">
                  <c:v>0.50940282535552983</c:v>
                </c:pt>
                <c:pt idx="34">
                  <c:v>0.2696544055938721</c:v>
                </c:pt>
                <c:pt idx="35">
                  <c:v>0</c:v>
                </c:pt>
                <c:pt idx="36">
                  <c:v>0</c:v>
                </c:pt>
                <c:pt idx="37">
                  <c:v>0.17953913879394534</c:v>
                </c:pt>
                <c:pt idx="38">
                  <c:v>0.12261699676513693</c:v>
                </c:pt>
                <c:pt idx="39">
                  <c:v>0.42669699668884276</c:v>
                </c:pt>
                <c:pt idx="40">
                  <c:v>-0.33659669303894058</c:v>
                </c:pt>
                <c:pt idx="41">
                  <c:v>0.17497577476501469</c:v>
                </c:pt>
                <c:pt idx="42">
                  <c:v>-0.12452809238433837</c:v>
                </c:pt>
                <c:pt idx="43">
                  <c:v>0.75147190761566174</c:v>
                </c:pt>
                <c:pt idx="44">
                  <c:v>0.36798777770996072</c:v>
                </c:pt>
                <c:pt idx="45">
                  <c:v>-0.27164386177062982</c:v>
                </c:pt>
                <c:pt idx="46">
                  <c:v>1.0063397178649902</c:v>
                </c:pt>
                <c:pt idx="47">
                  <c:v>0.72098283958435072</c:v>
                </c:pt>
                <c:pt idx="48">
                  <c:v>0.86078884506225606</c:v>
                </c:pt>
                <c:pt idx="49">
                  <c:v>-8.7211154937744118E-2</c:v>
                </c:pt>
                <c:pt idx="50">
                  <c:v>1.3137888450622559</c:v>
                </c:pt>
                <c:pt idx="51">
                  <c:v>0.65544157791137714</c:v>
                </c:pt>
                <c:pt idx="52">
                  <c:v>1.6630260791778566</c:v>
                </c:pt>
                <c:pt idx="53">
                  <c:v>-0.2369972991943361</c:v>
                </c:pt>
                <c:pt idx="54">
                  <c:v>0</c:v>
                </c:pt>
                <c:pt idx="55">
                  <c:v>0.14925064468383775</c:v>
                </c:pt>
                <c:pt idx="56">
                  <c:v>-0.37961433029174785</c:v>
                </c:pt>
                <c:pt idx="57">
                  <c:v>-0.16683677864074697</c:v>
                </c:pt>
                <c:pt idx="58">
                  <c:v>0.6937615299224853</c:v>
                </c:pt>
                <c:pt idx="59">
                  <c:v>-0.41839645957946781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B-4871-97E1-EA4C09CCFE0C}"/>
            </c:ext>
          </c:extLst>
        </c:ser>
        <c:ser>
          <c:idx val="1"/>
          <c:order val="1"/>
          <c:tx>
            <c:strRef>
              <c:f>TABLA!$BJ$3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TABLA_M!$Q$4:$Q$64</c:f>
              <c:numCache>
                <c:formatCode>0.000</c:formatCode>
                <c:ptCount val="61"/>
                <c:pt idx="0">
                  <c:v>-0.382682625</c:v>
                </c:pt>
                <c:pt idx="1">
                  <c:v>-0.382682625</c:v>
                </c:pt>
                <c:pt idx="2">
                  <c:v>-0.382682625</c:v>
                </c:pt>
                <c:pt idx="3">
                  <c:v>-0.382682625</c:v>
                </c:pt>
                <c:pt idx="4">
                  <c:v>-0.382682625</c:v>
                </c:pt>
                <c:pt idx="5">
                  <c:v>-0.382682625</c:v>
                </c:pt>
                <c:pt idx="6">
                  <c:v>-0.382682625</c:v>
                </c:pt>
                <c:pt idx="7">
                  <c:v>-0.382682625</c:v>
                </c:pt>
                <c:pt idx="8">
                  <c:v>-0.382682625</c:v>
                </c:pt>
                <c:pt idx="9">
                  <c:v>-0.382682625</c:v>
                </c:pt>
                <c:pt idx="10">
                  <c:v>-0.382682625</c:v>
                </c:pt>
                <c:pt idx="11">
                  <c:v>-0.382682625</c:v>
                </c:pt>
                <c:pt idx="12">
                  <c:v>-0.382682625</c:v>
                </c:pt>
                <c:pt idx="13">
                  <c:v>-0.382682625</c:v>
                </c:pt>
                <c:pt idx="14">
                  <c:v>-0.382682625</c:v>
                </c:pt>
                <c:pt idx="15">
                  <c:v>-0.382682625</c:v>
                </c:pt>
                <c:pt idx="16">
                  <c:v>-0.382682625</c:v>
                </c:pt>
                <c:pt idx="17">
                  <c:v>-0.382682625</c:v>
                </c:pt>
                <c:pt idx="18">
                  <c:v>-0.382682625</c:v>
                </c:pt>
                <c:pt idx="19">
                  <c:v>-0.382682625</c:v>
                </c:pt>
                <c:pt idx="20">
                  <c:v>-0.382682625</c:v>
                </c:pt>
                <c:pt idx="21">
                  <c:v>-0.382682625</c:v>
                </c:pt>
                <c:pt idx="22">
                  <c:v>-0.382682625</c:v>
                </c:pt>
                <c:pt idx="23">
                  <c:v>-0.382682625</c:v>
                </c:pt>
                <c:pt idx="24">
                  <c:v>-0.382682625</c:v>
                </c:pt>
                <c:pt idx="25">
                  <c:v>-0.382682625</c:v>
                </c:pt>
                <c:pt idx="26">
                  <c:v>-0.382682625</c:v>
                </c:pt>
                <c:pt idx="27">
                  <c:v>-0.382682625</c:v>
                </c:pt>
                <c:pt idx="28">
                  <c:v>-0.382682625</c:v>
                </c:pt>
                <c:pt idx="29">
                  <c:v>-0.382682625</c:v>
                </c:pt>
                <c:pt idx="30">
                  <c:v>-0.382682625</c:v>
                </c:pt>
                <c:pt idx="31">
                  <c:v>-0.382682625</c:v>
                </c:pt>
                <c:pt idx="32">
                  <c:v>-0.382682625</c:v>
                </c:pt>
                <c:pt idx="33">
                  <c:v>-0.382682625</c:v>
                </c:pt>
                <c:pt idx="34">
                  <c:v>-0.382682625</c:v>
                </c:pt>
                <c:pt idx="35">
                  <c:v>-0.382682625</c:v>
                </c:pt>
                <c:pt idx="36">
                  <c:v>-0.382682625</c:v>
                </c:pt>
                <c:pt idx="37">
                  <c:v>-0.382682625</c:v>
                </c:pt>
                <c:pt idx="38">
                  <c:v>-0.382682625</c:v>
                </c:pt>
                <c:pt idx="39">
                  <c:v>-0.382682625</c:v>
                </c:pt>
                <c:pt idx="40">
                  <c:v>-0.382682625</c:v>
                </c:pt>
                <c:pt idx="41">
                  <c:v>-0.382682625</c:v>
                </c:pt>
                <c:pt idx="42">
                  <c:v>-0.382682625</c:v>
                </c:pt>
                <c:pt idx="43">
                  <c:v>-0.382682625</c:v>
                </c:pt>
                <c:pt idx="44">
                  <c:v>-0.382682625</c:v>
                </c:pt>
                <c:pt idx="45">
                  <c:v>-0.382682625</c:v>
                </c:pt>
                <c:pt idx="46">
                  <c:v>-0.382682625</c:v>
                </c:pt>
                <c:pt idx="47">
                  <c:v>-0.382682625</c:v>
                </c:pt>
                <c:pt idx="48">
                  <c:v>-0.382682625</c:v>
                </c:pt>
                <c:pt idx="49">
                  <c:v>-0.382682625</c:v>
                </c:pt>
                <c:pt idx="50">
                  <c:v>-0.382682625</c:v>
                </c:pt>
                <c:pt idx="51">
                  <c:v>-0.382682625</c:v>
                </c:pt>
                <c:pt idx="52">
                  <c:v>-0.382682625</c:v>
                </c:pt>
                <c:pt idx="53">
                  <c:v>-0.382682625</c:v>
                </c:pt>
                <c:pt idx="54">
                  <c:v>-0.382682625</c:v>
                </c:pt>
                <c:pt idx="55">
                  <c:v>-0.382682625</c:v>
                </c:pt>
                <c:pt idx="56">
                  <c:v>-0.382682625</c:v>
                </c:pt>
                <c:pt idx="57">
                  <c:v>-0.382682625</c:v>
                </c:pt>
                <c:pt idx="58">
                  <c:v>-0.382682625</c:v>
                </c:pt>
                <c:pt idx="59">
                  <c:v>-0.382682625</c:v>
                </c:pt>
                <c:pt idx="60">
                  <c:v>-0.382682625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8B-4871-97E1-EA4C09CCFE0C}"/>
            </c:ext>
          </c:extLst>
        </c:ser>
        <c:ser>
          <c:idx val="2"/>
          <c:order val="2"/>
          <c:tx>
            <c:strRef>
              <c:f>TABLA!$BI$3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TABLA_M!$P$4:$P$64</c:f>
              <c:numCache>
                <c:formatCode>0.000</c:formatCode>
                <c:ptCount val="61"/>
                <c:pt idx="0">
                  <c:v>0.382682625</c:v>
                </c:pt>
                <c:pt idx="1">
                  <c:v>0.382682625</c:v>
                </c:pt>
                <c:pt idx="2">
                  <c:v>0.382682625</c:v>
                </c:pt>
                <c:pt idx="3">
                  <c:v>0.382682625</c:v>
                </c:pt>
                <c:pt idx="4">
                  <c:v>0.382682625</c:v>
                </c:pt>
                <c:pt idx="5">
                  <c:v>0.382682625</c:v>
                </c:pt>
                <c:pt idx="6">
                  <c:v>0.382682625</c:v>
                </c:pt>
                <c:pt idx="7">
                  <c:v>0.382682625</c:v>
                </c:pt>
                <c:pt idx="8">
                  <c:v>0.382682625</c:v>
                </c:pt>
                <c:pt idx="9">
                  <c:v>0.382682625</c:v>
                </c:pt>
                <c:pt idx="10">
                  <c:v>0.382682625</c:v>
                </c:pt>
                <c:pt idx="11">
                  <c:v>0.382682625</c:v>
                </c:pt>
                <c:pt idx="12">
                  <c:v>0.382682625</c:v>
                </c:pt>
                <c:pt idx="13">
                  <c:v>0.382682625</c:v>
                </c:pt>
                <c:pt idx="14">
                  <c:v>0.382682625</c:v>
                </c:pt>
                <c:pt idx="15">
                  <c:v>0.382682625</c:v>
                </c:pt>
                <c:pt idx="16">
                  <c:v>0.382682625</c:v>
                </c:pt>
                <c:pt idx="17">
                  <c:v>0.382682625</c:v>
                </c:pt>
                <c:pt idx="18">
                  <c:v>0.382682625</c:v>
                </c:pt>
                <c:pt idx="19">
                  <c:v>0.382682625</c:v>
                </c:pt>
                <c:pt idx="20">
                  <c:v>0.382682625</c:v>
                </c:pt>
                <c:pt idx="21">
                  <c:v>0.382682625</c:v>
                </c:pt>
                <c:pt idx="22">
                  <c:v>0.382682625</c:v>
                </c:pt>
                <c:pt idx="23">
                  <c:v>0.382682625</c:v>
                </c:pt>
                <c:pt idx="24">
                  <c:v>0.382682625</c:v>
                </c:pt>
                <c:pt idx="25">
                  <c:v>0.382682625</c:v>
                </c:pt>
                <c:pt idx="26">
                  <c:v>0.382682625</c:v>
                </c:pt>
                <c:pt idx="27">
                  <c:v>0.382682625</c:v>
                </c:pt>
                <c:pt idx="28">
                  <c:v>0.382682625</c:v>
                </c:pt>
                <c:pt idx="29">
                  <c:v>0.382682625</c:v>
                </c:pt>
                <c:pt idx="30">
                  <c:v>0.382682625</c:v>
                </c:pt>
                <c:pt idx="31">
                  <c:v>0.382682625</c:v>
                </c:pt>
                <c:pt idx="32">
                  <c:v>0.382682625</c:v>
                </c:pt>
                <c:pt idx="33">
                  <c:v>0.382682625</c:v>
                </c:pt>
                <c:pt idx="34">
                  <c:v>0.382682625</c:v>
                </c:pt>
                <c:pt idx="35">
                  <c:v>0.382682625</c:v>
                </c:pt>
                <c:pt idx="36">
                  <c:v>0.382682625</c:v>
                </c:pt>
                <c:pt idx="37">
                  <c:v>0.382682625</c:v>
                </c:pt>
                <c:pt idx="38">
                  <c:v>0.382682625</c:v>
                </c:pt>
                <c:pt idx="39">
                  <c:v>0.382682625</c:v>
                </c:pt>
                <c:pt idx="40">
                  <c:v>0.382682625</c:v>
                </c:pt>
                <c:pt idx="41">
                  <c:v>0.382682625</c:v>
                </c:pt>
                <c:pt idx="42">
                  <c:v>0.382682625</c:v>
                </c:pt>
                <c:pt idx="43">
                  <c:v>0.382682625</c:v>
                </c:pt>
                <c:pt idx="44">
                  <c:v>0.382682625</c:v>
                </c:pt>
                <c:pt idx="45">
                  <c:v>0.382682625</c:v>
                </c:pt>
                <c:pt idx="46">
                  <c:v>0.382682625</c:v>
                </c:pt>
                <c:pt idx="47">
                  <c:v>0.382682625</c:v>
                </c:pt>
                <c:pt idx="48">
                  <c:v>0.382682625</c:v>
                </c:pt>
                <c:pt idx="49">
                  <c:v>0.382682625</c:v>
                </c:pt>
                <c:pt idx="50">
                  <c:v>0.382682625</c:v>
                </c:pt>
                <c:pt idx="51">
                  <c:v>0.382682625</c:v>
                </c:pt>
                <c:pt idx="52">
                  <c:v>0.382682625</c:v>
                </c:pt>
                <c:pt idx="53">
                  <c:v>0.382682625</c:v>
                </c:pt>
                <c:pt idx="54">
                  <c:v>0.382682625</c:v>
                </c:pt>
                <c:pt idx="55">
                  <c:v>0.382682625</c:v>
                </c:pt>
                <c:pt idx="56">
                  <c:v>0.382682625</c:v>
                </c:pt>
                <c:pt idx="57">
                  <c:v>0.382682625</c:v>
                </c:pt>
                <c:pt idx="58">
                  <c:v>0.382682625</c:v>
                </c:pt>
                <c:pt idx="59">
                  <c:v>0.382682625</c:v>
                </c:pt>
                <c:pt idx="60">
                  <c:v>0.382682625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8B-4871-97E1-EA4C09CCFE0C}"/>
            </c:ext>
          </c:extLst>
        </c:ser>
        <c:ser>
          <c:idx val="3"/>
          <c:order val="3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TABLA_M!$M$64</c:f>
              <c:numCache>
                <c:formatCode>0.000</c:formatCode>
                <c:ptCount val="1"/>
                <c:pt idx="0">
                  <c:v>-5.2206034660339462E-2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8B-4871-97E1-EA4C09CCFE0C}"/>
            </c:ext>
          </c:extLst>
        </c:ser>
        <c:ser>
          <c:idx val="4"/>
          <c:order val="4"/>
          <c:tx>
            <c:v>dd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C0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TABLA_M!$M$65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8B-4871-97E1-EA4C09CC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6928"/>
        <c:axId val="342633008"/>
      </c:scatterChart>
      <c:valAx>
        <c:axId val="34263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3008"/>
        <c:crosses val="autoZero"/>
        <c:crossBetween val="midCat"/>
      </c:valAx>
      <c:valAx>
        <c:axId val="342633008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6928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grafica error residual</a:t>
            </a:r>
          </a:p>
          <a:p>
            <a:pPr>
              <a:defRPr/>
            </a:pP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</a:t>
            </a:r>
            <a:r>
              <a:rPr lang="en-US" sz="8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FINAL</a:t>
            </a:r>
            <a:r>
              <a:rPr lang="en-US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- PLANTA DE MOLIBDENO (%mO)</a:t>
            </a:r>
          </a:p>
        </c:rich>
      </c:tx>
      <c:layout>
        <c:manualLayout>
          <c:xMode val="edge"/>
          <c:yMode val="edge"/>
          <c:x val="0.25346472736261599"/>
          <c:y val="2.38494717806229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2975228031792"/>
          <c:y val="0.1437995477735684"/>
          <c:w val="0.83065193155732542"/>
          <c:h val="0.68068535438085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TABLA!$BF$3</c:f>
              <c:strCache>
                <c:ptCount val="1"/>
                <c:pt idx="0">
                  <c:v>DIF.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1531FF"/>
              </a:solidFill>
              <a:ln w="9525">
                <a:solidFill>
                  <a:srgbClr val="1531FF"/>
                </a:solidFill>
                <a:round/>
              </a:ln>
              <a:effectLst/>
            </c:spPr>
          </c:marker>
          <c:xVal>
            <c:numRef>
              <c:f>TABLA!$B$4:$B$63</c:f>
              <c:numCache>
                <c:formatCode>General</c:formatCode>
                <c:ptCount val="60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</c:numCache>
            </c:numRef>
          </c:xVal>
          <c:yVal>
            <c:numRef>
              <c:f>TABLA_M!$AH$4:$AH$63</c:f>
              <c:numCache>
                <c:formatCode>0.000</c:formatCode>
                <c:ptCount val="60"/>
                <c:pt idx="0">
                  <c:v>-0.36141663885116576</c:v>
                </c:pt>
                <c:pt idx="1">
                  <c:v>-0.35441663885116576</c:v>
                </c:pt>
                <c:pt idx="2">
                  <c:v>-8.6802572727203375E-2</c:v>
                </c:pt>
                <c:pt idx="3">
                  <c:v>-0.11580257272720337</c:v>
                </c:pt>
                <c:pt idx="4">
                  <c:v>-6.1409626722335811E-2</c:v>
                </c:pt>
                <c:pt idx="5">
                  <c:v>-3.534220868349075E-2</c:v>
                </c:pt>
                <c:pt idx="6">
                  <c:v>7.6066634058952337E-3</c:v>
                </c:pt>
                <c:pt idx="7">
                  <c:v>-4.8767431676387786E-2</c:v>
                </c:pt>
                <c:pt idx="8">
                  <c:v>-6.5924016416072845E-2</c:v>
                </c:pt>
                <c:pt idx="9">
                  <c:v>-1.1414113759994508E-2</c:v>
                </c:pt>
                <c:pt idx="10">
                  <c:v>-2.4388558328151701E-2</c:v>
                </c:pt>
                <c:pt idx="11">
                  <c:v>-0.13115537071228028</c:v>
                </c:pt>
                <c:pt idx="12">
                  <c:v>-0.62877532815933224</c:v>
                </c:pt>
                <c:pt idx="13">
                  <c:v>-0.10842237937450408</c:v>
                </c:pt>
                <c:pt idx="14">
                  <c:v>0</c:v>
                </c:pt>
                <c:pt idx="15">
                  <c:v>-0.33917356729507447</c:v>
                </c:pt>
                <c:pt idx="16">
                  <c:v>-9.7381831884384151E-2</c:v>
                </c:pt>
                <c:pt idx="17">
                  <c:v>-6.038183188438416E-2</c:v>
                </c:pt>
                <c:pt idx="18">
                  <c:v>-0.17470893883705141</c:v>
                </c:pt>
                <c:pt idx="19">
                  <c:v>-0.19061573553085326</c:v>
                </c:pt>
                <c:pt idx="20">
                  <c:v>3.1702490508556364E-2</c:v>
                </c:pt>
                <c:pt idx="21">
                  <c:v>-4.4983144998550412E-2</c:v>
                </c:pt>
                <c:pt idx="22">
                  <c:v>-0.36860272455215454</c:v>
                </c:pt>
                <c:pt idx="23">
                  <c:v>-6.4356808900833132E-2</c:v>
                </c:pt>
                <c:pt idx="24">
                  <c:v>-0.17128069198131562</c:v>
                </c:pt>
                <c:pt idx="25">
                  <c:v>-8.2969288468360908E-2</c:v>
                </c:pt>
                <c:pt idx="26">
                  <c:v>-0.1189692884683609</c:v>
                </c:pt>
                <c:pt idx="27">
                  <c:v>-4.1032629787921909E-2</c:v>
                </c:pt>
                <c:pt idx="28">
                  <c:v>6.0475406467914578E-2</c:v>
                </c:pt>
                <c:pt idx="29">
                  <c:v>6.7177778005599986E-2</c:v>
                </c:pt>
                <c:pt idx="30">
                  <c:v>-2.0445882856845857E-2</c:v>
                </c:pt>
                <c:pt idx="31">
                  <c:v>2.6773503303527832E-2</c:v>
                </c:pt>
                <c:pt idx="32">
                  <c:v>3.6930297434329989E-2</c:v>
                </c:pt>
                <c:pt idx="33">
                  <c:v>-4.4995546340942383E-4</c:v>
                </c:pt>
                <c:pt idx="34">
                  <c:v>-3.4236893177032476E-2</c:v>
                </c:pt>
                <c:pt idx="35">
                  <c:v>0</c:v>
                </c:pt>
                <c:pt idx="36">
                  <c:v>0</c:v>
                </c:pt>
                <c:pt idx="37">
                  <c:v>-0.79645719146728511</c:v>
                </c:pt>
                <c:pt idx="38">
                  <c:v>-0.993115161895752</c:v>
                </c:pt>
                <c:pt idx="39">
                  <c:v>-0.16090819621086122</c:v>
                </c:pt>
                <c:pt idx="40">
                  <c:v>-0.42036770176887511</c:v>
                </c:pt>
                <c:pt idx="41">
                  <c:v>-4.9064592659473417E-2</c:v>
                </c:pt>
                <c:pt idx="42">
                  <c:v>-3.3035415053367628E-2</c:v>
                </c:pt>
                <c:pt idx="43">
                  <c:v>-0.12203541505336762</c:v>
                </c:pt>
                <c:pt idx="44">
                  <c:v>0.4260982353687286</c:v>
                </c:pt>
                <c:pt idx="45">
                  <c:v>-0.10426644480228424</c:v>
                </c:pt>
                <c:pt idx="46">
                  <c:v>-1.5691430181264877E-2</c:v>
                </c:pt>
                <c:pt idx="47">
                  <c:v>-4.7487991511821745E-2</c:v>
                </c:pt>
                <c:pt idx="48">
                  <c:v>-2.0849106311798093E-2</c:v>
                </c:pt>
                <c:pt idx="49">
                  <c:v>-7.281162202358249E-3</c:v>
                </c:pt>
                <c:pt idx="50">
                  <c:v>-9.915023505687709E-3</c:v>
                </c:pt>
                <c:pt idx="51">
                  <c:v>1.0924988746643063E-2</c:v>
                </c:pt>
                <c:pt idx="52">
                  <c:v>-3.6486050903797154E-2</c:v>
                </c:pt>
                <c:pt idx="53">
                  <c:v>-7.4308280944824223E-3</c:v>
                </c:pt>
                <c:pt idx="54">
                  <c:v>0</c:v>
                </c:pt>
                <c:pt idx="55">
                  <c:v>-0.2445975947380066</c:v>
                </c:pt>
                <c:pt idx="56">
                  <c:v>-0.17044925141334533</c:v>
                </c:pt>
                <c:pt idx="57">
                  <c:v>-2.1064567506313331E-2</c:v>
                </c:pt>
                <c:pt idx="58">
                  <c:v>-1.5665674924850465E-2</c:v>
                </c:pt>
                <c:pt idx="59">
                  <c:v>-6.5981741070747377E-2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9-4BB1-9FE0-239D3691ED44}"/>
            </c:ext>
          </c:extLst>
        </c:ser>
        <c:ser>
          <c:idx val="1"/>
          <c:order val="1"/>
          <c:tx>
            <c:strRef>
              <c:f>TABLA!$BJ$3</c:f>
              <c:strCache>
                <c:ptCount val="1"/>
                <c:pt idx="0">
                  <c:v>Lim Inf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TABLA_M!$AL$4:$AL$64</c:f>
              <c:numCache>
                <c:formatCode>0.000</c:formatCode>
                <c:ptCount val="61"/>
                <c:pt idx="0">
                  <c:v>-3.2516250000000003E-2</c:v>
                </c:pt>
                <c:pt idx="1">
                  <c:v>-3.2516250000000003E-2</c:v>
                </c:pt>
                <c:pt idx="2">
                  <c:v>-3.2516250000000003E-2</c:v>
                </c:pt>
                <c:pt idx="3">
                  <c:v>-3.2516250000000003E-2</c:v>
                </c:pt>
                <c:pt idx="4">
                  <c:v>-3.2516250000000003E-2</c:v>
                </c:pt>
                <c:pt idx="5">
                  <c:v>-3.2516250000000003E-2</c:v>
                </c:pt>
                <c:pt idx="6">
                  <c:v>-3.2516250000000003E-2</c:v>
                </c:pt>
                <c:pt idx="7">
                  <c:v>-3.2516250000000003E-2</c:v>
                </c:pt>
                <c:pt idx="8">
                  <c:v>-3.2516250000000003E-2</c:v>
                </c:pt>
                <c:pt idx="9">
                  <c:v>-3.2516250000000003E-2</c:v>
                </c:pt>
                <c:pt idx="10">
                  <c:v>-3.2516250000000003E-2</c:v>
                </c:pt>
                <c:pt idx="11">
                  <c:v>-3.2516250000000003E-2</c:v>
                </c:pt>
                <c:pt idx="12">
                  <c:v>-3.2516250000000003E-2</c:v>
                </c:pt>
                <c:pt idx="13">
                  <c:v>-3.2516250000000003E-2</c:v>
                </c:pt>
                <c:pt idx="14">
                  <c:v>-3.2516250000000003E-2</c:v>
                </c:pt>
                <c:pt idx="15">
                  <c:v>-3.2516250000000003E-2</c:v>
                </c:pt>
                <c:pt idx="16">
                  <c:v>-3.2516250000000003E-2</c:v>
                </c:pt>
                <c:pt idx="17">
                  <c:v>-3.2516250000000003E-2</c:v>
                </c:pt>
                <c:pt idx="18">
                  <c:v>-3.2516250000000003E-2</c:v>
                </c:pt>
                <c:pt idx="19">
                  <c:v>-3.2516250000000003E-2</c:v>
                </c:pt>
                <c:pt idx="20">
                  <c:v>-3.2516250000000003E-2</c:v>
                </c:pt>
                <c:pt idx="21">
                  <c:v>-3.2516250000000003E-2</c:v>
                </c:pt>
                <c:pt idx="22">
                  <c:v>-3.2516250000000003E-2</c:v>
                </c:pt>
                <c:pt idx="23">
                  <c:v>-3.2516250000000003E-2</c:v>
                </c:pt>
                <c:pt idx="24">
                  <c:v>-3.2516250000000003E-2</c:v>
                </c:pt>
                <c:pt idx="25">
                  <c:v>-3.2516250000000003E-2</c:v>
                </c:pt>
                <c:pt idx="26">
                  <c:v>-3.2516250000000003E-2</c:v>
                </c:pt>
                <c:pt idx="27">
                  <c:v>-3.2516250000000003E-2</c:v>
                </c:pt>
                <c:pt idx="28">
                  <c:v>-3.2516250000000003E-2</c:v>
                </c:pt>
                <c:pt idx="29">
                  <c:v>-3.2516250000000003E-2</c:v>
                </c:pt>
                <c:pt idx="30">
                  <c:v>-3.2516250000000003E-2</c:v>
                </c:pt>
                <c:pt idx="31">
                  <c:v>-3.2516250000000003E-2</c:v>
                </c:pt>
                <c:pt idx="32">
                  <c:v>-3.2516250000000003E-2</c:v>
                </c:pt>
                <c:pt idx="33">
                  <c:v>-3.2516250000000003E-2</c:v>
                </c:pt>
                <c:pt idx="34">
                  <c:v>-3.2516250000000003E-2</c:v>
                </c:pt>
                <c:pt idx="35">
                  <c:v>-3.2516250000000003E-2</c:v>
                </c:pt>
                <c:pt idx="36">
                  <c:v>-3.2516250000000003E-2</c:v>
                </c:pt>
                <c:pt idx="37">
                  <c:v>-3.2516250000000003E-2</c:v>
                </c:pt>
                <c:pt idx="38">
                  <c:v>-3.2516250000000003E-2</c:v>
                </c:pt>
                <c:pt idx="39">
                  <c:v>-3.2516250000000003E-2</c:v>
                </c:pt>
                <c:pt idx="40">
                  <c:v>-3.2516250000000003E-2</c:v>
                </c:pt>
                <c:pt idx="41">
                  <c:v>-3.2516250000000003E-2</c:v>
                </c:pt>
                <c:pt idx="42">
                  <c:v>-3.2516250000000003E-2</c:v>
                </c:pt>
                <c:pt idx="43">
                  <c:v>-3.2516250000000003E-2</c:v>
                </c:pt>
                <c:pt idx="44">
                  <c:v>-3.2516250000000003E-2</c:v>
                </c:pt>
                <c:pt idx="45">
                  <c:v>-3.2516250000000003E-2</c:v>
                </c:pt>
                <c:pt idx="46">
                  <c:v>-3.2516250000000003E-2</c:v>
                </c:pt>
                <c:pt idx="47">
                  <c:v>-3.2516250000000003E-2</c:v>
                </c:pt>
                <c:pt idx="48">
                  <c:v>-3.2516250000000003E-2</c:v>
                </c:pt>
                <c:pt idx="49">
                  <c:v>-3.2516250000000003E-2</c:v>
                </c:pt>
                <c:pt idx="50">
                  <c:v>-3.2516250000000003E-2</c:v>
                </c:pt>
                <c:pt idx="51">
                  <c:v>-3.2516250000000003E-2</c:v>
                </c:pt>
                <c:pt idx="52">
                  <c:v>-3.2516250000000003E-2</c:v>
                </c:pt>
                <c:pt idx="53">
                  <c:v>-3.2516250000000003E-2</c:v>
                </c:pt>
                <c:pt idx="54">
                  <c:v>-3.2516250000000003E-2</c:v>
                </c:pt>
                <c:pt idx="55">
                  <c:v>-3.2516250000000003E-2</c:v>
                </c:pt>
                <c:pt idx="56">
                  <c:v>-3.2516250000000003E-2</c:v>
                </c:pt>
                <c:pt idx="57">
                  <c:v>-3.2516250000000003E-2</c:v>
                </c:pt>
                <c:pt idx="58">
                  <c:v>-3.2516250000000003E-2</c:v>
                </c:pt>
                <c:pt idx="59">
                  <c:v>-3.2516250000000003E-2</c:v>
                </c:pt>
                <c:pt idx="60">
                  <c:v>-3.2516250000000003E-2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49-4BB1-9FE0-239D3691ED44}"/>
            </c:ext>
          </c:extLst>
        </c:ser>
        <c:ser>
          <c:idx val="2"/>
          <c:order val="2"/>
          <c:tx>
            <c:strRef>
              <c:f>TABLA!$BI$3</c:f>
              <c:strCache>
                <c:ptCount val="1"/>
                <c:pt idx="0">
                  <c:v>Lim Sup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FF0000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xVal>
            <c:numRef>
              <c:f>TABLA!$B$4:$B$64</c:f>
              <c:numCache>
                <c:formatCode>General</c:formatCode>
                <c:ptCount val="61"/>
                <c:pt idx="0" formatCode="d\-mmm\-yyyy">
                  <c:v>46248</c:v>
                </c:pt>
                <c:pt idx="2" formatCode="d\-mmm\-yyyy">
                  <c:v>46249</c:v>
                </c:pt>
                <c:pt idx="4" formatCode="d\-mmm\-yyyy">
                  <c:v>46250</c:v>
                </c:pt>
                <c:pt idx="6" formatCode="d\-mmm\-yyyy">
                  <c:v>46251</c:v>
                </c:pt>
                <c:pt idx="8" formatCode="d\-mmm\-yyyy">
                  <c:v>46252</c:v>
                </c:pt>
                <c:pt idx="10" formatCode="d\-mmm\-yyyy">
                  <c:v>46253</c:v>
                </c:pt>
                <c:pt idx="12" formatCode="d\-mmm\-yyyy">
                  <c:v>46254</c:v>
                </c:pt>
                <c:pt idx="14" formatCode="d\-mmm\-yyyy">
                  <c:v>46255</c:v>
                </c:pt>
                <c:pt idx="16" formatCode="d\-mmm\-yyyy">
                  <c:v>46256</c:v>
                </c:pt>
                <c:pt idx="18" formatCode="d\-mmm\-yyyy">
                  <c:v>46257</c:v>
                </c:pt>
                <c:pt idx="20" formatCode="d\-mmm\-yyyy">
                  <c:v>46258</c:v>
                </c:pt>
                <c:pt idx="22" formatCode="d\-mmm\-yyyy">
                  <c:v>46259</c:v>
                </c:pt>
                <c:pt idx="24" formatCode="d\-mmm\-yyyy">
                  <c:v>46260</c:v>
                </c:pt>
                <c:pt idx="26" formatCode="d\-mmm\-yyyy">
                  <c:v>46261</c:v>
                </c:pt>
                <c:pt idx="28" formatCode="d\-mmm\-yyyy">
                  <c:v>46262</c:v>
                </c:pt>
                <c:pt idx="30" formatCode="d\-mmm\-yyyy">
                  <c:v>46263</c:v>
                </c:pt>
                <c:pt idx="32" formatCode="d\-mmm\-yyyy">
                  <c:v>46264</c:v>
                </c:pt>
                <c:pt idx="34" formatCode="d\-mmm\-yyyy">
                  <c:v>46265</c:v>
                </c:pt>
                <c:pt idx="36" formatCode="d\-mmm\-yyyy">
                  <c:v>46266</c:v>
                </c:pt>
                <c:pt idx="38" formatCode="d\-mmm\-yyyy">
                  <c:v>46267</c:v>
                </c:pt>
                <c:pt idx="40" formatCode="d\-mmm\-yyyy">
                  <c:v>46268</c:v>
                </c:pt>
                <c:pt idx="42" formatCode="d\-mmm\-yyyy">
                  <c:v>46269</c:v>
                </c:pt>
                <c:pt idx="44" formatCode="d\-mmm\-yyyy">
                  <c:v>46270</c:v>
                </c:pt>
                <c:pt idx="46" formatCode="d\-mmm\-yyyy">
                  <c:v>46271</c:v>
                </c:pt>
                <c:pt idx="48" formatCode="d\-mmm\-yyyy">
                  <c:v>46272</c:v>
                </c:pt>
                <c:pt idx="50" formatCode="d\-mmm\-yyyy">
                  <c:v>46273</c:v>
                </c:pt>
                <c:pt idx="52" formatCode="d\-mmm\-yyyy">
                  <c:v>46274</c:v>
                </c:pt>
                <c:pt idx="54" formatCode="d\-mmm\-yyyy">
                  <c:v>46275</c:v>
                </c:pt>
                <c:pt idx="56" formatCode="d\-mmm\-yyyy">
                  <c:v>46276</c:v>
                </c:pt>
                <c:pt idx="58" formatCode="d\-mmm\-yyyy">
                  <c:v>46277</c:v>
                </c:pt>
                <c:pt idx="60" formatCode="d\-mmm\-yyyy">
                  <c:v>46278</c:v>
                </c:pt>
              </c:numCache>
            </c:numRef>
          </c:xVal>
          <c:yVal>
            <c:numRef>
              <c:f>TABLA_M!$AK$4:$AK$64</c:f>
              <c:numCache>
                <c:formatCode>0.000</c:formatCode>
                <c:ptCount val="61"/>
                <c:pt idx="0">
                  <c:v>3.2516250000000003E-2</c:v>
                </c:pt>
                <c:pt idx="1">
                  <c:v>3.2516250000000003E-2</c:v>
                </c:pt>
                <c:pt idx="2">
                  <c:v>3.2516250000000003E-2</c:v>
                </c:pt>
                <c:pt idx="3">
                  <c:v>3.2516250000000003E-2</c:v>
                </c:pt>
                <c:pt idx="4">
                  <c:v>3.2516250000000003E-2</c:v>
                </c:pt>
                <c:pt idx="5">
                  <c:v>3.2516250000000003E-2</c:v>
                </c:pt>
                <c:pt idx="6">
                  <c:v>3.2516250000000003E-2</c:v>
                </c:pt>
                <c:pt idx="7">
                  <c:v>3.2516250000000003E-2</c:v>
                </c:pt>
                <c:pt idx="8">
                  <c:v>3.2516250000000003E-2</c:v>
                </c:pt>
                <c:pt idx="9">
                  <c:v>3.2516250000000003E-2</c:v>
                </c:pt>
                <c:pt idx="10">
                  <c:v>3.2516250000000003E-2</c:v>
                </c:pt>
                <c:pt idx="11">
                  <c:v>3.2516250000000003E-2</c:v>
                </c:pt>
                <c:pt idx="12">
                  <c:v>3.2516250000000003E-2</c:v>
                </c:pt>
                <c:pt idx="13">
                  <c:v>3.2516250000000003E-2</c:v>
                </c:pt>
                <c:pt idx="14">
                  <c:v>3.2516250000000003E-2</c:v>
                </c:pt>
                <c:pt idx="15">
                  <c:v>3.2516250000000003E-2</c:v>
                </c:pt>
                <c:pt idx="16">
                  <c:v>3.2516250000000003E-2</c:v>
                </c:pt>
                <c:pt idx="17">
                  <c:v>3.2516250000000003E-2</c:v>
                </c:pt>
                <c:pt idx="18">
                  <c:v>3.2516250000000003E-2</c:v>
                </c:pt>
                <c:pt idx="19">
                  <c:v>3.2516250000000003E-2</c:v>
                </c:pt>
                <c:pt idx="20">
                  <c:v>3.2516250000000003E-2</c:v>
                </c:pt>
                <c:pt idx="21">
                  <c:v>3.2516250000000003E-2</c:v>
                </c:pt>
                <c:pt idx="22">
                  <c:v>3.2516250000000003E-2</c:v>
                </c:pt>
                <c:pt idx="23">
                  <c:v>3.2516250000000003E-2</c:v>
                </c:pt>
                <c:pt idx="24">
                  <c:v>3.2516250000000003E-2</c:v>
                </c:pt>
                <c:pt idx="25">
                  <c:v>3.2516250000000003E-2</c:v>
                </c:pt>
                <c:pt idx="26">
                  <c:v>3.2516250000000003E-2</c:v>
                </c:pt>
                <c:pt idx="27">
                  <c:v>3.2516250000000003E-2</c:v>
                </c:pt>
                <c:pt idx="28">
                  <c:v>3.2516250000000003E-2</c:v>
                </c:pt>
                <c:pt idx="29">
                  <c:v>3.2516250000000003E-2</c:v>
                </c:pt>
                <c:pt idx="30">
                  <c:v>3.2516250000000003E-2</c:v>
                </c:pt>
                <c:pt idx="31">
                  <c:v>3.2516250000000003E-2</c:v>
                </c:pt>
                <c:pt idx="32">
                  <c:v>3.2516250000000003E-2</c:v>
                </c:pt>
                <c:pt idx="33">
                  <c:v>3.2516250000000003E-2</c:v>
                </c:pt>
                <c:pt idx="34">
                  <c:v>3.2516250000000003E-2</c:v>
                </c:pt>
                <c:pt idx="35">
                  <c:v>3.2516250000000003E-2</c:v>
                </c:pt>
                <c:pt idx="36">
                  <c:v>3.2516250000000003E-2</c:v>
                </c:pt>
                <c:pt idx="37">
                  <c:v>3.2516250000000003E-2</c:v>
                </c:pt>
                <c:pt idx="38">
                  <c:v>3.2516250000000003E-2</c:v>
                </c:pt>
                <c:pt idx="39">
                  <c:v>3.2516250000000003E-2</c:v>
                </c:pt>
                <c:pt idx="40">
                  <c:v>3.2516250000000003E-2</c:v>
                </c:pt>
                <c:pt idx="41">
                  <c:v>3.2516250000000003E-2</c:v>
                </c:pt>
                <c:pt idx="42">
                  <c:v>3.2516250000000003E-2</c:v>
                </c:pt>
                <c:pt idx="43">
                  <c:v>3.2516250000000003E-2</c:v>
                </c:pt>
                <c:pt idx="44">
                  <c:v>3.2516250000000003E-2</c:v>
                </c:pt>
                <c:pt idx="45">
                  <c:v>3.2516250000000003E-2</c:v>
                </c:pt>
                <c:pt idx="46">
                  <c:v>3.2516250000000003E-2</c:v>
                </c:pt>
                <c:pt idx="47">
                  <c:v>3.2516250000000003E-2</c:v>
                </c:pt>
                <c:pt idx="48">
                  <c:v>3.2516250000000003E-2</c:v>
                </c:pt>
                <c:pt idx="49">
                  <c:v>3.2516250000000003E-2</c:v>
                </c:pt>
                <c:pt idx="50">
                  <c:v>3.2516250000000003E-2</c:v>
                </c:pt>
                <c:pt idx="51">
                  <c:v>3.2516250000000003E-2</c:v>
                </c:pt>
                <c:pt idx="52">
                  <c:v>3.2516250000000003E-2</c:v>
                </c:pt>
                <c:pt idx="53">
                  <c:v>3.2516250000000003E-2</c:v>
                </c:pt>
                <c:pt idx="54">
                  <c:v>3.2516250000000003E-2</c:v>
                </c:pt>
                <c:pt idx="55">
                  <c:v>3.2516250000000003E-2</c:v>
                </c:pt>
                <c:pt idx="56">
                  <c:v>3.2516250000000003E-2</c:v>
                </c:pt>
                <c:pt idx="57">
                  <c:v>3.2516250000000003E-2</c:v>
                </c:pt>
                <c:pt idx="58">
                  <c:v>3.2516250000000003E-2</c:v>
                </c:pt>
                <c:pt idx="59">
                  <c:v>3.2516250000000003E-2</c:v>
                </c:pt>
                <c:pt idx="60">
                  <c:v>3.2516250000000003E-2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49-4BB1-9FE0-239D3691ED44}"/>
            </c:ext>
          </c:extLst>
        </c:ser>
        <c:ser>
          <c:idx val="3"/>
          <c:order val="3"/>
          <c:tx>
            <c:v>dif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TABLA!$B$64</c:f>
              <c:numCache>
                <c:formatCode>d\-mmm\-yyyy</c:formatCode>
                <c:ptCount val="1"/>
                <c:pt idx="0">
                  <c:v>46278</c:v>
                </c:pt>
              </c:numCache>
            </c:numRef>
          </c:xVal>
          <c:yVal>
            <c:numRef>
              <c:f>TABLA_M!$AH$64</c:f>
              <c:numCache>
                <c:formatCode>0.000</c:formatCode>
                <c:ptCount val="1"/>
                <c:pt idx="0">
                  <c:v>-3.1254484057426507E-3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49-4BB1-9FE0-239D3691ED44}"/>
            </c:ext>
          </c:extLst>
        </c:ser>
        <c:ser>
          <c:idx val="4"/>
          <c:order val="4"/>
          <c:tx>
            <c:v>dd act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C00000"/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TABLA!$B$65</c:f>
              <c:numCache>
                <c:formatCode>d\-mmm\-yyyy</c:formatCode>
                <c:ptCount val="1"/>
                <c:pt idx="0">
                  <c:v>46278.9</c:v>
                </c:pt>
              </c:numCache>
            </c:numRef>
          </c:xVal>
          <c:yVal>
            <c:numRef>
              <c:f>TABLA_M!$AH$65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549-4BB1-9FE0-239D3691E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6928"/>
        <c:axId val="342633008"/>
      </c:scatterChart>
      <c:valAx>
        <c:axId val="34263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latin typeface="Arial" panose="020B0604020202020204" pitchFamily="34" charset="0"/>
                    <a:cs typeface="Arial" panose="020B0604020202020204" pitchFamily="34" charset="0"/>
                  </a:rPr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dd\-mmm\ " sourceLinked="0"/>
        <c:majorTickMark val="out"/>
        <c:minorTickMark val="out"/>
        <c:tickLblPos val="low"/>
        <c:spPr>
          <a:noFill/>
          <a:ln w="15875" cap="flat" cmpd="sng" algn="ctr">
            <a:solidFill>
              <a:schemeClr val="tx1"/>
            </a:solidFill>
            <a:round/>
            <a:tailEnd type="oval"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3008"/>
        <c:crosses val="autoZero"/>
        <c:crossBetween val="midCat"/>
      </c:valAx>
      <c:valAx>
        <c:axId val="342633008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PE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15875" cap="flat" cmpd="sng" algn="ctr">
            <a:solidFill>
              <a:schemeClr val="tx1"/>
            </a:solidFill>
            <a:round/>
            <a:headEnd type="triangl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6928"/>
        <c:crosses val="autoZero"/>
        <c:crossBetween val="midCat"/>
      </c:valAx>
      <c:spPr>
        <a:noFill/>
        <a:ln>
          <a:solidFill>
            <a:schemeClr val="tx1">
              <a:alpha val="39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 ULT LIMPIEZA - PLANTA DE MOLIBDENO (%Cu)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397A-4AE9-B472-48F843FB5DF2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397A-4AE9-B472-48F843FB5DF2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397A-4AE9-B472-48F843FB5DF2}"/>
              </c:ext>
            </c:extLst>
          </c:dPt>
          <c:dLbls>
            <c:dLbl>
              <c:idx val="0"/>
              <c:layout>
                <c:manualLayout>
                  <c:x val="-0.17194808731839598"/>
                  <c:y val="0.14923068077595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7A-4AE9-B472-48F843FB5DF2}"/>
                </c:ext>
              </c:extLst>
            </c:dLbl>
            <c:dLbl>
              <c:idx val="1"/>
              <c:layout>
                <c:manualLayout>
                  <c:x val="0.28303658778195689"/>
                  <c:y val="-0.128529486188903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7A-4AE9-B472-48F843FB5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Calculos_M!$F$46:$F$47</c:f>
              <c:numCache>
                <c:formatCode>0.00</c:formatCode>
                <c:ptCount val="2"/>
                <c:pt idx="0">
                  <c:v>30.188679245283019</c:v>
                </c:pt>
                <c:pt idx="1">
                  <c:v>69.811320754716974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7A-4AE9-B472-48F843FB5DF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CONCENTRADO</a:t>
            </a:r>
            <a:r>
              <a:rPr lang="es-PE" sz="8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ULT LIMPIEZA</a:t>
            </a: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 PLANTA DE MOLIBDENO (%Mo)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8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A3C4-4CCF-9EE9-DBD2B9B24131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A3C4-4CCF-9EE9-DBD2B9B24131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A3C4-4CCF-9EE9-DBD2B9B24131}"/>
              </c:ext>
            </c:extLst>
          </c:dPt>
          <c:dLbls>
            <c:dLbl>
              <c:idx val="0"/>
              <c:layout>
                <c:manualLayout>
                  <c:x val="-0.10819660715282355"/>
                  <c:y val="-0.195697297490085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3C4-4CCF-9EE9-DBD2B9B24131}"/>
                </c:ext>
              </c:extLst>
            </c:dLbl>
            <c:dLbl>
              <c:idx val="1"/>
              <c:layout>
                <c:manualLayout>
                  <c:x val="-0.10944981313277942"/>
                  <c:y val="9.60681289414869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C4-4CCF-9EE9-DBD2B9B24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Calculos_M!$G$46:$G$47</c:f>
              <c:numCache>
                <c:formatCode>0.00</c:formatCode>
                <c:ptCount val="2"/>
                <c:pt idx="0">
                  <c:v>73.584905660377359</c:v>
                </c:pt>
                <c:pt idx="1">
                  <c:v>26.415094339622641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C4-4CCF-9EE9-DBD2B9B2413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MOLIBDENO (%Cu)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794896682992408"/>
          <c:y val="0.14990464026643538"/>
          <c:w val="0.59760043862949785"/>
          <c:h val="0.71782035597482619"/>
        </c:manualLayout>
      </c:layout>
      <c:pieChart>
        <c:varyColors val="1"/>
        <c:ser>
          <c:idx val="0"/>
          <c:order val="0"/>
          <c:tx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CA0B-427D-A266-858AF58FC4A4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A0B-427D-A266-858AF58FC4A4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CA0B-427D-A266-858AF58FC4A4}"/>
              </c:ext>
            </c:extLst>
          </c:dPt>
          <c:dLbls>
            <c:dLbl>
              <c:idx val="0"/>
              <c:layout>
                <c:manualLayout>
                  <c:x val="-0.14265301817654305"/>
                  <c:y val="-0.160929286339097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0B-427D-A266-858AF58FC4A4}"/>
                </c:ext>
              </c:extLst>
            </c:dLbl>
            <c:dLbl>
              <c:idx val="1"/>
              <c:layout>
                <c:manualLayout>
                  <c:x val="-9.1289719779469217E-2"/>
                  <c:y val="7.25331248190479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0B-427D-A266-858AF58FC4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Calculos_M!$B$46:$B$47</c:f>
              <c:numCache>
                <c:formatCode>0.00</c:formatCode>
                <c:ptCount val="2"/>
                <c:pt idx="0">
                  <c:v>89.473684210526315</c:v>
                </c:pt>
                <c:pt idx="1">
                  <c:v>10.526315789473683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0B-427D-A266-858AF58FC4A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 FINAL - PLANTA DE MOLIBDENO (%Cu)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794896682992408"/>
          <c:y val="0.14990464026643538"/>
          <c:w val="0.59760043862949785"/>
          <c:h val="0.71782035597482619"/>
        </c:manualLayout>
      </c:layout>
      <c:pieChart>
        <c:varyColors val="1"/>
        <c:ser>
          <c:idx val="0"/>
          <c:order val="0"/>
          <c:tx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10"/>
          <c:dPt>
            <c:idx val="0"/>
            <c:bubble3D val="0"/>
            <c:explosion val="4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E64B-4A0D-BDA7-3DCA909585DB}"/>
              </c:ext>
            </c:extLst>
          </c:dPt>
          <c:dPt>
            <c:idx val="1"/>
            <c:bubble3D val="0"/>
            <c:explosion val="5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E64B-4A0D-BDA7-3DCA909585DB}"/>
              </c:ext>
            </c:extLst>
          </c:dPt>
          <c:dPt>
            <c:idx val="2"/>
            <c:bubble3D val="0"/>
            <c:explosion val="4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E64B-4A0D-BDA7-3DCA909585DB}"/>
              </c:ext>
            </c:extLst>
          </c:dPt>
          <c:dLbls>
            <c:dLbl>
              <c:idx val="0"/>
              <c:layout>
                <c:manualLayout>
                  <c:x val="-0.14265301817654305"/>
                  <c:y val="-0.160929286339097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B-4A0D-BDA7-3DCA909585DB}"/>
                </c:ext>
              </c:extLst>
            </c:dLbl>
            <c:dLbl>
              <c:idx val="1"/>
              <c:layout>
                <c:manualLayout>
                  <c:x val="-9.1289719779469217E-2"/>
                  <c:y val="7.25331248190479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4B-4A0D-BDA7-3DCA909585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Calculos_M!$D$46:$D$47</c:f>
              <c:numCache>
                <c:formatCode>0.00</c:formatCode>
                <c:ptCount val="2"/>
                <c:pt idx="0">
                  <c:v>56.140350877192979</c:v>
                </c:pt>
                <c:pt idx="1">
                  <c:v>43.859649122807014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4B-4A0D-BDA7-3DCA909585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MOLIBDENO (%Mo)</a:t>
            </a:r>
          </a:p>
        </c:rich>
      </c:tx>
      <c:layout>
        <c:manualLayout>
          <c:xMode val="edge"/>
          <c:yMode val="edge"/>
          <c:x val="0.10073888712137899"/>
          <c:y val="3.06665322490581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8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1EDC-41AC-BDCC-922827657AD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1EDC-41AC-BDCC-922827657AD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1EDC-41AC-BDCC-922827657ADA}"/>
              </c:ext>
            </c:extLst>
          </c:dPt>
          <c:dLbls>
            <c:dLbl>
              <c:idx val="0"/>
              <c:layout>
                <c:manualLayout>
                  <c:x val="-0.16647343024726105"/>
                  <c:y val="8.41349593034592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DC-41AC-BDCC-922827657ADA}"/>
                </c:ext>
              </c:extLst>
            </c:dLbl>
            <c:dLbl>
              <c:idx val="1"/>
              <c:layout>
                <c:manualLayout>
                  <c:x val="0.17235210020965386"/>
                  <c:y val="-0.10385782561005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DC-41AC-BDCC-922827657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Calculos_M!$C$46:$C$47</c:f>
              <c:numCache>
                <c:formatCode>0.00</c:formatCode>
                <c:ptCount val="2"/>
                <c:pt idx="0">
                  <c:v>52.631578947368418</c:v>
                </c:pt>
                <c:pt idx="1">
                  <c:v>47.368421052631575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DC-41AC-BDCC-922827657A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DIFERENCIA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s-PE" sz="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COLA FINAL - PLANTA DE MOLIBDENO (%Mo)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Calculos_M!$A$46:$A$47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tx>
          <c:explosion val="8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ED71-404F-A834-A4A0AA20886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ED71-404F-A834-A4A0AA20886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ED71-404F-A834-A4A0AA208862}"/>
              </c:ext>
            </c:extLst>
          </c:dPt>
          <c:dLbls>
            <c:dLbl>
              <c:idx val="0"/>
              <c:layout>
                <c:manualLayout>
                  <c:x val="-0.24417588491063197"/>
                  <c:y val="-0.145864076591498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71-404F-A834-A4A0AA208862}"/>
                </c:ext>
              </c:extLst>
            </c:dLbl>
            <c:dLbl>
              <c:idx val="1"/>
              <c:layout>
                <c:manualLayout>
                  <c:x val="0.20754764119005081"/>
                  <c:y val="3.09016717792660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71-404F-A834-A4A0AA2088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Calculos!$A$46:$A$47</c:f>
              <c:strCache>
                <c:ptCount val="2"/>
                <c:pt idx="0">
                  <c:v>Aceptable</c:v>
                </c:pt>
                <c:pt idx="1">
                  <c:v>Fuera de rango</c:v>
                </c:pt>
              </c:strCache>
            </c:strRef>
          </c:cat>
          <c:val>
            <c:numRef>
              <c:f>Calculos_M!$E$46:$E$47</c:f>
              <c:numCache>
                <c:formatCode>0.00</c:formatCode>
                <c:ptCount val="2"/>
                <c:pt idx="0">
                  <c:v>28.07017543859649</c:v>
                </c:pt>
                <c:pt idx="1">
                  <c:v>71.929824561403507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71-404F-A834-A4A0AA20886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(%Cu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'!$C$114:$C$143</c:f>
              <c:numCache>
                <c:formatCode>0.00E+00</c:formatCode>
                <c:ptCount val="30"/>
                <c:pt idx="0">
                  <c:v>2.2900998303411822E-2</c:v>
                </c:pt>
                <c:pt idx="1">
                  <c:v>3.5829445201545886E-2</c:v>
                </c:pt>
                <c:pt idx="2">
                  <c:v>5.3116873754596165E-2</c:v>
                </c:pt>
                <c:pt idx="3">
                  <c:v>7.4615951795735699E-2</c:v>
                </c:pt>
                <c:pt idx="4">
                  <c:v>9.9320206563340271E-2</c:v>
                </c:pt>
                <c:pt idx="5">
                  <c:v>0.12527092927264566</c:v>
                </c:pt>
                <c:pt idx="6">
                  <c:v>0.14971652490070922</c:v>
                </c:pt>
                <c:pt idx="7">
                  <c:v>0.1695492726689421</c:v>
                </c:pt>
                <c:pt idx="8">
                  <c:v>0.18194028812497129</c:v>
                </c:pt>
                <c:pt idx="9">
                  <c:v>0.184998658518575</c:v>
                </c:pt>
                <c:pt idx="10">
                  <c:v>0.17824404705583477</c:v>
                </c:pt>
                <c:pt idx="11">
                  <c:v>0.16273023194732894</c:v>
                </c:pt>
                <c:pt idx="12">
                  <c:v>0.14077586567327574</c:v>
                </c:pt>
                <c:pt idx="13">
                  <c:v>0.11539710769434905</c:v>
                </c:pt>
                <c:pt idx="14">
                  <c:v>8.9633095481711958E-2</c:v>
                </c:pt>
                <c:pt idx="15">
                  <c:v>6.5970324497836463E-2</c:v>
                </c:pt>
                <c:pt idx="16">
                  <c:v>4.6008237831116836E-2</c:v>
                </c:pt>
                <c:pt idx="17">
                  <c:v>3.0403902623367857E-2</c:v>
                </c:pt>
                <c:pt idx="18">
                  <c:v>1.9038372517624916E-2</c:v>
                </c:pt>
                <c:pt idx="19">
                  <c:v>1.1296321954693862E-2</c:v>
                </c:pt>
                <c:pt idx="20">
                  <c:v>6.351130800423016E-3</c:v>
                </c:pt>
                <c:pt idx="21">
                  <c:v>3.3835438287116233E-3</c:v>
                </c:pt>
                <c:pt idx="22">
                  <c:v>1.7080450061589304E-3</c:v>
                </c:pt>
                <c:pt idx="23">
                  <c:v>8.1702165476253274E-4</c:v>
                </c:pt>
                <c:pt idx="24">
                  <c:v>3.7031779255494062E-4</c:v>
                </c:pt>
                <c:pt idx="25">
                  <c:v>1.5904585111031617E-4</c:v>
                </c:pt>
                <c:pt idx="26">
                  <c:v>6.472571611786458E-5</c:v>
                </c:pt>
                <c:pt idx="27">
                  <c:v>2.4959629691348634E-5</c:v>
                </c:pt>
                <c:pt idx="28">
                  <c:v>9.1202378663570442E-6</c:v>
                </c:pt>
                <c:pt idx="29">
                  <c:v>3.1577732908288954E-6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3-4E26-A06F-4A2596162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BB3-4E26-A06F-4A25961622EE}"/>
              </c:ext>
            </c:extLst>
          </c:dPt>
          <c:cat>
            <c:numRef>
              <c:f>[3]Sta_Mo!$C$85:$C$114</c:f>
              <c:numCache>
                <c:formatCode>General</c:formatCode>
                <c:ptCount val="30"/>
                <c:pt idx="0">
                  <c:v>18</c:v>
                </c:pt>
                <c:pt idx="1">
                  <c:v>18.5</c:v>
                </c:pt>
                <c:pt idx="2">
                  <c:v>19</c:v>
                </c:pt>
                <c:pt idx="3">
                  <c:v>19.5</c:v>
                </c:pt>
                <c:pt idx="4">
                  <c:v>20</c:v>
                </c:pt>
                <c:pt idx="5">
                  <c:v>20.5</c:v>
                </c:pt>
                <c:pt idx="6">
                  <c:v>21</c:v>
                </c:pt>
                <c:pt idx="7">
                  <c:v>21.5</c:v>
                </c:pt>
                <c:pt idx="8">
                  <c:v>22</c:v>
                </c:pt>
                <c:pt idx="9">
                  <c:v>22.5</c:v>
                </c:pt>
                <c:pt idx="10">
                  <c:v>23</c:v>
                </c:pt>
                <c:pt idx="11">
                  <c:v>23.5</c:v>
                </c:pt>
                <c:pt idx="12">
                  <c:v>24</c:v>
                </c:pt>
                <c:pt idx="13">
                  <c:v>24.5</c:v>
                </c:pt>
                <c:pt idx="14">
                  <c:v>25</c:v>
                </c:pt>
                <c:pt idx="15">
                  <c:v>25.5</c:v>
                </c:pt>
                <c:pt idx="16">
                  <c:v>26</c:v>
                </c:pt>
                <c:pt idx="17">
                  <c:v>26.5</c:v>
                </c:pt>
                <c:pt idx="18">
                  <c:v>27</c:v>
                </c:pt>
                <c:pt idx="19">
                  <c:v>27.5</c:v>
                </c:pt>
                <c:pt idx="20">
                  <c:v>28</c:v>
                </c:pt>
                <c:pt idx="21">
                  <c:v>28.5</c:v>
                </c:pt>
                <c:pt idx="22">
                  <c:v>29</c:v>
                </c:pt>
                <c:pt idx="23">
                  <c:v>29.5</c:v>
                </c:pt>
                <c:pt idx="24">
                  <c:v>30</c:v>
                </c:pt>
                <c:pt idx="25">
                  <c:v>30.5</c:v>
                </c:pt>
                <c:pt idx="26">
                  <c:v>31</c:v>
                </c:pt>
                <c:pt idx="27">
                  <c:v>31.5</c:v>
                </c:pt>
                <c:pt idx="28">
                  <c:v>32</c:v>
                </c:pt>
                <c:pt idx="29">
                  <c:v>32.5</c:v>
                </c:pt>
              </c:numCache>
            </c:numRef>
          </c:cat>
          <c:val>
            <c:numRef>
              <c:f>'Sta_Mo '!$C$146:$C$175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B3-4E26-A06F-4A2596162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(%Cu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'!$D$114:$D$143</c:f>
              <c:numCache>
                <c:formatCode>0.00E+00</c:formatCode>
                <c:ptCount val="30"/>
                <c:pt idx="0">
                  <c:v>9.5836893193645652E-4</c:v>
                </c:pt>
                <c:pt idx="1">
                  <c:v>2.8052429184294587E-3</c:v>
                </c:pt>
                <c:pt idx="2">
                  <c:v>7.3307678472875363E-3</c:v>
                </c:pt>
                <c:pt idx="3">
                  <c:v>7.3307678472875363E-3</c:v>
                </c:pt>
                <c:pt idx="4">
                  <c:v>1.7102897835339356E-2</c:v>
                </c:pt>
                <c:pt idx="5">
                  <c:v>3.5623056522663725E-2</c:v>
                </c:pt>
                <c:pt idx="6">
                  <c:v>6.6242071014935816E-2</c:v>
                </c:pt>
                <c:pt idx="7">
                  <c:v>0.10997092227404759</c:v>
                </c:pt>
                <c:pt idx="8">
                  <c:v>0.16299079425899748</c:v>
                </c:pt>
                <c:pt idx="9">
                  <c:v>0.21566989570476236</c:v>
                </c:pt>
                <c:pt idx="10">
                  <c:v>0.2547752426936758</c:v>
                </c:pt>
                <c:pt idx="11">
                  <c:v>0.26869906984443764</c:v>
                </c:pt>
                <c:pt idx="12">
                  <c:v>0.25299756747927415</c:v>
                </c:pt>
                <c:pt idx="13">
                  <c:v>0.21267075432096572</c:v>
                </c:pt>
                <c:pt idx="14">
                  <c:v>0.15960277599449629</c:v>
                </c:pt>
                <c:pt idx="15">
                  <c:v>0.10693364079713658</c:v>
                </c:pt>
                <c:pt idx="16">
                  <c:v>6.3963100878054277E-2</c:v>
                </c:pt>
                <c:pt idx="17">
                  <c:v>3.4157486822084054E-2</c:v>
                </c:pt>
                <c:pt idx="18">
                  <c:v>1.6284842121582419E-2</c:v>
                </c:pt>
                <c:pt idx="19">
                  <c:v>6.9314235731543312E-3</c:v>
                </c:pt>
                <c:pt idx="20">
                  <c:v>2.6339199327818025E-3</c:v>
                </c:pt>
                <c:pt idx="21">
                  <c:v>8.9356045843902085E-4</c:v>
                </c:pt>
                <c:pt idx="22">
                  <c:v>2.706366188519979E-4</c:v>
                </c:pt>
                <c:pt idx="23">
                  <c:v>7.3179665367290492E-5</c:v>
                </c:pt>
                <c:pt idx="24">
                  <c:v>1.7665890039147124E-5</c:v>
                </c:pt>
                <c:pt idx="25">
                  <c:v>3.8073418264865635E-6</c:v>
                </c:pt>
                <c:pt idx="26">
                  <c:v>7.3257055798191935E-7</c:v>
                </c:pt>
                <c:pt idx="27">
                  <c:v>1.2583987965417853E-7</c:v>
                </c:pt>
                <c:pt idx="28">
                  <c:v>1.9298714068030107E-8</c:v>
                </c:pt>
                <c:pt idx="29">
                  <c:v>2.6422852010312061E-9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2-45FF-84CE-926AB7DF0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892-45FF-84CE-926AB7DF0ED8}"/>
              </c:ext>
            </c:extLst>
          </c:dPt>
          <c:cat>
            <c:numRef>
              <c:f>[3]Sta_Mo!$D$85:$D$114</c:f>
              <c:numCache>
                <c:formatCode>General</c:formatCode>
                <c:ptCount val="30"/>
                <c:pt idx="0">
                  <c:v>18</c:v>
                </c:pt>
                <c:pt idx="1">
                  <c:v>18.5</c:v>
                </c:pt>
                <c:pt idx="2">
                  <c:v>19</c:v>
                </c:pt>
                <c:pt idx="3">
                  <c:v>19.5</c:v>
                </c:pt>
                <c:pt idx="4">
                  <c:v>20</c:v>
                </c:pt>
                <c:pt idx="5">
                  <c:v>20.5</c:v>
                </c:pt>
                <c:pt idx="6">
                  <c:v>21</c:v>
                </c:pt>
                <c:pt idx="7">
                  <c:v>21.5</c:v>
                </c:pt>
                <c:pt idx="8">
                  <c:v>22</c:v>
                </c:pt>
                <c:pt idx="9">
                  <c:v>22.5</c:v>
                </c:pt>
                <c:pt idx="10">
                  <c:v>23</c:v>
                </c:pt>
                <c:pt idx="11">
                  <c:v>23.5</c:v>
                </c:pt>
                <c:pt idx="12">
                  <c:v>24</c:v>
                </c:pt>
                <c:pt idx="13">
                  <c:v>24.5</c:v>
                </c:pt>
                <c:pt idx="14">
                  <c:v>25</c:v>
                </c:pt>
                <c:pt idx="15">
                  <c:v>25.5</c:v>
                </c:pt>
                <c:pt idx="16">
                  <c:v>26</c:v>
                </c:pt>
                <c:pt idx="17">
                  <c:v>26.5</c:v>
                </c:pt>
                <c:pt idx="18">
                  <c:v>27</c:v>
                </c:pt>
                <c:pt idx="19">
                  <c:v>27.5</c:v>
                </c:pt>
                <c:pt idx="20">
                  <c:v>28</c:v>
                </c:pt>
                <c:pt idx="21">
                  <c:v>28.5</c:v>
                </c:pt>
                <c:pt idx="22">
                  <c:v>29</c:v>
                </c:pt>
                <c:pt idx="23">
                  <c:v>29.5</c:v>
                </c:pt>
                <c:pt idx="24">
                  <c:v>30</c:v>
                </c:pt>
                <c:pt idx="25">
                  <c:v>30.5</c:v>
                </c:pt>
                <c:pt idx="26">
                  <c:v>31</c:v>
                </c:pt>
                <c:pt idx="27">
                  <c:v>31.5</c:v>
                </c:pt>
                <c:pt idx="28">
                  <c:v>32</c:v>
                </c:pt>
                <c:pt idx="29">
                  <c:v>32.5</c:v>
                </c:pt>
              </c:numCache>
            </c:numRef>
          </c:cat>
          <c:val>
            <c:numRef>
              <c:f>'Sta_Mo '!$D$146:$D$175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92-45FF-84CE-926AB7DF0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(%Cu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'Sta_Mo '!$E$114:$E$143</c:f>
              <c:numCache>
                <c:formatCode>0.00E+00</c:formatCode>
                <c:ptCount val="30"/>
                <c:pt idx="0">
                  <c:v>4.1115613763084154E-2</c:v>
                </c:pt>
                <c:pt idx="1">
                  <c:v>5.927703661841912E-2</c:v>
                </c:pt>
                <c:pt idx="2">
                  <c:v>8.2534574912617745E-2</c:v>
                </c:pt>
                <c:pt idx="3">
                  <c:v>0.11098264768734929</c:v>
                </c:pt>
                <c:pt idx="4">
                  <c:v>0.14412654376622472</c:v>
                </c:pt>
                <c:pt idx="5">
                  <c:v>0.18076010746164001</c:v>
                </c:pt>
                <c:pt idx="6">
                  <c:v>0.21894293598371153</c:v>
                </c:pt>
                <c:pt idx="7">
                  <c:v>0.25611146028011134</c:v>
                </c:pt>
                <c:pt idx="8">
                  <c:v>0.2893322305828484</c:v>
                </c:pt>
                <c:pt idx="9">
                  <c:v>0.31567075288356333</c:v>
                </c:pt>
                <c:pt idx="10">
                  <c:v>0.33261482705429263</c:v>
                </c:pt>
                <c:pt idx="11">
                  <c:v>0.33846876121730135</c:v>
                </c:pt>
                <c:pt idx="12">
                  <c:v>0.33263298022917076</c:v>
                </c:pt>
                <c:pt idx="13">
                  <c:v>0.31570521065447499</c:v>
                </c:pt>
                <c:pt idx="14">
                  <c:v>0.28937960596854867</c:v>
                </c:pt>
                <c:pt idx="15">
                  <c:v>0.2561673762089951</c:v>
                </c:pt>
                <c:pt idx="16">
                  <c:v>0.21900268893127339</c:v>
                </c:pt>
                <c:pt idx="17">
                  <c:v>0.18081930778574573</c:v>
                </c:pt>
                <c:pt idx="18">
                  <c:v>0.14418161491133083</c:v>
                </c:pt>
                <c:pt idx="19">
                  <c:v>0.11103111389235938</c:v>
                </c:pt>
                <c:pt idx="20">
                  <c:v>8.2575124293409297E-2</c:v>
                </c:pt>
                <c:pt idx="21">
                  <c:v>5.9309396292187878E-2</c:v>
                </c:pt>
                <c:pt idx="22">
                  <c:v>4.1140304210812252E-2</c:v>
                </c:pt>
                <c:pt idx="23">
                  <c:v>2.7560127484161468E-2</c:v>
                </c:pt>
                <c:pt idx="24">
                  <c:v>1.7830547289352107E-2</c:v>
                </c:pt>
                <c:pt idx="25">
                  <c:v>1.1140837843347549E-2</c:v>
                </c:pt>
                <c:pt idx="26">
                  <c:v>6.7226540139268195E-3</c:v>
                </c:pt>
                <c:pt idx="27">
                  <c:v>3.9177200219222786E-3</c:v>
                </c:pt>
                <c:pt idx="28">
                  <c:v>2.2049348396331551E-3</c:v>
                </c:pt>
                <c:pt idx="29">
                  <c:v>1.1984718876605115E-3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A-495D-9DBA-B785DBE1B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AA-495D-9DBA-B785DBE1BF46}"/>
              </c:ext>
            </c:extLst>
          </c:dPt>
          <c:cat>
            <c:numRef>
              <c:f>[3]Sta_Mo!$E$85:$E$114</c:f>
              <c:numCache>
                <c:formatCode>General</c:formatCode>
                <c:ptCount val="30"/>
                <c:pt idx="0">
                  <c:v>-3</c:v>
                </c:pt>
                <c:pt idx="1">
                  <c:v>-2.78</c:v>
                </c:pt>
                <c:pt idx="2">
                  <c:v>-2.5599999999999996</c:v>
                </c:pt>
                <c:pt idx="3">
                  <c:v>-2.3399999999999994</c:v>
                </c:pt>
                <c:pt idx="4">
                  <c:v>-2.1199999999999992</c:v>
                </c:pt>
                <c:pt idx="5">
                  <c:v>-1.8999999999999992</c:v>
                </c:pt>
                <c:pt idx="6">
                  <c:v>-1.6799999999999993</c:v>
                </c:pt>
                <c:pt idx="7">
                  <c:v>-1.4599999999999993</c:v>
                </c:pt>
                <c:pt idx="8">
                  <c:v>-1.2399999999999993</c:v>
                </c:pt>
                <c:pt idx="9">
                  <c:v>-1.0199999999999994</c:v>
                </c:pt>
                <c:pt idx="10">
                  <c:v>-0.79999999999999938</c:v>
                </c:pt>
                <c:pt idx="11">
                  <c:v>-0.5799999999999994</c:v>
                </c:pt>
                <c:pt idx="12">
                  <c:v>-0.35999999999999943</c:v>
                </c:pt>
                <c:pt idx="13">
                  <c:v>-0.13999999999999943</c:v>
                </c:pt>
                <c:pt idx="14">
                  <c:v>8.0000000000000571E-2</c:v>
                </c:pt>
                <c:pt idx="15">
                  <c:v>0.3000000000000006</c:v>
                </c:pt>
                <c:pt idx="16">
                  <c:v>0.52000000000000057</c:v>
                </c:pt>
                <c:pt idx="17">
                  <c:v>0.74000000000000055</c:v>
                </c:pt>
                <c:pt idx="18">
                  <c:v>0.96000000000000052</c:v>
                </c:pt>
                <c:pt idx="19">
                  <c:v>1.1800000000000006</c:v>
                </c:pt>
                <c:pt idx="20">
                  <c:v>1.4000000000000006</c:v>
                </c:pt>
                <c:pt idx="21">
                  <c:v>1.6200000000000006</c:v>
                </c:pt>
                <c:pt idx="22">
                  <c:v>1.8400000000000005</c:v>
                </c:pt>
                <c:pt idx="23">
                  <c:v>2.0600000000000005</c:v>
                </c:pt>
                <c:pt idx="24">
                  <c:v>2.2800000000000007</c:v>
                </c:pt>
                <c:pt idx="25">
                  <c:v>2.5000000000000009</c:v>
                </c:pt>
                <c:pt idx="26">
                  <c:v>2.7200000000000011</c:v>
                </c:pt>
                <c:pt idx="27">
                  <c:v>2.9400000000000013</c:v>
                </c:pt>
                <c:pt idx="28">
                  <c:v>3.1600000000000015</c:v>
                </c:pt>
                <c:pt idx="29">
                  <c:v>3.3800000000000017</c:v>
                </c:pt>
              </c:numCache>
            </c:numRef>
          </c:cat>
          <c:val>
            <c:numRef>
              <c:f>'Sta_Mo '!$E$146:$E$175</c:f>
              <c:numCache>
                <c:formatCode>General</c:formatCode>
                <c:ptCount val="30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AA-495D-9DBA-B785DBE1B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  <c:max val="0.25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(%Cu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'!$AO$114:$AO$143</c:f>
              <c:numCache>
                <c:formatCode>0.00E+00</c:formatCode>
                <c:ptCount val="30"/>
                <c:pt idx="0">
                  <c:v>2.4587963104814523E-4</c:v>
                </c:pt>
                <c:pt idx="1">
                  <c:v>8.276744569469766E-4</c:v>
                </c:pt>
                <c:pt idx="2">
                  <c:v>2.4824673463984975E-3</c:v>
                </c:pt>
                <c:pt idx="3">
                  <c:v>6.6342911828607453E-3</c:v>
                </c:pt>
                <c:pt idx="4">
                  <c:v>1.5797650656325452E-2</c:v>
                </c:pt>
                <c:pt idx="5">
                  <c:v>3.3517952008934086E-2</c:v>
                </c:pt>
                <c:pt idx="6">
                  <c:v>6.3364999556265941E-2</c:v>
                </c:pt>
                <c:pt idx="7">
                  <c:v>0.10673537735526177</c:v>
                </c:pt>
                <c:pt idx="8">
                  <c:v>0.16019698414748104</c:v>
                </c:pt>
                <c:pt idx="9">
                  <c:v>0.21423344627970578</c:v>
                </c:pt>
                <c:pt idx="10">
                  <c:v>0.25527436514117535</c:v>
                </c:pt>
                <c:pt idx="11">
                  <c:v>0.27102797967466241</c:v>
                </c:pt>
                <c:pt idx="12">
                  <c:v>0.25639410932553297</c:v>
                </c:pt>
                <c:pt idx="13">
                  <c:v>0.21611701009888271</c:v>
                </c:pt>
                <c:pt idx="14">
                  <c:v>0.16231432517425401</c:v>
                </c:pt>
                <c:pt idx="15">
                  <c:v>0.10862048627775948</c:v>
                </c:pt>
                <c:pt idx="16">
                  <c:v>6.4766977067586703E-2</c:v>
                </c:pt>
                <c:pt idx="17">
                  <c:v>3.440982818727855E-2</c:v>
                </c:pt>
                <c:pt idx="18">
                  <c:v>1.6289148153197649E-2</c:v>
                </c:pt>
                <c:pt idx="19">
                  <c:v>6.8707039353734026E-3</c:v>
                </c:pt>
                <c:pt idx="20">
                  <c:v>2.5822072053113291E-3</c:v>
                </c:pt>
                <c:pt idx="21">
                  <c:v>8.6470492942735257E-4</c:v>
                </c:pt>
                <c:pt idx="22">
                  <c:v>2.5800716885820865E-4</c:v>
                </c:pt>
                <c:pt idx="23">
                  <c:v>6.8593443233358475E-5</c:v>
                </c:pt>
                <c:pt idx="24">
                  <c:v>1.6248767596584525E-5</c:v>
                </c:pt>
                <c:pt idx="25">
                  <c:v>3.4296139933084411E-6</c:v>
                </c:pt>
                <c:pt idx="26">
                  <c:v>6.4499604290200973E-7</c:v>
                </c:pt>
                <c:pt idx="27">
                  <c:v>1.0808261664248641E-7</c:v>
                </c:pt>
                <c:pt idx="28">
                  <c:v>1.6137700184120527E-8</c:v>
                </c:pt>
                <c:pt idx="29">
                  <c:v>2.146912908821361E-9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8-4CA2-B2A1-A5EB38834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988-4CA2-B2A1-A5EB38834A8B}"/>
              </c:ext>
            </c:extLst>
          </c:dPt>
          <c:cat>
            <c:numRef>
              <c:f>[3]Sta_Mo!$AO$85:$AO$114</c:f>
              <c:numCache>
                <c:formatCode>General</c:formatCode>
                <c:ptCount val="30"/>
                <c:pt idx="0">
                  <c:v>18</c:v>
                </c:pt>
                <c:pt idx="1">
                  <c:v>18.5</c:v>
                </c:pt>
                <c:pt idx="2">
                  <c:v>19</c:v>
                </c:pt>
                <c:pt idx="3">
                  <c:v>19.5</c:v>
                </c:pt>
                <c:pt idx="4">
                  <c:v>20</c:v>
                </c:pt>
                <c:pt idx="5">
                  <c:v>20.5</c:v>
                </c:pt>
                <c:pt idx="6">
                  <c:v>21</c:v>
                </c:pt>
                <c:pt idx="7">
                  <c:v>21.5</c:v>
                </c:pt>
                <c:pt idx="8">
                  <c:v>22</c:v>
                </c:pt>
                <c:pt idx="9">
                  <c:v>22.5</c:v>
                </c:pt>
                <c:pt idx="10">
                  <c:v>23</c:v>
                </c:pt>
                <c:pt idx="11">
                  <c:v>23.5</c:v>
                </c:pt>
                <c:pt idx="12">
                  <c:v>24</c:v>
                </c:pt>
                <c:pt idx="13">
                  <c:v>24.5</c:v>
                </c:pt>
                <c:pt idx="14">
                  <c:v>25</c:v>
                </c:pt>
                <c:pt idx="15">
                  <c:v>25.5</c:v>
                </c:pt>
                <c:pt idx="16">
                  <c:v>26</c:v>
                </c:pt>
                <c:pt idx="17">
                  <c:v>26.5</c:v>
                </c:pt>
                <c:pt idx="18">
                  <c:v>27</c:v>
                </c:pt>
                <c:pt idx="19">
                  <c:v>27.5</c:v>
                </c:pt>
                <c:pt idx="20">
                  <c:v>28</c:v>
                </c:pt>
                <c:pt idx="21">
                  <c:v>28.5</c:v>
                </c:pt>
                <c:pt idx="22">
                  <c:v>29</c:v>
                </c:pt>
                <c:pt idx="23">
                  <c:v>29.5</c:v>
                </c:pt>
                <c:pt idx="24">
                  <c:v>30</c:v>
                </c:pt>
                <c:pt idx="25">
                  <c:v>30.5</c:v>
                </c:pt>
                <c:pt idx="26">
                  <c:v>31</c:v>
                </c:pt>
                <c:pt idx="27">
                  <c:v>31.5</c:v>
                </c:pt>
                <c:pt idx="28">
                  <c:v>32</c:v>
                </c:pt>
                <c:pt idx="29">
                  <c:v>32.5</c:v>
                </c:pt>
              </c:numCache>
            </c:numRef>
          </c:cat>
          <c:val>
            <c:numRef>
              <c:f>'Sta_Mo '!$AO$146:$AO$175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88-4CA2-B2A1-A5EB38834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(%Cu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'!$AP$114:$AP$143</c:f>
              <c:numCache>
                <c:formatCode>0.00E+00</c:formatCode>
                <c:ptCount val="30"/>
                <c:pt idx="0">
                  <c:v>2.8072584044185745E-4</c:v>
                </c:pt>
                <c:pt idx="1">
                  <c:v>9.7329457449660663E-4</c:v>
                </c:pt>
                <c:pt idx="2">
                  <c:v>2.9830410975713335E-3</c:v>
                </c:pt>
                <c:pt idx="3">
                  <c:v>8.0821553411709081E-3</c:v>
                </c:pt>
                <c:pt idx="4">
                  <c:v>1.9357451181205E-2</c:v>
                </c:pt>
                <c:pt idx="5">
                  <c:v>4.0984739058713124E-2</c:v>
                </c:pt>
                <c:pt idx="6">
                  <c:v>7.6709508227791962E-2</c:v>
                </c:pt>
                <c:pt idx="7">
                  <c:v>0.12691976089102658</c:v>
                </c:pt>
                <c:pt idx="8">
                  <c:v>0.18563604810705631</c:v>
                </c:pt>
                <c:pt idx="9">
                  <c:v>0.24002053866254741</c:v>
                </c:pt>
                <c:pt idx="10">
                  <c:v>0.27433898039767601</c:v>
                </c:pt>
                <c:pt idx="11">
                  <c:v>0.27719133929992823</c:v>
                </c:pt>
                <c:pt idx="12">
                  <c:v>0.24758527743779102</c:v>
                </c:pt>
                <c:pt idx="13">
                  <c:v>0.19548930272677784</c:v>
                </c:pt>
                <c:pt idx="14">
                  <c:v>0.13645020788434967</c:v>
                </c:pt>
                <c:pt idx="15">
                  <c:v>8.4193473699163579E-2</c:v>
                </c:pt>
                <c:pt idx="16">
                  <c:v>4.5923573752198674E-2</c:v>
                </c:pt>
                <c:pt idx="17">
                  <c:v>2.2143483803473626E-2</c:v>
                </c:pt>
                <c:pt idx="18">
                  <c:v>9.4386361089801359E-3</c:v>
                </c:pt>
                <c:pt idx="19">
                  <c:v>3.5565224907509584E-3</c:v>
                </c:pt>
                <c:pt idx="20">
                  <c:v>1.1846632015602573E-3</c:v>
                </c:pt>
                <c:pt idx="21">
                  <c:v>3.4883275662403045E-4</c:v>
                </c:pt>
                <c:pt idx="22">
                  <c:v>9.0801420763061857E-5</c:v>
                </c:pt>
                <c:pt idx="23">
                  <c:v>2.0893974023225158E-5</c:v>
                </c:pt>
                <c:pt idx="24">
                  <c:v>4.2501325957460928E-6</c:v>
                </c:pt>
                <c:pt idx="25">
                  <c:v>7.6425261050155327E-7</c:v>
                </c:pt>
                <c:pt idx="26">
                  <c:v>1.2148548862251096E-7</c:v>
                </c:pt>
                <c:pt idx="27">
                  <c:v>1.7071233443346897E-8</c:v>
                </c:pt>
                <c:pt idx="28">
                  <c:v>2.1205983547565158E-9</c:v>
                </c:pt>
                <c:pt idx="29">
                  <c:v>2.3286539854088806E-10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7-4CDF-8E69-A5750CA08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317-4CDF-8E69-A5750CA08FBF}"/>
              </c:ext>
            </c:extLst>
          </c:dPt>
          <c:cat>
            <c:numRef>
              <c:f>[3]Sta_Mo!$AP$85:$AP$114</c:f>
              <c:numCache>
                <c:formatCode>General</c:formatCode>
                <c:ptCount val="30"/>
                <c:pt idx="0">
                  <c:v>18</c:v>
                </c:pt>
                <c:pt idx="1">
                  <c:v>18.5</c:v>
                </c:pt>
                <c:pt idx="2">
                  <c:v>19</c:v>
                </c:pt>
                <c:pt idx="3">
                  <c:v>19.5</c:v>
                </c:pt>
                <c:pt idx="4">
                  <c:v>20</c:v>
                </c:pt>
                <c:pt idx="5">
                  <c:v>20.5</c:v>
                </c:pt>
                <c:pt idx="6">
                  <c:v>21</c:v>
                </c:pt>
                <c:pt idx="7">
                  <c:v>21.5</c:v>
                </c:pt>
                <c:pt idx="8">
                  <c:v>22</c:v>
                </c:pt>
                <c:pt idx="9">
                  <c:v>22.5</c:v>
                </c:pt>
                <c:pt idx="10">
                  <c:v>23</c:v>
                </c:pt>
                <c:pt idx="11">
                  <c:v>23.5</c:v>
                </c:pt>
                <c:pt idx="12">
                  <c:v>24</c:v>
                </c:pt>
                <c:pt idx="13">
                  <c:v>24.5</c:v>
                </c:pt>
                <c:pt idx="14">
                  <c:v>25</c:v>
                </c:pt>
                <c:pt idx="15">
                  <c:v>25.5</c:v>
                </c:pt>
                <c:pt idx="16">
                  <c:v>26</c:v>
                </c:pt>
                <c:pt idx="17">
                  <c:v>26.5</c:v>
                </c:pt>
                <c:pt idx="18">
                  <c:v>27</c:v>
                </c:pt>
                <c:pt idx="19">
                  <c:v>27.5</c:v>
                </c:pt>
                <c:pt idx="20">
                  <c:v>28</c:v>
                </c:pt>
                <c:pt idx="21">
                  <c:v>28.5</c:v>
                </c:pt>
                <c:pt idx="22">
                  <c:v>29</c:v>
                </c:pt>
                <c:pt idx="23">
                  <c:v>29.5</c:v>
                </c:pt>
                <c:pt idx="24">
                  <c:v>30</c:v>
                </c:pt>
                <c:pt idx="25">
                  <c:v>30.5</c:v>
                </c:pt>
                <c:pt idx="26">
                  <c:v>31</c:v>
                </c:pt>
                <c:pt idx="27">
                  <c:v>31.5</c:v>
                </c:pt>
                <c:pt idx="28">
                  <c:v>32</c:v>
                </c:pt>
                <c:pt idx="29">
                  <c:v>32.5</c:v>
                </c:pt>
              </c:numCache>
            </c:numRef>
          </c:cat>
          <c:val>
            <c:numRef>
              <c:f>'Sta_Mo '!$AP$146:$AP$175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17-4CDF-8E69-A5750CA08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(%Cu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'Sta_Mo '!$AQ$114:$AQ$143</c:f>
              <c:numCache>
                <c:formatCode>0.00E+00</c:formatCode>
                <c:ptCount val="30"/>
                <c:pt idx="0">
                  <c:v>2.1091316339705561E-2</c:v>
                </c:pt>
                <c:pt idx="1">
                  <c:v>2.9711938570633898E-2</c:v>
                </c:pt>
                <c:pt idx="2">
                  <c:v>4.0852813433182922E-2</c:v>
                </c:pt>
                <c:pt idx="3">
                  <c:v>5.482474648577422E-2</c:v>
                </c:pt>
                <c:pt idx="4">
                  <c:v>7.1811661128243456E-2</c:v>
                </c:pt>
                <c:pt idx="5">
                  <c:v>9.1807252971239886E-2</c:v>
                </c:pt>
                <c:pt idx="6">
                  <c:v>0.11455727961806722</c:v>
                </c:pt>
                <c:pt idx="7">
                  <c:v>0.13951858736463968</c:v>
                </c:pt>
                <c:pt idx="8">
                  <c:v>0.16584604837271863</c:v>
                </c:pt>
                <c:pt idx="9">
                  <c:v>0.19241630249384517</c:v>
                </c:pt>
                <c:pt idx="10">
                  <c:v>0.21789249962341223</c:v>
                </c:pt>
                <c:pt idx="11">
                  <c:v>0.24082766586336724</c:v>
                </c:pt>
                <c:pt idx="12">
                  <c:v>0.25979701155615292</c:v>
                </c:pt>
                <c:pt idx="13">
                  <c:v>0.27354299958951817</c:v>
                </c:pt>
                <c:pt idx="14">
                  <c:v>0.28111287582469313</c:v>
                </c:pt>
                <c:pt idx="15">
                  <c:v>0.28196782246276919</c:v>
                </c:pt>
                <c:pt idx="16">
                  <c:v>0.27604637094039131</c:v>
                </c:pt>
                <c:pt idx="17">
                  <c:v>0.26377170881892475</c:v>
                </c:pt>
                <c:pt idx="18">
                  <c:v>0.24600167431656852</c:v>
                </c:pt>
                <c:pt idx="19">
                  <c:v>0.22392964536237148</c:v>
                </c:pt>
                <c:pt idx="20">
                  <c:v>0.19895222518397759</c:v>
                </c:pt>
                <c:pt idx="21">
                  <c:v>0.17252406749897853</c:v>
                </c:pt>
                <c:pt idx="22">
                  <c:v>0.14602064274599427</c:v>
                </c:pt>
                <c:pt idx="23">
                  <c:v>0.1206264375604596</c:v>
                </c:pt>
                <c:pt idx="24">
                  <c:v>9.7260036365992814E-2</c:v>
                </c:pt>
                <c:pt idx="25">
                  <c:v>7.6540277493641048E-2</c:v>
                </c:pt>
                <c:pt idx="26">
                  <c:v>5.8790792760373807E-2</c:v>
                </c:pt>
                <c:pt idx="27">
                  <c:v>4.407499581351617E-2</c:v>
                </c:pt>
                <c:pt idx="28">
                  <c:v>3.2250683426967103E-2</c:v>
                </c:pt>
                <c:pt idx="29">
                  <c:v>2.303293298496107E-2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1-4344-A968-28488498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1-4344-A968-284884986F8F}"/>
              </c:ext>
            </c:extLst>
          </c:dPt>
          <c:cat>
            <c:numRef>
              <c:f>[3]Sta_Mo!$AQ$85:$AQ$114</c:f>
              <c:numCache>
                <c:formatCode>General</c:formatCode>
                <c:ptCount val="30"/>
                <c:pt idx="0">
                  <c:v>-3</c:v>
                </c:pt>
                <c:pt idx="1">
                  <c:v>-2.78</c:v>
                </c:pt>
                <c:pt idx="2">
                  <c:v>-2.5599999999999996</c:v>
                </c:pt>
                <c:pt idx="3">
                  <c:v>-2.3399999999999994</c:v>
                </c:pt>
                <c:pt idx="4">
                  <c:v>-2.1199999999999992</c:v>
                </c:pt>
                <c:pt idx="5">
                  <c:v>-1.8999999999999992</c:v>
                </c:pt>
                <c:pt idx="6">
                  <c:v>-1.6799999999999993</c:v>
                </c:pt>
                <c:pt idx="7">
                  <c:v>-1.4599999999999993</c:v>
                </c:pt>
                <c:pt idx="8">
                  <c:v>-1.2399999999999993</c:v>
                </c:pt>
                <c:pt idx="9">
                  <c:v>-1.0199999999999994</c:v>
                </c:pt>
                <c:pt idx="10">
                  <c:v>-0.79999999999999938</c:v>
                </c:pt>
                <c:pt idx="11">
                  <c:v>-0.5799999999999994</c:v>
                </c:pt>
                <c:pt idx="12">
                  <c:v>-0.35999999999999943</c:v>
                </c:pt>
                <c:pt idx="13">
                  <c:v>-0.13999999999999943</c:v>
                </c:pt>
                <c:pt idx="14">
                  <c:v>8.0000000000000571E-2</c:v>
                </c:pt>
                <c:pt idx="15">
                  <c:v>0.3000000000000006</c:v>
                </c:pt>
                <c:pt idx="16">
                  <c:v>0.52000000000000057</c:v>
                </c:pt>
                <c:pt idx="17">
                  <c:v>0.74000000000000055</c:v>
                </c:pt>
                <c:pt idx="18">
                  <c:v>0.96000000000000052</c:v>
                </c:pt>
                <c:pt idx="19">
                  <c:v>1.1800000000000006</c:v>
                </c:pt>
                <c:pt idx="20">
                  <c:v>1.4000000000000006</c:v>
                </c:pt>
                <c:pt idx="21">
                  <c:v>1.6200000000000006</c:v>
                </c:pt>
                <c:pt idx="22">
                  <c:v>1.8400000000000005</c:v>
                </c:pt>
                <c:pt idx="23">
                  <c:v>2.0600000000000005</c:v>
                </c:pt>
                <c:pt idx="24">
                  <c:v>2.2800000000000007</c:v>
                </c:pt>
                <c:pt idx="25">
                  <c:v>2.5000000000000009</c:v>
                </c:pt>
                <c:pt idx="26">
                  <c:v>2.7200000000000011</c:v>
                </c:pt>
                <c:pt idx="27">
                  <c:v>2.9400000000000013</c:v>
                </c:pt>
                <c:pt idx="28">
                  <c:v>3.1600000000000015</c:v>
                </c:pt>
                <c:pt idx="29">
                  <c:v>3.3800000000000017</c:v>
                </c:pt>
              </c:numCache>
            </c:numRef>
          </c:cat>
          <c:val>
            <c:numRef>
              <c:f>'Sta_Mo '!$AQ$146:$AQ$175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81-4344-A968-28488498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(%Mo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'!$G$114:$G$143</c:f>
              <c:numCache>
                <c:formatCode>0.00E+00</c:formatCode>
                <c:ptCount val="30"/>
                <c:pt idx="0">
                  <c:v>1.1343579631726974E-2</c:v>
                </c:pt>
                <c:pt idx="1">
                  <c:v>1.7893501030227275E-2</c:v>
                </c:pt>
                <c:pt idx="2">
                  <c:v>2.7329625462255619E-2</c:v>
                </c:pt>
                <c:pt idx="3">
                  <c:v>4.0417104393053717E-2</c:v>
                </c:pt>
                <c:pt idx="4">
                  <c:v>5.7874849013415615E-2</c:v>
                </c:pt>
                <c:pt idx="5">
                  <c:v>8.0243101200162398E-2</c:v>
                </c:pt>
                <c:pt idx="6">
                  <c:v>0.10772554434948463</c:v>
                </c:pt>
                <c:pt idx="7">
                  <c:v>0.14003056743037434</c:v>
                </c:pt>
                <c:pt idx="8">
                  <c:v>0.1762463610176106</c:v>
                </c:pt>
                <c:pt idx="9">
                  <c:v>0.21478830351557851</c:v>
                </c:pt>
                <c:pt idx="10">
                  <c:v>0.25345114384024592</c:v>
                </c:pt>
                <c:pt idx="11">
                  <c:v>0.28958165253583973</c:v>
                </c:pt>
                <c:pt idx="12">
                  <c:v>0.32036199355121237</c:v>
                </c:pt>
                <c:pt idx="13">
                  <c:v>0.3431658729347481</c:v>
                </c:pt>
                <c:pt idx="14">
                  <c:v>0.35592652519661783</c:v>
                </c:pt>
                <c:pt idx="15">
                  <c:v>0.35744545273933648</c:v>
                </c:pt>
                <c:pt idx="16">
                  <c:v>0.34757806181725476</c:v>
                </c:pt>
                <c:pt idx="17">
                  <c:v>0.32725636079962339</c:v>
                </c:pt>
                <c:pt idx="18">
                  <c:v>0.2983437847347844</c:v>
                </c:pt>
                <c:pt idx="19">
                  <c:v>0.26335347409911358</c:v>
                </c:pt>
                <c:pt idx="20">
                  <c:v>0.22508899790097447</c:v>
                </c:pt>
                <c:pt idx="21">
                  <c:v>0.18627846148488306</c:v>
                </c:pt>
                <c:pt idx="22">
                  <c:v>0.14926712766291755</c:v>
                </c:pt>
                <c:pt idx="23">
                  <c:v>0.11581341504917178</c:v>
                </c:pt>
                <c:pt idx="24">
                  <c:v>8.7005502401692178E-2</c:v>
                </c:pt>
                <c:pt idx="25">
                  <c:v>6.328892646156542E-2</c:v>
                </c:pt>
                <c:pt idx="26">
                  <c:v>4.4576082415845292E-2</c:v>
                </c:pt>
                <c:pt idx="27">
                  <c:v>3.039969491883935E-2</c:v>
                </c:pt>
                <c:pt idx="28">
                  <c:v>2.0073805483734025E-2</c:v>
                </c:pt>
                <c:pt idx="29">
                  <c:v>1.2834630099566003E-2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5-4B1D-BEE8-BD17F767D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695-4B1D-BEE8-BD17F767DF95}"/>
              </c:ext>
            </c:extLst>
          </c:dPt>
          <c:cat>
            <c:numRef>
              <c:f>[3]Sta_Mo!$G$85:$G$114</c:f>
              <c:numCache>
                <c:formatCode>General</c:formatCode>
                <c:ptCount val="30"/>
                <c:pt idx="0">
                  <c:v>-0.5</c:v>
                </c:pt>
                <c:pt idx="1">
                  <c:v>-0.3</c:v>
                </c:pt>
                <c:pt idx="2">
                  <c:v>-9.9999999999999978E-2</c:v>
                </c:pt>
                <c:pt idx="3">
                  <c:v>0.10000000000000003</c:v>
                </c:pt>
                <c:pt idx="4">
                  <c:v>0.30000000000000004</c:v>
                </c:pt>
                <c:pt idx="5">
                  <c:v>0.5</c:v>
                </c:pt>
                <c:pt idx="6">
                  <c:v>0.7</c:v>
                </c:pt>
                <c:pt idx="7">
                  <c:v>0.89999999999999991</c:v>
                </c:pt>
                <c:pt idx="8">
                  <c:v>1.0999999999999999</c:v>
                </c:pt>
                <c:pt idx="9">
                  <c:v>1.2999999999999998</c:v>
                </c:pt>
                <c:pt idx="10">
                  <c:v>1.4999999999999998</c:v>
                </c:pt>
                <c:pt idx="11">
                  <c:v>1.6999999999999997</c:v>
                </c:pt>
                <c:pt idx="12">
                  <c:v>1.8999999999999997</c:v>
                </c:pt>
                <c:pt idx="13">
                  <c:v>2.0999999999999996</c:v>
                </c:pt>
                <c:pt idx="14">
                  <c:v>2.2999999999999998</c:v>
                </c:pt>
                <c:pt idx="15">
                  <c:v>2.5</c:v>
                </c:pt>
                <c:pt idx="16">
                  <c:v>2.7</c:v>
                </c:pt>
                <c:pt idx="17">
                  <c:v>2.9000000000000004</c:v>
                </c:pt>
                <c:pt idx="18">
                  <c:v>3.1000000000000005</c:v>
                </c:pt>
                <c:pt idx="19">
                  <c:v>3.3000000000000007</c:v>
                </c:pt>
                <c:pt idx="20">
                  <c:v>3.5000000000000009</c:v>
                </c:pt>
                <c:pt idx="21">
                  <c:v>3.7000000000000011</c:v>
                </c:pt>
                <c:pt idx="22">
                  <c:v>3.9000000000000012</c:v>
                </c:pt>
                <c:pt idx="23">
                  <c:v>4.1000000000000014</c:v>
                </c:pt>
                <c:pt idx="24">
                  <c:v>4.3000000000000016</c:v>
                </c:pt>
                <c:pt idx="25">
                  <c:v>4.5000000000000018</c:v>
                </c:pt>
                <c:pt idx="26">
                  <c:v>4.700000000000002</c:v>
                </c:pt>
                <c:pt idx="27">
                  <c:v>4.9000000000000021</c:v>
                </c:pt>
                <c:pt idx="28">
                  <c:v>5.1000000000000023</c:v>
                </c:pt>
                <c:pt idx="29">
                  <c:v>5.3000000000000025</c:v>
                </c:pt>
              </c:numCache>
            </c:numRef>
          </c:cat>
          <c:val>
            <c:numRef>
              <c:f>'Sta_Mo '!$G$146:$G$175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5-4B1D-BEE8-BD17F767D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(%Mo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'!$H$114:$H$143</c:f>
              <c:numCache>
                <c:formatCode>0.00E+00</c:formatCode>
                <c:ptCount val="30"/>
                <c:pt idx="0">
                  <c:v>8.7430118927887875E-3</c:v>
                </c:pt>
                <c:pt idx="1">
                  <c:v>1.4450296738181661E-2</c:v>
                </c:pt>
                <c:pt idx="2">
                  <c:v>2.3095637685317357E-2</c:v>
                </c:pt>
                <c:pt idx="3">
                  <c:v>3.5696089878880635E-2</c:v>
                </c:pt>
                <c:pt idx="4">
                  <c:v>5.335176987079341E-2</c:v>
                </c:pt>
                <c:pt idx="5">
                  <c:v>7.7110676259734487E-2</c:v>
                </c:pt>
                <c:pt idx="6">
                  <c:v>0.10777491494868291</c:v>
                </c:pt>
                <c:pt idx="7">
                  <c:v>0.14566605607625613</c:v>
                </c:pt>
                <c:pt idx="8">
                  <c:v>0.19038666699325793</c:v>
                </c:pt>
                <c:pt idx="9">
                  <c:v>0.24063134370340514</c:v>
                </c:pt>
                <c:pt idx="10">
                  <c:v>0.29410699752989145</c:v>
                </c:pt>
                <c:pt idx="11">
                  <c:v>0.34761300421115632</c:v>
                </c:pt>
                <c:pt idx="12">
                  <c:v>0.39730512629414211</c:v>
                </c:pt>
                <c:pt idx="13">
                  <c:v>0.43912667397956201</c:v>
                </c:pt>
                <c:pt idx="14">
                  <c:v>0.46934583059865181</c:v>
                </c:pt>
                <c:pt idx="15">
                  <c:v>0.48510260427311241</c:v>
                </c:pt>
                <c:pt idx="16">
                  <c:v>0.48485484999302897</c:v>
                </c:pt>
                <c:pt idx="17">
                  <c:v>0.46862707712847107</c:v>
                </c:pt>
                <c:pt idx="18">
                  <c:v>0.43800645281942019</c:v>
                </c:pt>
                <c:pt idx="19">
                  <c:v>0.39588690366962126</c:v>
                </c:pt>
                <c:pt idx="20">
                  <c:v>0.34601845100804512</c:v>
                </c:pt>
                <c:pt idx="21">
                  <c:v>0.2924589229550677</c:v>
                </c:pt>
                <c:pt idx="22">
                  <c:v>0.23903857493971395</c:v>
                </c:pt>
                <c:pt idx="23">
                  <c:v>0.18893333988598196</c:v>
                </c:pt>
                <c:pt idx="24">
                  <c:v>0.14440648897851086</c:v>
                </c:pt>
                <c:pt idx="25">
                  <c:v>0.10673388363714179</c:v>
                </c:pt>
                <c:pt idx="26">
                  <c:v>7.628785628718103E-2</c:v>
                </c:pt>
                <c:pt idx="27">
                  <c:v>5.2728571600811458E-2</c:v>
                </c:pt>
                <c:pt idx="28">
                  <c:v>3.5243099666487962E-2</c:v>
                </c:pt>
                <c:pt idx="29">
                  <c:v>2.2779263882623774E-2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6-4DF0-A874-040E1A53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4C6-4DF0-A874-040E1A536152}"/>
              </c:ext>
            </c:extLst>
          </c:dPt>
          <c:cat>
            <c:numRef>
              <c:f>[3]Sta_Mo!$H$85:$H$114</c:f>
              <c:numCache>
                <c:formatCode>General</c:formatCode>
                <c:ptCount val="30"/>
                <c:pt idx="0">
                  <c:v>-0.3</c:v>
                </c:pt>
                <c:pt idx="1">
                  <c:v>-0.15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0.44999999999999996</c:v>
                </c:pt>
                <c:pt idx="6">
                  <c:v>0.6</c:v>
                </c:pt>
                <c:pt idx="7">
                  <c:v>0.75</c:v>
                </c:pt>
                <c:pt idx="8">
                  <c:v>0.9</c:v>
                </c:pt>
                <c:pt idx="9">
                  <c:v>1.05</c:v>
                </c:pt>
                <c:pt idx="10">
                  <c:v>1.2</c:v>
                </c:pt>
                <c:pt idx="11">
                  <c:v>1.3499999999999999</c:v>
                </c:pt>
                <c:pt idx="12">
                  <c:v>1.4999999999999998</c:v>
                </c:pt>
                <c:pt idx="13">
                  <c:v>1.6499999999999997</c:v>
                </c:pt>
                <c:pt idx="14">
                  <c:v>1.7999999999999996</c:v>
                </c:pt>
                <c:pt idx="15">
                  <c:v>1.9499999999999995</c:v>
                </c:pt>
                <c:pt idx="16">
                  <c:v>2.0999999999999996</c:v>
                </c:pt>
                <c:pt idx="17">
                  <c:v>2.2499999999999996</c:v>
                </c:pt>
                <c:pt idx="18">
                  <c:v>2.3999999999999995</c:v>
                </c:pt>
                <c:pt idx="19">
                  <c:v>2.5499999999999994</c:v>
                </c:pt>
                <c:pt idx="20">
                  <c:v>2.6999999999999993</c:v>
                </c:pt>
                <c:pt idx="21">
                  <c:v>2.8499999999999992</c:v>
                </c:pt>
                <c:pt idx="22">
                  <c:v>2.9999999999999991</c:v>
                </c:pt>
                <c:pt idx="23">
                  <c:v>3.149999999999999</c:v>
                </c:pt>
                <c:pt idx="24">
                  <c:v>3.2999999999999989</c:v>
                </c:pt>
                <c:pt idx="25">
                  <c:v>3.4499999999999988</c:v>
                </c:pt>
                <c:pt idx="26">
                  <c:v>3.5999999999999988</c:v>
                </c:pt>
                <c:pt idx="27">
                  <c:v>3.7499999999999987</c:v>
                </c:pt>
                <c:pt idx="28">
                  <c:v>3.8999999999999986</c:v>
                </c:pt>
                <c:pt idx="29">
                  <c:v>4.0499999999999989</c:v>
                </c:pt>
              </c:numCache>
            </c:numRef>
          </c:cat>
          <c:val>
            <c:numRef>
              <c:f>'Sta_Mo '!$H$146:$H$175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6-4DF0-A874-040E1A53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(%Mo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'Sta_Mo '!$I$114:$I$143</c:f>
              <c:numCache>
                <c:formatCode>0.00E+00</c:formatCode>
                <c:ptCount val="30"/>
                <c:pt idx="0">
                  <c:v>2.8861826910909972E-5</c:v>
                </c:pt>
                <c:pt idx="1">
                  <c:v>1.2206957881041183E-4</c:v>
                </c:pt>
                <c:pt idx="2">
                  <c:v>4.6148387276972899E-4</c:v>
                </c:pt>
                <c:pt idx="3">
                  <c:v>1.5594486016593618E-3</c:v>
                </c:pt>
                <c:pt idx="4">
                  <c:v>4.7103269836393782E-3</c:v>
                </c:pt>
                <c:pt idx="5">
                  <c:v>1.2717346413798014E-2</c:v>
                </c:pt>
                <c:pt idx="6">
                  <c:v>3.0690742879690661E-2</c:v>
                </c:pt>
                <c:pt idx="7">
                  <c:v>6.6203927503414459E-2</c:v>
                </c:pt>
                <c:pt idx="8">
                  <c:v>0.12765139413773044</c:v>
                </c:pt>
                <c:pt idx="9">
                  <c:v>0.2200051384671865</c:v>
                </c:pt>
                <c:pt idx="10">
                  <c:v>0.33892651084022996</c:v>
                </c:pt>
                <c:pt idx="11">
                  <c:v>0.46670635140254513</c:v>
                </c:pt>
                <c:pt idx="12">
                  <c:v>0.57444352166210999</c:v>
                </c:pt>
                <c:pt idx="13">
                  <c:v>0.63199903478171426</c:v>
                </c:pt>
                <c:pt idx="14">
                  <c:v>0.62151404635155827</c:v>
                </c:pt>
                <c:pt idx="15">
                  <c:v>0.54632482549231665</c:v>
                </c:pt>
                <c:pt idx="16">
                  <c:v>0.42925600304469425</c:v>
                </c:pt>
                <c:pt idx="17">
                  <c:v>0.30147220212917381</c:v>
                </c:pt>
                <c:pt idx="18">
                  <c:v>0.18925337078341353</c:v>
                </c:pt>
                <c:pt idx="19">
                  <c:v>0.10619533219933107</c:v>
                </c:pt>
                <c:pt idx="20">
                  <c:v>5.3263866145678893E-2</c:v>
                </c:pt>
                <c:pt idx="21">
                  <c:v>2.3879509355575194E-2</c:v>
                </c:pt>
                <c:pt idx="22">
                  <c:v>9.5693748339746518E-3</c:v>
                </c:pt>
                <c:pt idx="23">
                  <c:v>3.4277345941115889E-3</c:v>
                </c:pt>
                <c:pt idx="24">
                  <c:v>1.0974791117724621E-3</c:v>
                </c:pt>
                <c:pt idx="25">
                  <c:v>3.1408760130796995E-4</c:v>
                </c:pt>
                <c:pt idx="26">
                  <c:v>8.0347205564578917E-5</c:v>
                </c:pt>
                <c:pt idx="27">
                  <c:v>1.8371990620267681E-5</c:v>
                </c:pt>
                <c:pt idx="28">
                  <c:v>3.7549754976634754E-6</c:v>
                </c:pt>
                <c:pt idx="29">
                  <c:v>6.8599895495398874E-7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6-4019-9630-F0169A260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AF6-4019-9630-F0169A260BE3}"/>
              </c:ext>
            </c:extLst>
          </c:dPt>
          <c:cat>
            <c:numRef>
              <c:f>[3]Sta_Mo!$I$85:$I$114</c:f>
              <c:numCache>
                <c:formatCode>General</c:formatCode>
                <c:ptCount val="30"/>
                <c:pt idx="0">
                  <c:v>-2.4</c:v>
                </c:pt>
                <c:pt idx="1">
                  <c:v>-2.19</c:v>
                </c:pt>
                <c:pt idx="2">
                  <c:v>-1.98</c:v>
                </c:pt>
                <c:pt idx="3">
                  <c:v>-1.77</c:v>
                </c:pt>
                <c:pt idx="4">
                  <c:v>-1.56</c:v>
                </c:pt>
                <c:pt idx="5">
                  <c:v>-1.35</c:v>
                </c:pt>
                <c:pt idx="6">
                  <c:v>-1.1400000000000001</c:v>
                </c:pt>
                <c:pt idx="7">
                  <c:v>-0.93000000000000016</c:v>
                </c:pt>
                <c:pt idx="8">
                  <c:v>-0.7200000000000002</c:v>
                </c:pt>
                <c:pt idx="9">
                  <c:v>-0.51000000000000023</c:v>
                </c:pt>
                <c:pt idx="10">
                  <c:v>-0.30000000000000027</c:v>
                </c:pt>
                <c:pt idx="11">
                  <c:v>-9.0000000000000274E-2</c:v>
                </c:pt>
                <c:pt idx="12">
                  <c:v>0.11999999999999972</c:v>
                </c:pt>
                <c:pt idx="13">
                  <c:v>0.32999999999999974</c:v>
                </c:pt>
                <c:pt idx="14">
                  <c:v>0.5399999999999997</c:v>
                </c:pt>
                <c:pt idx="15">
                  <c:v>0.74999999999999967</c:v>
                </c:pt>
                <c:pt idx="16">
                  <c:v>0.95999999999999963</c:v>
                </c:pt>
                <c:pt idx="17">
                  <c:v>1.1699999999999997</c:v>
                </c:pt>
                <c:pt idx="18">
                  <c:v>1.3799999999999997</c:v>
                </c:pt>
                <c:pt idx="19">
                  <c:v>1.5899999999999996</c:v>
                </c:pt>
                <c:pt idx="20">
                  <c:v>1.7999999999999996</c:v>
                </c:pt>
                <c:pt idx="21">
                  <c:v>2.0099999999999998</c:v>
                </c:pt>
                <c:pt idx="22">
                  <c:v>2.2199999999999998</c:v>
                </c:pt>
                <c:pt idx="23">
                  <c:v>2.4299999999999997</c:v>
                </c:pt>
                <c:pt idx="24">
                  <c:v>2.6399999999999997</c:v>
                </c:pt>
                <c:pt idx="25">
                  <c:v>2.8499999999999996</c:v>
                </c:pt>
                <c:pt idx="26">
                  <c:v>3.0599999999999996</c:v>
                </c:pt>
                <c:pt idx="27">
                  <c:v>3.2699999999999996</c:v>
                </c:pt>
                <c:pt idx="28">
                  <c:v>3.4799999999999995</c:v>
                </c:pt>
                <c:pt idx="29">
                  <c:v>3.6899999999999995</c:v>
                </c:pt>
              </c:numCache>
            </c:numRef>
          </c:cat>
          <c:val>
            <c:numRef>
              <c:f>'Sta_Mo '!$I$146:$I$175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F6-4019-9630-F0169A260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(%Mo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'!$AS$114:$AS$143</c:f>
              <c:numCache>
                <c:formatCode>0.00E+00</c:formatCode>
                <c:ptCount val="30"/>
                <c:pt idx="0">
                  <c:v>1.2351883978492706E-3</c:v>
                </c:pt>
                <c:pt idx="1">
                  <c:v>2.8897433355364976E-3</c:v>
                </c:pt>
                <c:pt idx="2">
                  <c:v>6.3371920547295596E-3</c:v>
                </c:pt>
                <c:pt idx="3">
                  <c:v>1.3027047549352973E-2</c:v>
                </c:pt>
                <c:pt idx="4">
                  <c:v>2.5101903676762651E-2</c:v>
                </c:pt>
                <c:pt idx="5">
                  <c:v>4.5339721715217017E-2</c:v>
                </c:pt>
                <c:pt idx="6">
                  <c:v>7.6764879538293959E-2</c:v>
                </c:pt>
                <c:pt idx="7">
                  <c:v>0.12183100488899282</c:v>
                </c:pt>
                <c:pt idx="8">
                  <c:v>0.18124440595150951</c:v>
                </c:pt>
                <c:pt idx="9">
                  <c:v>0.25274520607242829</c:v>
                </c:pt>
                <c:pt idx="10">
                  <c:v>0.33037925823510783</c:v>
                </c:pt>
                <c:pt idx="11">
                  <c:v>0.4048127212168236</c:v>
                </c:pt>
                <c:pt idx="12">
                  <c:v>0.46495086580408523</c:v>
                </c:pt>
                <c:pt idx="13">
                  <c:v>0.50057770272613489</c:v>
                </c:pt>
                <c:pt idx="14">
                  <c:v>0.50518153954872425</c:v>
                </c:pt>
                <c:pt idx="15">
                  <c:v>0.47789773741402064</c:v>
                </c:pt>
                <c:pt idx="16">
                  <c:v>0.42377370728726749</c:v>
                </c:pt>
                <c:pt idx="17">
                  <c:v>0.35224478509241025</c:v>
                </c:pt>
                <c:pt idx="18">
                  <c:v>0.27445216922522664</c:v>
                </c:pt>
                <c:pt idx="19">
                  <c:v>0.20044733858651942</c:v>
                </c:pt>
                <c:pt idx="20">
                  <c:v>0.13722885888943798</c:v>
                </c:pt>
                <c:pt idx="21">
                  <c:v>8.8064756946078279E-2</c:v>
                </c:pt>
                <c:pt idx="22">
                  <c:v>5.297492623669902E-2</c:v>
                </c:pt>
                <c:pt idx="23">
                  <c:v>2.9871024056302081E-2</c:v>
                </c:pt>
                <c:pt idx="24">
                  <c:v>1.5788518983357449E-2</c:v>
                </c:pt>
                <c:pt idx="25">
                  <c:v>7.8224754120286687E-3</c:v>
                </c:pt>
                <c:pt idx="26">
                  <c:v>3.6329427236932608E-3</c:v>
                </c:pt>
                <c:pt idx="27">
                  <c:v>1.5815554613239904E-3</c:v>
                </c:pt>
                <c:pt idx="28">
                  <c:v>6.4538940643923113E-4</c:v>
                </c:pt>
                <c:pt idx="29">
                  <c:v>2.4687139433329547E-4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1-4FB9-866C-6F59BE2B4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41-4FB9-866C-6F59BE2B427D}"/>
              </c:ext>
            </c:extLst>
          </c:dPt>
          <c:cat>
            <c:numRef>
              <c:f>[3]Sta_Mo!$AS$85:$AS$114</c:f>
              <c:numCache>
                <c:formatCode>General</c:formatCode>
                <c:ptCount val="30"/>
                <c:pt idx="0">
                  <c:v>-0.5</c:v>
                </c:pt>
                <c:pt idx="1">
                  <c:v>-0.3</c:v>
                </c:pt>
                <c:pt idx="2">
                  <c:v>-9.9999999999999978E-2</c:v>
                </c:pt>
                <c:pt idx="3">
                  <c:v>0.10000000000000003</c:v>
                </c:pt>
                <c:pt idx="4">
                  <c:v>0.30000000000000004</c:v>
                </c:pt>
                <c:pt idx="5">
                  <c:v>0.5</c:v>
                </c:pt>
                <c:pt idx="6">
                  <c:v>0.7</c:v>
                </c:pt>
                <c:pt idx="7">
                  <c:v>0.89999999999999991</c:v>
                </c:pt>
                <c:pt idx="8">
                  <c:v>1.0999999999999999</c:v>
                </c:pt>
                <c:pt idx="9">
                  <c:v>1.2999999999999998</c:v>
                </c:pt>
                <c:pt idx="10">
                  <c:v>1.4999999999999998</c:v>
                </c:pt>
                <c:pt idx="11">
                  <c:v>1.6999999999999997</c:v>
                </c:pt>
                <c:pt idx="12">
                  <c:v>1.8999999999999997</c:v>
                </c:pt>
                <c:pt idx="13">
                  <c:v>2.0999999999999996</c:v>
                </c:pt>
                <c:pt idx="14">
                  <c:v>2.2999999999999998</c:v>
                </c:pt>
                <c:pt idx="15">
                  <c:v>2.5</c:v>
                </c:pt>
                <c:pt idx="16">
                  <c:v>2.7</c:v>
                </c:pt>
                <c:pt idx="17">
                  <c:v>2.9000000000000004</c:v>
                </c:pt>
                <c:pt idx="18">
                  <c:v>3.1000000000000005</c:v>
                </c:pt>
                <c:pt idx="19">
                  <c:v>3.3000000000000007</c:v>
                </c:pt>
                <c:pt idx="20">
                  <c:v>3.5000000000000009</c:v>
                </c:pt>
                <c:pt idx="21">
                  <c:v>3.7000000000000011</c:v>
                </c:pt>
                <c:pt idx="22">
                  <c:v>3.9000000000000012</c:v>
                </c:pt>
                <c:pt idx="23">
                  <c:v>4.1000000000000014</c:v>
                </c:pt>
                <c:pt idx="24">
                  <c:v>4.3000000000000016</c:v>
                </c:pt>
                <c:pt idx="25">
                  <c:v>4.5000000000000018</c:v>
                </c:pt>
                <c:pt idx="26">
                  <c:v>4.700000000000002</c:v>
                </c:pt>
                <c:pt idx="27">
                  <c:v>4.9000000000000021</c:v>
                </c:pt>
                <c:pt idx="28">
                  <c:v>5.1000000000000023</c:v>
                </c:pt>
                <c:pt idx="29">
                  <c:v>5.3000000000000025</c:v>
                </c:pt>
              </c:numCache>
            </c:numRef>
          </c:cat>
          <c:val>
            <c:numRef>
              <c:f>'Sta_Mo '!$AS$146:$AS$175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41-4FB9-866C-6F59BE2B4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(%Mo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'!$AT$114:$AT$143</c:f>
              <c:numCache>
                <c:formatCode>0.00E+00</c:formatCode>
                <c:ptCount val="30"/>
                <c:pt idx="0">
                  <c:v>1.0008858690583594E-2</c:v>
                </c:pt>
                <c:pt idx="1">
                  <c:v>1.615952757940229E-2</c:v>
                </c:pt>
                <c:pt idx="2">
                  <c:v>2.5274619029387244E-2</c:v>
                </c:pt>
                <c:pt idx="3">
                  <c:v>3.8295913335235639E-2</c:v>
                </c:pt>
                <c:pt idx="4">
                  <c:v>5.6212396484613611E-2</c:v>
                </c:pt>
                <c:pt idx="5">
                  <c:v>7.9932542192044445E-2</c:v>
                </c:pt>
                <c:pt idx="6">
                  <c:v>0.11011006168840601</c:v>
                </c:pt>
                <c:pt idx="7">
                  <c:v>0.1469407465190041</c:v>
                </c:pt>
                <c:pt idx="8">
                  <c:v>0.1899631372942025</c:v>
                </c:pt>
                <c:pt idx="9">
                  <c:v>0.23790758068729906</c:v>
                </c:pt>
                <c:pt idx="10">
                  <c:v>0.28864170641645043</c:v>
                </c:pt>
                <c:pt idx="11">
                  <c:v>0.33925147277516898</c:v>
                </c:pt>
                <c:pt idx="12">
                  <c:v>0.38627469266909947</c:v>
                </c:pt>
                <c:pt idx="13">
                  <c:v>0.42607163741709969</c:v>
                </c:pt>
                <c:pt idx="14">
                  <c:v>0.45528238781297464</c:v>
                </c:pt>
                <c:pt idx="15">
                  <c:v>0.47129293678085782</c:v>
                </c:pt>
                <c:pt idx="16">
                  <c:v>0.47262083965212492</c:v>
                </c:pt>
                <c:pt idx="17">
                  <c:v>0.4591416169611286</c:v>
                </c:pt>
                <c:pt idx="18">
                  <c:v>0.43210800001001137</c:v>
                </c:pt>
                <c:pt idx="19">
                  <c:v>0.39395789658361302</c:v>
                </c:pt>
                <c:pt idx="20">
                  <c:v>0.3479518650777727</c:v>
                </c:pt>
                <c:pt idx="21">
                  <c:v>0.29771477135406049</c:v>
                </c:pt>
                <c:pt idx="22">
                  <c:v>0.24677062041366718</c:v>
                </c:pt>
                <c:pt idx="23">
                  <c:v>0.19815196274090333</c:v>
                </c:pt>
                <c:pt idx="24">
                  <c:v>0.1541399307695045</c:v>
                </c:pt>
                <c:pt idx="25">
                  <c:v>0.11615657456926469</c:v>
                </c:pt>
                <c:pt idx="26">
                  <c:v>8.4797742120866965E-2</c:v>
                </c:pt>
                <c:pt idx="27">
                  <c:v>5.9970357322559981E-2</c:v>
                </c:pt>
                <c:pt idx="28">
                  <c:v>4.1086660170768306E-2</c:v>
                </c:pt>
                <c:pt idx="29">
                  <c:v>2.7269482676374066E-2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F-44DD-818A-54D2D9B27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2F-44DD-818A-54D2D9B27F93}"/>
              </c:ext>
            </c:extLst>
          </c:dPt>
          <c:cat>
            <c:numRef>
              <c:f>[3]Sta_Mo!$AT$85:$AT$114</c:f>
              <c:numCache>
                <c:formatCode>General</c:formatCode>
                <c:ptCount val="30"/>
                <c:pt idx="0">
                  <c:v>-0.3</c:v>
                </c:pt>
                <c:pt idx="1">
                  <c:v>-0.15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0.44999999999999996</c:v>
                </c:pt>
                <c:pt idx="6">
                  <c:v>0.6</c:v>
                </c:pt>
                <c:pt idx="7">
                  <c:v>0.75</c:v>
                </c:pt>
                <c:pt idx="8">
                  <c:v>0.9</c:v>
                </c:pt>
                <c:pt idx="9">
                  <c:v>1.05</c:v>
                </c:pt>
                <c:pt idx="10">
                  <c:v>1.2</c:v>
                </c:pt>
                <c:pt idx="11">
                  <c:v>1.3499999999999999</c:v>
                </c:pt>
                <c:pt idx="12">
                  <c:v>1.4999999999999998</c:v>
                </c:pt>
                <c:pt idx="13">
                  <c:v>1.6499999999999997</c:v>
                </c:pt>
                <c:pt idx="14">
                  <c:v>1.7999999999999996</c:v>
                </c:pt>
                <c:pt idx="15">
                  <c:v>1.9499999999999995</c:v>
                </c:pt>
                <c:pt idx="16">
                  <c:v>2.0999999999999996</c:v>
                </c:pt>
                <c:pt idx="17">
                  <c:v>2.2499999999999996</c:v>
                </c:pt>
                <c:pt idx="18">
                  <c:v>2.3999999999999995</c:v>
                </c:pt>
                <c:pt idx="19">
                  <c:v>2.5499999999999994</c:v>
                </c:pt>
                <c:pt idx="20">
                  <c:v>2.6999999999999993</c:v>
                </c:pt>
                <c:pt idx="21">
                  <c:v>2.8499999999999992</c:v>
                </c:pt>
                <c:pt idx="22">
                  <c:v>2.9999999999999991</c:v>
                </c:pt>
                <c:pt idx="23">
                  <c:v>3.149999999999999</c:v>
                </c:pt>
                <c:pt idx="24">
                  <c:v>3.2999999999999989</c:v>
                </c:pt>
                <c:pt idx="25">
                  <c:v>3.4499999999999988</c:v>
                </c:pt>
                <c:pt idx="26">
                  <c:v>3.5999999999999988</c:v>
                </c:pt>
                <c:pt idx="27">
                  <c:v>3.7499999999999987</c:v>
                </c:pt>
                <c:pt idx="28">
                  <c:v>3.8999999999999986</c:v>
                </c:pt>
                <c:pt idx="29">
                  <c:v>4.0499999999999989</c:v>
                </c:pt>
              </c:numCache>
            </c:numRef>
          </c:cat>
          <c:val>
            <c:numRef>
              <c:f>'Sta_Mo '!$AT$146:$AT$175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2F-44DD-818A-54D2D9B27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(%Mo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'Sta_Mo '!$AU$114:$AU$143</c:f>
              <c:numCache>
                <c:formatCode>0.00E+00</c:formatCode>
                <c:ptCount val="30"/>
                <c:pt idx="0">
                  <c:v>4.2653772719213496E-4</c:v>
                </c:pt>
                <c:pt idx="1">
                  <c:v>1.3125704144751307E-3</c:v>
                </c:pt>
                <c:pt idx="2">
                  <c:v>3.6731161355650103E-3</c:v>
                </c:pt>
                <c:pt idx="3">
                  <c:v>9.3474596142272721E-3</c:v>
                </c:pt>
                <c:pt idx="4">
                  <c:v>2.1632136936216882E-2</c:v>
                </c:pt>
                <c:pt idx="5">
                  <c:v>4.552522888388677E-2</c:v>
                </c:pt>
                <c:pt idx="6">
                  <c:v>8.7126795468273704E-2</c:v>
                </c:pt>
                <c:pt idx="7">
                  <c:v>0.1516345729272327</c:v>
                </c:pt>
                <c:pt idx="8">
                  <c:v>0.23998915269828441</c:v>
                </c:pt>
                <c:pt idx="9">
                  <c:v>0.34540759347800282</c:v>
                </c:pt>
                <c:pt idx="10">
                  <c:v>0.45208389694367174</c:v>
                </c:pt>
                <c:pt idx="11">
                  <c:v>0.53808772311588815</c:v>
                </c:pt>
                <c:pt idx="12">
                  <c:v>0.58241696567530388</c:v>
                </c:pt>
                <c:pt idx="13">
                  <c:v>0.57327346466756557</c:v>
                </c:pt>
                <c:pt idx="14">
                  <c:v>0.51314080465897283</c:v>
                </c:pt>
                <c:pt idx="15">
                  <c:v>0.41769391682035045</c:v>
                </c:pt>
                <c:pt idx="16">
                  <c:v>0.30919085367290744</c:v>
                </c:pt>
                <c:pt idx="17">
                  <c:v>0.20813351313544662</c:v>
                </c:pt>
                <c:pt idx="18">
                  <c:v>0.12741022417474715</c:v>
                </c:pt>
                <c:pt idx="19">
                  <c:v>7.0927300901567236E-2</c:v>
                </c:pt>
                <c:pt idx="20">
                  <c:v>3.590620245686281E-2</c:v>
                </c:pt>
                <c:pt idx="21">
                  <c:v>1.6529982957576444E-2</c:v>
                </c:pt>
                <c:pt idx="22">
                  <c:v>6.9202570239458002E-3</c:v>
                </c:pt>
                <c:pt idx="23">
                  <c:v>2.6346257507876636E-3</c:v>
                </c:pt>
                <c:pt idx="24">
                  <c:v>9.1214215712047333E-4</c:v>
                </c:pt>
                <c:pt idx="25">
                  <c:v>2.8717922078208352E-4</c:v>
                </c:pt>
                <c:pt idx="26">
                  <c:v>8.2222444767984554E-5</c:v>
                </c:pt>
                <c:pt idx="27">
                  <c:v>2.1407928581898559E-5</c:v>
                </c:pt>
                <c:pt idx="28">
                  <c:v>5.068807489219202E-6</c:v>
                </c:pt>
                <c:pt idx="29">
                  <c:v>1.0913997142469553E-6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9-4288-BE45-6AFE5FA9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039-4288-BE45-6AFE5FA9AFD4}"/>
              </c:ext>
            </c:extLst>
          </c:dPt>
          <c:cat>
            <c:numRef>
              <c:f>[3]Sta_Mo!$AU$85:$AU$114</c:f>
              <c:numCache>
                <c:formatCode>General</c:formatCode>
                <c:ptCount val="30"/>
                <c:pt idx="0">
                  <c:v>-2.4</c:v>
                </c:pt>
                <c:pt idx="1">
                  <c:v>-2.19</c:v>
                </c:pt>
                <c:pt idx="2">
                  <c:v>-1.98</c:v>
                </c:pt>
                <c:pt idx="3">
                  <c:v>-1.77</c:v>
                </c:pt>
                <c:pt idx="4">
                  <c:v>-1.56</c:v>
                </c:pt>
                <c:pt idx="5">
                  <c:v>-1.35</c:v>
                </c:pt>
                <c:pt idx="6">
                  <c:v>-1.1400000000000001</c:v>
                </c:pt>
                <c:pt idx="7">
                  <c:v>-0.93000000000000016</c:v>
                </c:pt>
                <c:pt idx="8">
                  <c:v>-0.7200000000000002</c:v>
                </c:pt>
                <c:pt idx="9">
                  <c:v>-0.51000000000000023</c:v>
                </c:pt>
                <c:pt idx="10">
                  <c:v>-0.30000000000000027</c:v>
                </c:pt>
                <c:pt idx="11">
                  <c:v>-9.0000000000000274E-2</c:v>
                </c:pt>
                <c:pt idx="12">
                  <c:v>0.11999999999999972</c:v>
                </c:pt>
                <c:pt idx="13">
                  <c:v>0.32999999999999974</c:v>
                </c:pt>
                <c:pt idx="14">
                  <c:v>0.5399999999999997</c:v>
                </c:pt>
                <c:pt idx="15">
                  <c:v>0.74999999999999967</c:v>
                </c:pt>
                <c:pt idx="16">
                  <c:v>0.95999999999999963</c:v>
                </c:pt>
                <c:pt idx="17">
                  <c:v>1.1699999999999997</c:v>
                </c:pt>
                <c:pt idx="18">
                  <c:v>1.3799999999999997</c:v>
                </c:pt>
                <c:pt idx="19">
                  <c:v>1.5899999999999996</c:v>
                </c:pt>
                <c:pt idx="20">
                  <c:v>1.7999999999999996</c:v>
                </c:pt>
                <c:pt idx="21">
                  <c:v>2.0099999999999998</c:v>
                </c:pt>
                <c:pt idx="22">
                  <c:v>2.2199999999999998</c:v>
                </c:pt>
                <c:pt idx="23">
                  <c:v>2.4299999999999997</c:v>
                </c:pt>
                <c:pt idx="24">
                  <c:v>2.6399999999999997</c:v>
                </c:pt>
                <c:pt idx="25">
                  <c:v>2.8499999999999996</c:v>
                </c:pt>
                <c:pt idx="26">
                  <c:v>3.0599999999999996</c:v>
                </c:pt>
                <c:pt idx="27">
                  <c:v>3.2699999999999996</c:v>
                </c:pt>
                <c:pt idx="28">
                  <c:v>3.4799999999999995</c:v>
                </c:pt>
                <c:pt idx="29">
                  <c:v>3.6899999999999995</c:v>
                </c:pt>
              </c:numCache>
            </c:numRef>
          </c:cat>
          <c:val>
            <c:numRef>
              <c:f>'Sta_Mo '!$AU$146:$AU$175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39-4288-BE45-6AFE5FA9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(%Fe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'!$K$114:$K$143</c:f>
              <c:numCache>
                <c:formatCode>0.00E+00</c:formatCode>
                <c:ptCount val="30"/>
                <c:pt idx="0">
                  <c:v>1.6253199953095473E-9</c:v>
                </c:pt>
                <c:pt idx="1">
                  <c:v>1.6908228778710431E-8</c:v>
                </c:pt>
                <c:pt idx="2">
                  <c:v>1.508876946079459E-7</c:v>
                </c:pt>
                <c:pt idx="3">
                  <c:v>1.1550638741277323E-6</c:v>
                </c:pt>
                <c:pt idx="4">
                  <c:v>7.5849836572831908E-6</c:v>
                </c:pt>
                <c:pt idx="5">
                  <c:v>4.2726741002453025E-5</c:v>
                </c:pt>
                <c:pt idx="6">
                  <c:v>2.0646258339487809E-4</c:v>
                </c:pt>
                <c:pt idx="7">
                  <c:v>8.5581405911246957E-4</c:v>
                </c:pt>
                <c:pt idx="8">
                  <c:v>3.0430840416613212E-3</c:v>
                </c:pt>
                <c:pt idx="9">
                  <c:v>9.2820722973413605E-3</c:v>
                </c:pt>
                <c:pt idx="10">
                  <c:v>2.4286918608559336E-2</c:v>
                </c:pt>
                <c:pt idx="11">
                  <c:v>5.4512532471297455E-2</c:v>
                </c:pt>
                <c:pt idx="12">
                  <c:v>0.10495829562027485</c:v>
                </c:pt>
                <c:pt idx="13">
                  <c:v>0.1733539139338191</c:v>
                </c:pt>
                <c:pt idx="14">
                  <c:v>0.24561054205865224</c:v>
                </c:pt>
                <c:pt idx="15">
                  <c:v>0.29850858519531492</c:v>
                </c:pt>
                <c:pt idx="16">
                  <c:v>0.31121686167281165</c:v>
                </c:pt>
                <c:pt idx="17">
                  <c:v>0.27833375723599146</c:v>
                </c:pt>
                <c:pt idx="18">
                  <c:v>0.21353305612922224</c:v>
                </c:pt>
                <c:pt idx="19">
                  <c:v>0.14052733809304829</c:v>
                </c:pt>
                <c:pt idx="20">
                  <c:v>7.9332838632650934E-2</c:v>
                </c:pt>
                <c:pt idx="21">
                  <c:v>3.8418609209995597E-2</c:v>
                </c:pt>
                <c:pt idx="22">
                  <c:v>1.5959774620288317E-2</c:v>
                </c:pt>
                <c:pt idx="23">
                  <c:v>5.6873288372287648E-3</c:v>
                </c:pt>
                <c:pt idx="24">
                  <c:v>1.7385468379738762E-3</c:v>
                </c:pt>
                <c:pt idx="25">
                  <c:v>4.5589089825172845E-4</c:v>
                </c:pt>
                <c:pt idx="26">
                  <c:v>1.0254911537458598E-4</c:v>
                </c:pt>
                <c:pt idx="27">
                  <c:v>1.9787885346872534E-5</c:v>
                </c:pt>
                <c:pt idx="28">
                  <c:v>3.2753922925590938E-6</c:v>
                </c:pt>
                <c:pt idx="29">
                  <c:v>4.6507578790915011E-7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E-47FF-B139-955104BB5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4E-47FF-B139-955104BB5660}"/>
              </c:ext>
            </c:extLst>
          </c:dPt>
          <c:cat>
            <c:numRef>
              <c:f>[3]Sta_Mo!$K$85:$K$114</c:f>
              <c:numCache>
                <c:formatCode>General</c:formatCode>
                <c:ptCount val="30"/>
                <c:pt idx="0">
                  <c:v>20</c:v>
                </c:pt>
                <c:pt idx="1">
                  <c:v>20.5</c:v>
                </c:pt>
                <c:pt idx="2">
                  <c:v>21</c:v>
                </c:pt>
                <c:pt idx="3">
                  <c:v>21.5</c:v>
                </c:pt>
                <c:pt idx="4">
                  <c:v>22</c:v>
                </c:pt>
                <c:pt idx="5">
                  <c:v>22.5</c:v>
                </c:pt>
                <c:pt idx="6">
                  <c:v>23</c:v>
                </c:pt>
                <c:pt idx="7">
                  <c:v>23.5</c:v>
                </c:pt>
                <c:pt idx="8">
                  <c:v>24</c:v>
                </c:pt>
                <c:pt idx="9">
                  <c:v>24.5</c:v>
                </c:pt>
                <c:pt idx="10">
                  <c:v>25</c:v>
                </c:pt>
                <c:pt idx="11">
                  <c:v>25.5</c:v>
                </c:pt>
                <c:pt idx="12">
                  <c:v>26</c:v>
                </c:pt>
                <c:pt idx="13">
                  <c:v>26.5</c:v>
                </c:pt>
                <c:pt idx="14">
                  <c:v>27</c:v>
                </c:pt>
                <c:pt idx="15">
                  <c:v>27.5</c:v>
                </c:pt>
                <c:pt idx="16">
                  <c:v>28</c:v>
                </c:pt>
                <c:pt idx="17">
                  <c:v>28.5</c:v>
                </c:pt>
                <c:pt idx="18">
                  <c:v>29</c:v>
                </c:pt>
                <c:pt idx="19">
                  <c:v>29.5</c:v>
                </c:pt>
                <c:pt idx="20">
                  <c:v>30</c:v>
                </c:pt>
                <c:pt idx="21">
                  <c:v>30.5</c:v>
                </c:pt>
                <c:pt idx="22">
                  <c:v>31</c:v>
                </c:pt>
                <c:pt idx="23">
                  <c:v>31.5</c:v>
                </c:pt>
                <c:pt idx="24">
                  <c:v>32</c:v>
                </c:pt>
                <c:pt idx="25">
                  <c:v>32.5</c:v>
                </c:pt>
                <c:pt idx="26">
                  <c:v>33</c:v>
                </c:pt>
                <c:pt idx="27">
                  <c:v>33.5</c:v>
                </c:pt>
                <c:pt idx="28">
                  <c:v>34</c:v>
                </c:pt>
                <c:pt idx="29">
                  <c:v>34.5</c:v>
                </c:pt>
              </c:numCache>
            </c:numRef>
          </c:cat>
          <c:val>
            <c:numRef>
              <c:f>'Sta_Mo '!$K$146:$K$175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4E-47FF-B139-955104BB5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(%Fe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'!$L$114:$L$143</c:f>
              <c:numCache>
                <c:formatCode>0.00E+00</c:formatCode>
                <c:ptCount val="30"/>
                <c:pt idx="0">
                  <c:v>1.4575808780248944E-6</c:v>
                </c:pt>
                <c:pt idx="1">
                  <c:v>1.1769643193473321E-5</c:v>
                </c:pt>
                <c:pt idx="2">
                  <c:v>7.8381090585298086E-5</c:v>
                </c:pt>
                <c:pt idx="3">
                  <c:v>4.3050349021340301E-4</c:v>
                </c:pt>
                <c:pt idx="4">
                  <c:v>1.9501114020767966E-3</c:v>
                </c:pt>
                <c:pt idx="5">
                  <c:v>7.2855029166489279E-3</c:v>
                </c:pt>
                <c:pt idx="6">
                  <c:v>2.2447967307259269E-2</c:v>
                </c:pt>
                <c:pt idx="7">
                  <c:v>5.7044250187744928E-2</c:v>
                </c:pt>
                <c:pt idx="8">
                  <c:v>0.11955399712184332</c:v>
                </c:pt>
                <c:pt idx="9">
                  <c:v>0.20664918436103591</c:v>
                </c:pt>
                <c:pt idx="10">
                  <c:v>0.29459180418320835</c:v>
                </c:pt>
                <c:pt idx="11">
                  <c:v>0.34635781793497084</c:v>
                </c:pt>
                <c:pt idx="12">
                  <c:v>0.33585104164546997</c:v>
                </c:pt>
                <c:pt idx="13">
                  <c:v>0.26858748605081445</c:v>
                </c:pt>
                <c:pt idx="14">
                  <c:v>0.17715043330559402</c:v>
                </c:pt>
                <c:pt idx="15">
                  <c:v>9.6364269511834924E-2</c:v>
                </c:pt>
                <c:pt idx="16">
                  <c:v>4.3232188228093493E-2</c:v>
                </c:pt>
                <c:pt idx="17">
                  <c:v>1.5996161228563451E-2</c:v>
                </c:pt>
                <c:pt idx="18">
                  <c:v>4.881369659343656E-3</c:v>
                </c:pt>
                <c:pt idx="19">
                  <c:v>1.2285278100288245E-3</c:v>
                </c:pt>
                <c:pt idx="20">
                  <c:v>2.5500321537622013E-4</c:v>
                </c:pt>
                <c:pt idx="21">
                  <c:v>4.3653964516633883E-5</c:v>
                </c:pt>
                <c:pt idx="22">
                  <c:v>6.163382141096813E-6</c:v>
                </c:pt>
                <c:pt idx="23">
                  <c:v>7.1768169626202945E-7</c:v>
                </c:pt>
                <c:pt idx="24">
                  <c:v>6.8922657520525464E-8</c:v>
                </c:pt>
                <c:pt idx="25">
                  <c:v>5.4589551862926437E-9</c:v>
                </c:pt>
                <c:pt idx="26">
                  <c:v>3.5659431369037172E-10</c:v>
                </c:pt>
                <c:pt idx="27">
                  <c:v>1.9211296199844758E-11</c:v>
                </c:pt>
                <c:pt idx="28">
                  <c:v>8.5360370695120544E-13</c:v>
                </c:pt>
                <c:pt idx="29">
                  <c:v>3.1280471223022682E-14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0-402C-8B44-5C10FFA2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620-402C-8B44-5C10FFA2081B}"/>
              </c:ext>
            </c:extLst>
          </c:dPt>
          <c:cat>
            <c:numRef>
              <c:f>[3]Sta_Mo!$L$85:$L$114</c:f>
              <c:numCache>
                <c:formatCode>General</c:formatCode>
                <c:ptCount val="30"/>
                <c:pt idx="0">
                  <c:v>22</c:v>
                </c:pt>
                <c:pt idx="1">
                  <c:v>22.5</c:v>
                </c:pt>
                <c:pt idx="2">
                  <c:v>23</c:v>
                </c:pt>
                <c:pt idx="3">
                  <c:v>23.5</c:v>
                </c:pt>
                <c:pt idx="4">
                  <c:v>24</c:v>
                </c:pt>
                <c:pt idx="5">
                  <c:v>24.5</c:v>
                </c:pt>
                <c:pt idx="6">
                  <c:v>25</c:v>
                </c:pt>
                <c:pt idx="7">
                  <c:v>25.5</c:v>
                </c:pt>
                <c:pt idx="8">
                  <c:v>26</c:v>
                </c:pt>
                <c:pt idx="9">
                  <c:v>26.5</c:v>
                </c:pt>
                <c:pt idx="10">
                  <c:v>27</c:v>
                </c:pt>
                <c:pt idx="11">
                  <c:v>27.5</c:v>
                </c:pt>
                <c:pt idx="12">
                  <c:v>28</c:v>
                </c:pt>
                <c:pt idx="13">
                  <c:v>28.5</c:v>
                </c:pt>
                <c:pt idx="14">
                  <c:v>29</c:v>
                </c:pt>
                <c:pt idx="15">
                  <c:v>29.5</c:v>
                </c:pt>
                <c:pt idx="16">
                  <c:v>30</c:v>
                </c:pt>
                <c:pt idx="17">
                  <c:v>30.5</c:v>
                </c:pt>
                <c:pt idx="18">
                  <c:v>31</c:v>
                </c:pt>
                <c:pt idx="19">
                  <c:v>31.5</c:v>
                </c:pt>
                <c:pt idx="20">
                  <c:v>32</c:v>
                </c:pt>
                <c:pt idx="21">
                  <c:v>32.5</c:v>
                </c:pt>
                <c:pt idx="22">
                  <c:v>33</c:v>
                </c:pt>
                <c:pt idx="23">
                  <c:v>33.5</c:v>
                </c:pt>
                <c:pt idx="24">
                  <c:v>34</c:v>
                </c:pt>
                <c:pt idx="25">
                  <c:v>34.5</c:v>
                </c:pt>
                <c:pt idx="26">
                  <c:v>35</c:v>
                </c:pt>
                <c:pt idx="27">
                  <c:v>35.5</c:v>
                </c:pt>
                <c:pt idx="28">
                  <c:v>36</c:v>
                </c:pt>
                <c:pt idx="29">
                  <c:v>36.5</c:v>
                </c:pt>
              </c:numCache>
            </c:numRef>
          </c:cat>
          <c:val>
            <c:numRef>
              <c:f>'Sta_Mo '!$L$146:$L$175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3</c:v>
                </c:pt>
                <c:pt idx="12">
                  <c:v>4</c:v>
                </c:pt>
                <c:pt idx="13">
                  <c:v>7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20-402C-8B44-5C10FFA2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(%Fe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'Sta_Mo '!$M$114:$M$143</c:f>
              <c:numCache>
                <c:formatCode>0.00E+00</c:formatCode>
                <c:ptCount val="30"/>
                <c:pt idx="0">
                  <c:v>4.014834508874797E-4</c:v>
                </c:pt>
                <c:pt idx="1">
                  <c:v>1.0526201741521259E-3</c:v>
                </c:pt>
                <c:pt idx="2">
                  <c:v>2.5556024764603136E-3</c:v>
                </c:pt>
                <c:pt idx="3">
                  <c:v>5.7455615498128556E-3</c:v>
                </c:pt>
                <c:pt idx="4">
                  <c:v>1.1961598823827661E-2</c:v>
                </c:pt>
                <c:pt idx="5">
                  <c:v>2.3060225721509502E-2</c:v>
                </c:pt>
                <c:pt idx="6">
                  <c:v>4.1167590174502951E-2</c:v>
                </c:pt>
                <c:pt idx="7">
                  <c:v>6.8055762943515091E-2</c:v>
                </c:pt>
                <c:pt idx="8">
                  <c:v>0.10418181968027616</c:v>
                </c:pt>
                <c:pt idx="9">
                  <c:v>0.14768505209026483</c:v>
                </c:pt>
                <c:pt idx="10">
                  <c:v>0.19386468883467411</c:v>
                </c:pt>
                <c:pt idx="11">
                  <c:v>0.23565597433983076</c:v>
                </c:pt>
                <c:pt idx="12">
                  <c:v>0.26526244393761911</c:v>
                </c:pt>
                <c:pt idx="13">
                  <c:v>0.2764971434228321</c:v>
                </c:pt>
                <c:pt idx="14">
                  <c:v>0.26688434602366506</c:v>
                </c:pt>
                <c:pt idx="15">
                  <c:v>0.23854654107436346</c:v>
                </c:pt>
                <c:pt idx="16">
                  <c:v>0.19744253403739112</c:v>
                </c:pt>
                <c:pt idx="17">
                  <c:v>0.15133029509630086</c:v>
                </c:pt>
                <c:pt idx="18">
                  <c:v>0.10740601702020165</c:v>
                </c:pt>
                <c:pt idx="19">
                  <c:v>7.0590931812162042E-2</c:v>
                </c:pt>
                <c:pt idx="20">
                  <c:v>4.2962227224257271E-2</c:v>
                </c:pt>
                <c:pt idx="21">
                  <c:v>2.4212644795343088E-2</c:v>
                </c:pt>
                <c:pt idx="22">
                  <c:v>1.2636163718725607E-2</c:v>
                </c:pt>
                <c:pt idx="23">
                  <c:v>6.1066893460433331E-3</c:v>
                </c:pt>
                <c:pt idx="24">
                  <c:v>2.7328385859333652E-3</c:v>
                </c:pt>
                <c:pt idx="25">
                  <c:v>1.1325038956943644E-3</c:v>
                </c:pt>
                <c:pt idx="26">
                  <c:v>4.3459327166745962E-4</c:v>
                </c:pt>
                <c:pt idx="27">
                  <c:v>1.5443433493435646E-4</c:v>
                </c:pt>
                <c:pt idx="28">
                  <c:v>5.0818553145698455E-5</c:v>
                </c:pt>
                <c:pt idx="29">
                  <c:v>1.5485252816140064E-5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2-4E4C-A272-BC745AA4F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D52-4E4C-A272-BC745AA4FD36}"/>
              </c:ext>
            </c:extLst>
          </c:dPt>
          <c:cat>
            <c:numRef>
              <c:f>[3]Sta_Mo!$M$85:$M$114</c:f>
              <c:numCache>
                <c:formatCode>General</c:formatCode>
                <c:ptCount val="30"/>
                <c:pt idx="0">
                  <c:v>-5</c:v>
                </c:pt>
                <c:pt idx="1">
                  <c:v>-4.5999999999999996</c:v>
                </c:pt>
                <c:pt idx="2">
                  <c:v>-4.1999999999999993</c:v>
                </c:pt>
                <c:pt idx="3">
                  <c:v>-3.7999999999999994</c:v>
                </c:pt>
                <c:pt idx="4">
                  <c:v>-3.3999999999999995</c:v>
                </c:pt>
                <c:pt idx="5">
                  <c:v>-2.9999999999999996</c:v>
                </c:pt>
                <c:pt idx="6">
                  <c:v>-2.5999999999999996</c:v>
                </c:pt>
                <c:pt idx="7">
                  <c:v>-2.1999999999999997</c:v>
                </c:pt>
                <c:pt idx="8">
                  <c:v>-1.7999999999999998</c:v>
                </c:pt>
                <c:pt idx="9">
                  <c:v>-1.4</c:v>
                </c:pt>
                <c:pt idx="10">
                  <c:v>-0.99999999999999989</c:v>
                </c:pt>
                <c:pt idx="11">
                  <c:v>-0.59999999999999987</c:v>
                </c:pt>
                <c:pt idx="12">
                  <c:v>-0.19999999999999984</c:v>
                </c:pt>
                <c:pt idx="13">
                  <c:v>0.20000000000000018</c:v>
                </c:pt>
                <c:pt idx="14">
                  <c:v>0.6000000000000002</c:v>
                </c:pt>
                <c:pt idx="15">
                  <c:v>1.0000000000000002</c:v>
                </c:pt>
                <c:pt idx="16">
                  <c:v>1.4000000000000004</c:v>
                </c:pt>
                <c:pt idx="17">
                  <c:v>1.8000000000000003</c:v>
                </c:pt>
                <c:pt idx="18">
                  <c:v>2.2000000000000002</c:v>
                </c:pt>
                <c:pt idx="19">
                  <c:v>2.6</c:v>
                </c:pt>
                <c:pt idx="20">
                  <c:v>3</c:v>
                </c:pt>
                <c:pt idx="21">
                  <c:v>3.4</c:v>
                </c:pt>
                <c:pt idx="22">
                  <c:v>3.8</c:v>
                </c:pt>
                <c:pt idx="23">
                  <c:v>4.2</c:v>
                </c:pt>
                <c:pt idx="24">
                  <c:v>4.6000000000000005</c:v>
                </c:pt>
                <c:pt idx="25">
                  <c:v>5.0000000000000009</c:v>
                </c:pt>
                <c:pt idx="26">
                  <c:v>5.4000000000000012</c:v>
                </c:pt>
                <c:pt idx="27">
                  <c:v>5.8000000000000016</c:v>
                </c:pt>
                <c:pt idx="28">
                  <c:v>6.200000000000002</c:v>
                </c:pt>
                <c:pt idx="29">
                  <c:v>6.6000000000000023</c:v>
                </c:pt>
              </c:numCache>
            </c:numRef>
          </c:cat>
          <c:val>
            <c:numRef>
              <c:f>'Sta_Mo '!$M$146:$M$175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6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52-4E4C-A272-BC745AA4F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(%Fe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'!$AW$114:$AW$143</c:f>
              <c:numCache>
                <c:formatCode>0.00E+00</c:formatCode>
                <c:ptCount val="30"/>
                <c:pt idx="0">
                  <c:v>2.5351358186661753E-7</c:v>
                </c:pt>
                <c:pt idx="1">
                  <c:v>1.5818699982159435E-6</c:v>
                </c:pt>
                <c:pt idx="2">
                  <c:v>8.6770015375504673E-6</c:v>
                </c:pt>
                <c:pt idx="3">
                  <c:v>4.1840598363733906E-5</c:v>
                </c:pt>
                <c:pt idx="4">
                  <c:v>1.7735989637103261E-4</c:v>
                </c:pt>
                <c:pt idx="5">
                  <c:v>6.6090995450206397E-4</c:v>
                </c:pt>
                <c:pt idx="6">
                  <c:v>2.1650029240440896E-3</c:v>
                </c:pt>
                <c:pt idx="7">
                  <c:v>6.2345341556603743E-3</c:v>
                </c:pt>
                <c:pt idx="8">
                  <c:v>1.5782611169205547E-2</c:v>
                </c:pt>
                <c:pt idx="9">
                  <c:v>3.512230685132417E-2</c:v>
                </c:pt>
                <c:pt idx="10">
                  <c:v>6.8709460080972617E-2</c:v>
                </c:pt>
                <c:pt idx="11">
                  <c:v>0.11816241707370331</c:v>
                </c:pt>
                <c:pt idx="12">
                  <c:v>0.1786370439880573</c:v>
                </c:pt>
                <c:pt idx="13">
                  <c:v>0.23740672024489692</c:v>
                </c:pt>
                <c:pt idx="14">
                  <c:v>0.27735999465101535</c:v>
                </c:pt>
                <c:pt idx="15">
                  <c:v>0.28485507380602193</c:v>
                </c:pt>
                <c:pt idx="16">
                  <c:v>0.25717776981097451</c:v>
                </c:pt>
                <c:pt idx="17">
                  <c:v>0.20411373020006568</c:v>
                </c:pt>
                <c:pt idx="18">
                  <c:v>0.14240995213266724</c:v>
                </c:pt>
                <c:pt idx="19">
                  <c:v>8.7344947595586517E-2</c:v>
                </c:pt>
                <c:pt idx="20">
                  <c:v>4.7093889882229303E-2</c:v>
                </c:pt>
                <c:pt idx="21">
                  <c:v>2.2321360757523993E-2</c:v>
                </c:pt>
                <c:pt idx="22">
                  <c:v>9.3004957028638077E-3</c:v>
                </c:pt>
                <c:pt idx="23">
                  <c:v>3.4065977365049611E-3</c:v>
                </c:pt>
                <c:pt idx="24">
                  <c:v>1.0968946994551775E-3</c:v>
                </c:pt>
                <c:pt idx="25">
                  <c:v>3.1048337413719439E-4</c:v>
                </c:pt>
                <c:pt idx="26">
                  <c:v>7.7257577850252629E-5</c:v>
                </c:pt>
                <c:pt idx="27">
                  <c:v>1.6899472712411859E-5</c:v>
                </c:pt>
                <c:pt idx="28">
                  <c:v>3.2496347295599077E-6</c:v>
                </c:pt>
                <c:pt idx="29">
                  <c:v>5.493198186244351E-7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7C-4396-83FF-9409FA54C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07C-4396-83FF-9409FA54C459}"/>
              </c:ext>
            </c:extLst>
          </c:dPt>
          <c:cat>
            <c:numRef>
              <c:f>[3]Sta_Mo!$AW$85:$AW$114</c:f>
              <c:numCache>
                <c:formatCode>General</c:formatCode>
                <c:ptCount val="30"/>
                <c:pt idx="0">
                  <c:v>21</c:v>
                </c:pt>
                <c:pt idx="1">
                  <c:v>21.5</c:v>
                </c:pt>
                <c:pt idx="2">
                  <c:v>22</c:v>
                </c:pt>
                <c:pt idx="3">
                  <c:v>22.5</c:v>
                </c:pt>
                <c:pt idx="4">
                  <c:v>23</c:v>
                </c:pt>
                <c:pt idx="5">
                  <c:v>23.5</c:v>
                </c:pt>
                <c:pt idx="6">
                  <c:v>24</c:v>
                </c:pt>
                <c:pt idx="7">
                  <c:v>24.5</c:v>
                </c:pt>
                <c:pt idx="8">
                  <c:v>25</c:v>
                </c:pt>
                <c:pt idx="9">
                  <c:v>25.5</c:v>
                </c:pt>
                <c:pt idx="10">
                  <c:v>26</c:v>
                </c:pt>
                <c:pt idx="11">
                  <c:v>26.5</c:v>
                </c:pt>
                <c:pt idx="12">
                  <c:v>27</c:v>
                </c:pt>
                <c:pt idx="13">
                  <c:v>27.5</c:v>
                </c:pt>
                <c:pt idx="14">
                  <c:v>28</c:v>
                </c:pt>
                <c:pt idx="15">
                  <c:v>28.5</c:v>
                </c:pt>
                <c:pt idx="16">
                  <c:v>29</c:v>
                </c:pt>
                <c:pt idx="17">
                  <c:v>29.5</c:v>
                </c:pt>
                <c:pt idx="18">
                  <c:v>30</c:v>
                </c:pt>
                <c:pt idx="19">
                  <c:v>30.5</c:v>
                </c:pt>
                <c:pt idx="20">
                  <c:v>31</c:v>
                </c:pt>
                <c:pt idx="21">
                  <c:v>31.5</c:v>
                </c:pt>
                <c:pt idx="22">
                  <c:v>32</c:v>
                </c:pt>
                <c:pt idx="23">
                  <c:v>32.5</c:v>
                </c:pt>
                <c:pt idx="24">
                  <c:v>33</c:v>
                </c:pt>
                <c:pt idx="25">
                  <c:v>33.5</c:v>
                </c:pt>
                <c:pt idx="26">
                  <c:v>34</c:v>
                </c:pt>
                <c:pt idx="27">
                  <c:v>34.5</c:v>
                </c:pt>
                <c:pt idx="28">
                  <c:v>35</c:v>
                </c:pt>
                <c:pt idx="29">
                  <c:v>35.5</c:v>
                </c:pt>
              </c:numCache>
            </c:numRef>
          </c:cat>
          <c:val>
            <c:numRef>
              <c:f>'Sta_Mo '!$AW$146:$AW$175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7C-4396-83FF-9409FA54C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(%Fe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'!$AT$114:$AT$143</c:f>
              <c:numCache>
                <c:formatCode>0.00E+00</c:formatCode>
                <c:ptCount val="30"/>
                <c:pt idx="0">
                  <c:v>1.0008858690583594E-2</c:v>
                </c:pt>
                <c:pt idx="1">
                  <c:v>1.615952757940229E-2</c:v>
                </c:pt>
                <c:pt idx="2">
                  <c:v>2.5274619029387244E-2</c:v>
                </c:pt>
                <c:pt idx="3">
                  <c:v>3.8295913335235639E-2</c:v>
                </c:pt>
                <c:pt idx="4">
                  <c:v>5.6212396484613611E-2</c:v>
                </c:pt>
                <c:pt idx="5">
                  <c:v>7.9932542192044445E-2</c:v>
                </c:pt>
                <c:pt idx="6">
                  <c:v>0.11011006168840601</c:v>
                </c:pt>
                <c:pt idx="7">
                  <c:v>0.1469407465190041</c:v>
                </c:pt>
                <c:pt idx="8">
                  <c:v>0.1899631372942025</c:v>
                </c:pt>
                <c:pt idx="9">
                  <c:v>0.23790758068729906</c:v>
                </c:pt>
                <c:pt idx="10">
                  <c:v>0.28864170641645043</c:v>
                </c:pt>
                <c:pt idx="11">
                  <c:v>0.33925147277516898</c:v>
                </c:pt>
                <c:pt idx="12">
                  <c:v>0.38627469266909947</c:v>
                </c:pt>
                <c:pt idx="13">
                  <c:v>0.42607163741709969</c:v>
                </c:pt>
                <c:pt idx="14">
                  <c:v>0.45528238781297464</c:v>
                </c:pt>
                <c:pt idx="15">
                  <c:v>0.47129293678085782</c:v>
                </c:pt>
                <c:pt idx="16">
                  <c:v>0.47262083965212492</c:v>
                </c:pt>
                <c:pt idx="17">
                  <c:v>0.4591416169611286</c:v>
                </c:pt>
                <c:pt idx="18">
                  <c:v>0.43210800001001137</c:v>
                </c:pt>
                <c:pt idx="19">
                  <c:v>0.39395789658361302</c:v>
                </c:pt>
                <c:pt idx="20">
                  <c:v>0.3479518650777727</c:v>
                </c:pt>
                <c:pt idx="21">
                  <c:v>0.29771477135406049</c:v>
                </c:pt>
                <c:pt idx="22">
                  <c:v>0.24677062041366718</c:v>
                </c:pt>
                <c:pt idx="23">
                  <c:v>0.19815196274090333</c:v>
                </c:pt>
                <c:pt idx="24">
                  <c:v>0.1541399307695045</c:v>
                </c:pt>
                <c:pt idx="25">
                  <c:v>0.11615657456926469</c:v>
                </c:pt>
                <c:pt idx="26">
                  <c:v>8.4797742120866965E-2</c:v>
                </c:pt>
                <c:pt idx="27">
                  <c:v>5.9970357322559981E-2</c:v>
                </c:pt>
                <c:pt idx="28">
                  <c:v>4.1086660170768306E-2</c:v>
                </c:pt>
                <c:pt idx="29">
                  <c:v>2.7269482676374066E-2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1-4885-8460-D6F3132D7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3D1-4885-8460-D6F3132D77DC}"/>
              </c:ext>
            </c:extLst>
          </c:dPt>
          <c:cat>
            <c:numRef>
              <c:f>[3]Sta_Mo!$AX$85:$AX$114</c:f>
              <c:numCache>
                <c:formatCode>General</c:formatCode>
                <c:ptCount val="30"/>
                <c:pt idx="0">
                  <c:v>21</c:v>
                </c:pt>
                <c:pt idx="1">
                  <c:v>21.5</c:v>
                </c:pt>
                <c:pt idx="2">
                  <c:v>22</c:v>
                </c:pt>
                <c:pt idx="3">
                  <c:v>22.5</c:v>
                </c:pt>
                <c:pt idx="4">
                  <c:v>23</c:v>
                </c:pt>
                <c:pt idx="5">
                  <c:v>23.5</c:v>
                </c:pt>
                <c:pt idx="6">
                  <c:v>24</c:v>
                </c:pt>
                <c:pt idx="7">
                  <c:v>24.5</c:v>
                </c:pt>
                <c:pt idx="8">
                  <c:v>25</c:v>
                </c:pt>
                <c:pt idx="9">
                  <c:v>25.5</c:v>
                </c:pt>
                <c:pt idx="10">
                  <c:v>26</c:v>
                </c:pt>
                <c:pt idx="11">
                  <c:v>26.5</c:v>
                </c:pt>
                <c:pt idx="12">
                  <c:v>27</c:v>
                </c:pt>
                <c:pt idx="13">
                  <c:v>27.5</c:v>
                </c:pt>
                <c:pt idx="14">
                  <c:v>28</c:v>
                </c:pt>
                <c:pt idx="15">
                  <c:v>28.5</c:v>
                </c:pt>
                <c:pt idx="16">
                  <c:v>29</c:v>
                </c:pt>
                <c:pt idx="17">
                  <c:v>29.5</c:v>
                </c:pt>
                <c:pt idx="18">
                  <c:v>30</c:v>
                </c:pt>
                <c:pt idx="19">
                  <c:v>30.5</c:v>
                </c:pt>
                <c:pt idx="20">
                  <c:v>31</c:v>
                </c:pt>
                <c:pt idx="21">
                  <c:v>31.5</c:v>
                </c:pt>
                <c:pt idx="22">
                  <c:v>32</c:v>
                </c:pt>
                <c:pt idx="23">
                  <c:v>32.5</c:v>
                </c:pt>
                <c:pt idx="24">
                  <c:v>33</c:v>
                </c:pt>
                <c:pt idx="25">
                  <c:v>33.5</c:v>
                </c:pt>
                <c:pt idx="26">
                  <c:v>34</c:v>
                </c:pt>
                <c:pt idx="27">
                  <c:v>34.5</c:v>
                </c:pt>
                <c:pt idx="28">
                  <c:v>35</c:v>
                </c:pt>
                <c:pt idx="29">
                  <c:v>35.5</c:v>
                </c:pt>
              </c:numCache>
            </c:numRef>
          </c:cat>
          <c:val>
            <c:numRef>
              <c:f>'Sta_Mo '!$AT$146:$AT$175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D1-4885-8460-D6F3132D7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ALIMENTACIÓN</a:t>
            </a:r>
            <a:r>
              <a:rPr lang="es-PE" sz="900" b="1" baseline="0">
                <a:solidFill>
                  <a:schemeClr val="tx1"/>
                </a:solidFill>
              </a:rPr>
              <a:t> ROUGHER - PLANTA DE MOLY (%Fe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[3]Sta_Cu!$AY$85:$AY$114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'Sta_Mo '!$AY$114:$AY$143</c:f>
              <c:numCache>
                <c:formatCode>0.00E+00</c:formatCode>
                <c:ptCount val="30"/>
                <c:pt idx="0">
                  <c:v>2.8531546408067495E-4</c:v>
                </c:pt>
                <c:pt idx="1">
                  <c:v>6.7460203067019441E-4</c:v>
                </c:pt>
                <c:pt idx="2">
                  <c:v>1.4756533627089713E-3</c:v>
                </c:pt>
                <c:pt idx="3">
                  <c:v>3.0517937996820785E-3</c:v>
                </c:pt>
                <c:pt idx="4">
                  <c:v>5.9670564670492882E-3</c:v>
                </c:pt>
                <c:pt idx="5">
                  <c:v>1.1030602530511226E-2</c:v>
                </c:pt>
                <c:pt idx="6">
                  <c:v>1.9278464974491667E-2</c:v>
                </c:pt>
                <c:pt idx="7">
                  <c:v>3.1855160128849515E-2</c:v>
                </c:pt>
                <c:pt idx="8">
                  <c:v>4.9764685195260082E-2</c:v>
                </c:pt>
                <c:pt idx="9">
                  <c:v>7.3501610752777655E-2</c:v>
                </c:pt>
                <c:pt idx="10">
                  <c:v>0.10263762139118435</c:v>
                </c:pt>
                <c:pt idx="11">
                  <c:v>0.13550347342989075</c:v>
                </c:pt>
                <c:pt idx="12">
                  <c:v>0.16913302004967062</c:v>
                </c:pt>
                <c:pt idx="13">
                  <c:v>0.19959079426425214</c:v>
                </c:pt>
                <c:pt idx="14">
                  <c:v>0.22268283204056966</c:v>
                </c:pt>
                <c:pt idx="15">
                  <c:v>0.23489138696608033</c:v>
                </c:pt>
                <c:pt idx="16">
                  <c:v>0.23425106576155919</c:v>
                </c:pt>
                <c:pt idx="17">
                  <c:v>0.22086667104591853</c:v>
                </c:pt>
                <c:pt idx="18">
                  <c:v>0.19688513249668702</c:v>
                </c:pt>
                <c:pt idx="19">
                  <c:v>0.165931861703498</c:v>
                </c:pt>
                <c:pt idx="20">
                  <c:v>0.13221501429948937</c:v>
                </c:pt>
                <c:pt idx="21">
                  <c:v>9.9601503352644852E-2</c:v>
                </c:pt>
                <c:pt idx="22">
                  <c:v>7.0939012342502397E-2</c:v>
                </c:pt>
                <c:pt idx="23">
                  <c:v>4.7768159528367861E-2</c:v>
                </c:pt>
                <c:pt idx="24">
                  <c:v>3.0410671244669788E-2</c:v>
                </c:pt>
                <c:pt idx="25">
                  <c:v>1.8304068434319296E-2</c:v>
                </c:pt>
                <c:pt idx="26">
                  <c:v>1.0416057824355725E-2</c:v>
                </c:pt>
                <c:pt idx="27">
                  <c:v>5.603937208087148E-3</c:v>
                </c:pt>
                <c:pt idx="28">
                  <c:v>2.8504751903616452E-3</c:v>
                </c:pt>
                <c:pt idx="29">
                  <c:v>1.3708041079253783E-3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0-4864-A2B2-20C357F62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390-4864-A2B2-20C357F628C9}"/>
              </c:ext>
            </c:extLst>
          </c:dPt>
          <c:cat>
            <c:numRef>
              <c:f>[3]Sta_Mo!$AY$85:$AY$114</c:f>
              <c:numCache>
                <c:formatCode>General</c:formatCode>
                <c:ptCount val="30"/>
                <c:pt idx="0">
                  <c:v>-6</c:v>
                </c:pt>
                <c:pt idx="1">
                  <c:v>-5.59</c:v>
                </c:pt>
                <c:pt idx="2">
                  <c:v>-5.1899999999999995</c:v>
                </c:pt>
                <c:pt idx="3">
                  <c:v>-4.7899999999999991</c:v>
                </c:pt>
                <c:pt idx="4">
                  <c:v>-4.3899999999999988</c:v>
                </c:pt>
                <c:pt idx="5">
                  <c:v>-3.9899999999999989</c:v>
                </c:pt>
                <c:pt idx="6">
                  <c:v>-3.589999999999999</c:v>
                </c:pt>
                <c:pt idx="7">
                  <c:v>-3.1899999999999991</c:v>
                </c:pt>
                <c:pt idx="8">
                  <c:v>-2.7899999999999991</c:v>
                </c:pt>
                <c:pt idx="9">
                  <c:v>-2.3899999999999992</c:v>
                </c:pt>
                <c:pt idx="10">
                  <c:v>-1.9899999999999993</c:v>
                </c:pt>
                <c:pt idx="11">
                  <c:v>-1.5899999999999994</c:v>
                </c:pt>
                <c:pt idx="12">
                  <c:v>-1.1899999999999995</c:v>
                </c:pt>
                <c:pt idx="13">
                  <c:v>-0.78999999999999948</c:v>
                </c:pt>
                <c:pt idx="14">
                  <c:v>-0.38999999999999946</c:v>
                </c:pt>
                <c:pt idx="15">
                  <c:v>1.0000000000000564E-2</c:v>
                </c:pt>
                <c:pt idx="16">
                  <c:v>0.41000000000000059</c:v>
                </c:pt>
                <c:pt idx="17">
                  <c:v>0.81000000000000061</c:v>
                </c:pt>
                <c:pt idx="18">
                  <c:v>1.2100000000000006</c:v>
                </c:pt>
                <c:pt idx="19">
                  <c:v>1.6100000000000008</c:v>
                </c:pt>
                <c:pt idx="20">
                  <c:v>2.0100000000000007</c:v>
                </c:pt>
                <c:pt idx="21">
                  <c:v>2.4100000000000006</c:v>
                </c:pt>
                <c:pt idx="22">
                  <c:v>2.8100000000000005</c:v>
                </c:pt>
                <c:pt idx="23">
                  <c:v>3.2100000000000004</c:v>
                </c:pt>
                <c:pt idx="24">
                  <c:v>3.6100000000000003</c:v>
                </c:pt>
                <c:pt idx="25">
                  <c:v>4.0100000000000007</c:v>
                </c:pt>
                <c:pt idx="26">
                  <c:v>4.410000000000001</c:v>
                </c:pt>
                <c:pt idx="27">
                  <c:v>4.8100000000000014</c:v>
                </c:pt>
                <c:pt idx="28">
                  <c:v>5.2100000000000017</c:v>
                </c:pt>
                <c:pt idx="29">
                  <c:v>5.6100000000000021</c:v>
                </c:pt>
              </c:numCache>
            </c:numRef>
          </c:cat>
          <c:val>
            <c:numRef>
              <c:f>'Sta_Mo '!$AY$146:$AY$175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90-4864-A2B2-20C357F62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(%Cu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[3]Sta_Cu!$O$85:$O$114</c:f>
              <c:numCache>
                <c:formatCode>General</c:formatCode>
                <c:ptCount val="30"/>
                <c:pt idx="0">
                  <c:v>2.5000000000000001E-2</c:v>
                </c:pt>
                <c:pt idx="1">
                  <c:v>2.75E-2</c:v>
                </c:pt>
                <c:pt idx="2">
                  <c:v>0.03</c:v>
                </c:pt>
                <c:pt idx="3">
                  <c:v>3.2500000000000001E-2</c:v>
                </c:pt>
                <c:pt idx="4">
                  <c:v>3.5000000000000003E-2</c:v>
                </c:pt>
                <c:pt idx="5">
                  <c:v>3.7500000000000006E-2</c:v>
                </c:pt>
                <c:pt idx="6">
                  <c:v>4.0000000000000008E-2</c:v>
                </c:pt>
                <c:pt idx="7">
                  <c:v>4.250000000000001E-2</c:v>
                </c:pt>
                <c:pt idx="8">
                  <c:v>4.5000000000000012E-2</c:v>
                </c:pt>
                <c:pt idx="9">
                  <c:v>4.7500000000000014E-2</c:v>
                </c:pt>
                <c:pt idx="10">
                  <c:v>5.0000000000000017E-2</c:v>
                </c:pt>
                <c:pt idx="11">
                  <c:v>5.2500000000000019E-2</c:v>
                </c:pt>
                <c:pt idx="12">
                  <c:v>5.5000000000000021E-2</c:v>
                </c:pt>
                <c:pt idx="13">
                  <c:v>5.7500000000000023E-2</c:v>
                </c:pt>
                <c:pt idx="14">
                  <c:v>6.0000000000000026E-2</c:v>
                </c:pt>
                <c:pt idx="15">
                  <c:v>6.2500000000000028E-2</c:v>
                </c:pt>
                <c:pt idx="16">
                  <c:v>6.500000000000003E-2</c:v>
                </c:pt>
                <c:pt idx="17">
                  <c:v>6.7500000000000032E-2</c:v>
                </c:pt>
                <c:pt idx="18">
                  <c:v>7.0000000000000034E-2</c:v>
                </c:pt>
                <c:pt idx="19">
                  <c:v>7.2500000000000037E-2</c:v>
                </c:pt>
                <c:pt idx="20">
                  <c:v>7.5000000000000039E-2</c:v>
                </c:pt>
                <c:pt idx="21">
                  <c:v>7.7500000000000041E-2</c:v>
                </c:pt>
                <c:pt idx="22">
                  <c:v>8.0000000000000043E-2</c:v>
                </c:pt>
                <c:pt idx="23">
                  <c:v>8.2500000000000046E-2</c:v>
                </c:pt>
                <c:pt idx="24">
                  <c:v>8.5000000000000048E-2</c:v>
                </c:pt>
                <c:pt idx="25">
                  <c:v>8.750000000000005E-2</c:v>
                </c:pt>
                <c:pt idx="26">
                  <c:v>9.0000000000000052E-2</c:v>
                </c:pt>
                <c:pt idx="27">
                  <c:v>9.2500000000000054E-2</c:v>
                </c:pt>
                <c:pt idx="28">
                  <c:v>9.5000000000000057E-2</c:v>
                </c:pt>
                <c:pt idx="29">
                  <c:v>9.7500000000000059E-2</c:v>
                </c:pt>
              </c:numCache>
            </c:numRef>
          </c:cat>
          <c:val>
            <c:numRef>
              <c:f>'Sta_Mo '!$O$114:$O$143</c:f>
              <c:numCache>
                <c:formatCode>0.00E+00</c:formatCode>
                <c:ptCount val="30"/>
                <c:pt idx="0">
                  <c:v>3.1451682728677426E-3</c:v>
                </c:pt>
                <c:pt idx="1">
                  <c:v>7.8268091956548904E-3</c:v>
                </c:pt>
                <c:pt idx="2">
                  <c:v>1.7571430248950436E-2</c:v>
                </c:pt>
                <c:pt idx="3">
                  <c:v>3.5588606643171344E-2</c:v>
                </c:pt>
                <c:pt idx="4">
                  <c:v>6.5027395934957127E-2</c:v>
                </c:pt>
                <c:pt idx="5">
                  <c:v>0.10719221527396516</c:v>
                </c:pt>
                <c:pt idx="6">
                  <c:v>0.15940855888759295</c:v>
                </c:pt>
                <c:pt idx="7">
                  <c:v>0.21386589358831454</c:v>
                </c:pt>
                <c:pt idx="8">
                  <c:v>0.25885283838866491</c:v>
                </c:pt>
                <c:pt idx="9">
                  <c:v>0.28264794877946209</c:v>
                </c:pt>
                <c:pt idx="10">
                  <c:v>0.27843270741144904</c:v>
                </c:pt>
                <c:pt idx="11">
                  <c:v>0.24744356750491123</c:v>
                </c:pt>
                <c:pt idx="12">
                  <c:v>0.19838717458756963</c:v>
                </c:pt>
                <c:pt idx="13">
                  <c:v>0.14349359684657123</c:v>
                </c:pt>
                <c:pt idx="14">
                  <c:v>9.3633866448289096E-2</c:v>
                </c:pt>
                <c:pt idx="15">
                  <c:v>5.5120722091879917E-2</c:v>
                </c:pt>
                <c:pt idx="16">
                  <c:v>2.9273749023141685E-2</c:v>
                </c:pt>
                <c:pt idx="17">
                  <c:v>1.4025659705004575E-2</c:v>
                </c:pt>
                <c:pt idx="18">
                  <c:v>6.0624721430688078E-3</c:v>
                </c:pt>
                <c:pt idx="19">
                  <c:v>2.3640557833012779E-3</c:v>
                </c:pt>
                <c:pt idx="20">
                  <c:v>8.3166263513815176E-4</c:v>
                </c:pt>
                <c:pt idx="21">
                  <c:v>2.6394787236122422E-4</c:v>
                </c:pt>
                <c:pt idx="22">
                  <c:v>7.5573693324673216E-5</c:v>
                </c:pt>
                <c:pt idx="23">
                  <c:v>1.9521115634499638E-5</c:v>
                </c:pt>
                <c:pt idx="24">
                  <c:v>4.5490438887827719E-6</c:v>
                </c:pt>
                <c:pt idx="25">
                  <c:v>9.5635057978520509E-7</c:v>
                </c:pt>
                <c:pt idx="26">
                  <c:v>1.8138260289121526E-7</c:v>
                </c:pt>
                <c:pt idx="27">
                  <c:v>3.1035278000987378E-8</c:v>
                </c:pt>
                <c:pt idx="28">
                  <c:v>4.7906799260530744E-9</c:v>
                </c:pt>
                <c:pt idx="29">
                  <c:v>6.6714491082498299E-10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5-44EA-9622-D5899C48A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905-44EA-9622-D5899C48A489}"/>
              </c:ext>
            </c:extLst>
          </c:dPt>
          <c:cat>
            <c:numRef>
              <c:f>[3]Sta_Mo!$O$85:$O$114</c:f>
              <c:numCache>
                <c:formatCode>General</c:formatCode>
                <c:ptCount val="30"/>
                <c:pt idx="0">
                  <c:v>19</c:v>
                </c:pt>
                <c:pt idx="1">
                  <c:v>19.45</c:v>
                </c:pt>
                <c:pt idx="2">
                  <c:v>19.899999999999999</c:v>
                </c:pt>
                <c:pt idx="3">
                  <c:v>20.349999999999998</c:v>
                </c:pt>
                <c:pt idx="4">
                  <c:v>20.799999999999997</c:v>
                </c:pt>
                <c:pt idx="5">
                  <c:v>21.249999999999996</c:v>
                </c:pt>
                <c:pt idx="6">
                  <c:v>21.699999999999996</c:v>
                </c:pt>
                <c:pt idx="7">
                  <c:v>22.149999999999995</c:v>
                </c:pt>
                <c:pt idx="8">
                  <c:v>22.599999999999994</c:v>
                </c:pt>
                <c:pt idx="9">
                  <c:v>23.049999999999994</c:v>
                </c:pt>
                <c:pt idx="10">
                  <c:v>23.499999999999993</c:v>
                </c:pt>
                <c:pt idx="11">
                  <c:v>23.949999999999992</c:v>
                </c:pt>
                <c:pt idx="12">
                  <c:v>24.399999999999991</c:v>
                </c:pt>
                <c:pt idx="13">
                  <c:v>24.849999999999991</c:v>
                </c:pt>
                <c:pt idx="14">
                  <c:v>25.29999999999999</c:v>
                </c:pt>
                <c:pt idx="15">
                  <c:v>25.749999999999989</c:v>
                </c:pt>
                <c:pt idx="16">
                  <c:v>26.199999999999989</c:v>
                </c:pt>
                <c:pt idx="17">
                  <c:v>26.649999999999988</c:v>
                </c:pt>
                <c:pt idx="18">
                  <c:v>27.099999999999987</c:v>
                </c:pt>
                <c:pt idx="19">
                  <c:v>27.549999999999986</c:v>
                </c:pt>
                <c:pt idx="20">
                  <c:v>27.999999999999986</c:v>
                </c:pt>
                <c:pt idx="21">
                  <c:v>28.449999999999985</c:v>
                </c:pt>
                <c:pt idx="22">
                  <c:v>28.899999999999984</c:v>
                </c:pt>
                <c:pt idx="23">
                  <c:v>29.349999999999984</c:v>
                </c:pt>
                <c:pt idx="24">
                  <c:v>29.799999999999983</c:v>
                </c:pt>
                <c:pt idx="25">
                  <c:v>30.249999999999982</c:v>
                </c:pt>
                <c:pt idx="26">
                  <c:v>30.699999999999982</c:v>
                </c:pt>
                <c:pt idx="27">
                  <c:v>31.149999999999981</c:v>
                </c:pt>
                <c:pt idx="28">
                  <c:v>31.59999999999998</c:v>
                </c:pt>
                <c:pt idx="29">
                  <c:v>32.049999999999983</c:v>
                </c:pt>
              </c:numCache>
            </c:numRef>
          </c:cat>
          <c:val>
            <c:numRef>
              <c:f>'Sta_Mo '!$O$146:$O$175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05-44EA-9622-D5899C48A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(%Cu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[3]Sta_Cu!$P$85:$P$114</c:f>
              <c:numCache>
                <c:formatCode>General</c:formatCode>
                <c:ptCount val="30"/>
                <c:pt idx="0">
                  <c:v>1.4999999999999999E-2</c:v>
                </c:pt>
                <c:pt idx="1">
                  <c:v>1.7999999999999999E-2</c:v>
                </c:pt>
                <c:pt idx="2">
                  <c:v>2.0999999999999998E-2</c:v>
                </c:pt>
                <c:pt idx="3">
                  <c:v>2.3999999999999997E-2</c:v>
                </c:pt>
                <c:pt idx="4">
                  <c:v>2.6999999999999996E-2</c:v>
                </c:pt>
                <c:pt idx="5">
                  <c:v>2.9999999999999995E-2</c:v>
                </c:pt>
                <c:pt idx="6">
                  <c:v>3.2999999999999995E-2</c:v>
                </c:pt>
                <c:pt idx="7">
                  <c:v>3.5999999999999997E-2</c:v>
                </c:pt>
                <c:pt idx="8">
                  <c:v>3.9E-2</c:v>
                </c:pt>
                <c:pt idx="9">
                  <c:v>4.2000000000000003E-2</c:v>
                </c:pt>
                <c:pt idx="10">
                  <c:v>4.5000000000000005E-2</c:v>
                </c:pt>
                <c:pt idx="11">
                  <c:v>4.8000000000000008E-2</c:v>
                </c:pt>
                <c:pt idx="12">
                  <c:v>5.1000000000000011E-2</c:v>
                </c:pt>
                <c:pt idx="13">
                  <c:v>5.4000000000000013E-2</c:v>
                </c:pt>
                <c:pt idx="14">
                  <c:v>5.7000000000000016E-2</c:v>
                </c:pt>
                <c:pt idx="15">
                  <c:v>6.0000000000000019E-2</c:v>
                </c:pt>
                <c:pt idx="16">
                  <c:v>6.3000000000000014E-2</c:v>
                </c:pt>
                <c:pt idx="17">
                  <c:v>6.6000000000000017E-2</c:v>
                </c:pt>
                <c:pt idx="18">
                  <c:v>6.900000000000002E-2</c:v>
                </c:pt>
                <c:pt idx="19">
                  <c:v>7.2000000000000022E-2</c:v>
                </c:pt>
                <c:pt idx="20">
                  <c:v>7.5000000000000025E-2</c:v>
                </c:pt>
                <c:pt idx="21">
                  <c:v>7.8000000000000028E-2</c:v>
                </c:pt>
                <c:pt idx="22">
                  <c:v>8.100000000000003E-2</c:v>
                </c:pt>
                <c:pt idx="23">
                  <c:v>8.4000000000000033E-2</c:v>
                </c:pt>
                <c:pt idx="24">
                  <c:v>8.7000000000000036E-2</c:v>
                </c:pt>
                <c:pt idx="25">
                  <c:v>9.0000000000000038E-2</c:v>
                </c:pt>
                <c:pt idx="26">
                  <c:v>9.3000000000000041E-2</c:v>
                </c:pt>
                <c:pt idx="27">
                  <c:v>9.6000000000000044E-2</c:v>
                </c:pt>
                <c:pt idx="28">
                  <c:v>9.9000000000000046E-2</c:v>
                </c:pt>
                <c:pt idx="29">
                  <c:v>0.10200000000000005</c:v>
                </c:pt>
              </c:numCache>
            </c:numRef>
          </c:cat>
          <c:val>
            <c:numRef>
              <c:f>'Sta_Mo '!$P$114:$P$143</c:f>
              <c:numCache>
                <c:formatCode>0.00E+00</c:formatCode>
                <c:ptCount val="30"/>
                <c:pt idx="0">
                  <c:v>1.5160546267986187E-2</c:v>
                </c:pt>
                <c:pt idx="1">
                  <c:v>2.4111499310301418E-2</c:v>
                </c:pt>
                <c:pt idx="2">
                  <c:v>3.6593738433027601E-2</c:v>
                </c:pt>
                <c:pt idx="3">
                  <c:v>5.299837314412411E-2</c:v>
                </c:pt>
                <c:pt idx="4">
                  <c:v>7.3247278633346874E-2</c:v>
                </c:pt>
                <c:pt idx="5">
                  <c:v>9.6603674420720598E-2</c:v>
                </c:pt>
                <c:pt idx="6">
                  <c:v>0.12158191890801953</c:v>
                </c:pt>
                <c:pt idx="7">
                  <c:v>0.14602174622602151</c:v>
                </c:pt>
                <c:pt idx="8">
                  <c:v>0.16735522584876925</c:v>
                </c:pt>
                <c:pt idx="9">
                  <c:v>0.1830350301062853</c:v>
                </c:pt>
                <c:pt idx="10">
                  <c:v>0.19103033974832104</c:v>
                </c:pt>
                <c:pt idx="11">
                  <c:v>0.19025832870500525</c:v>
                </c:pt>
                <c:pt idx="12">
                  <c:v>0.18082488729195617</c:v>
                </c:pt>
                <c:pt idx="13">
                  <c:v>0.16400078430781426</c:v>
                </c:pt>
                <c:pt idx="14">
                  <c:v>0.14194066748833833</c:v>
                </c:pt>
                <c:pt idx="15">
                  <c:v>0.11723059188458569</c:v>
                </c:pt>
                <c:pt idx="16">
                  <c:v>9.239495716832534E-2</c:v>
                </c:pt>
                <c:pt idx="17">
                  <c:v>6.9491034267484666E-2</c:v>
                </c:pt>
                <c:pt idx="18">
                  <c:v>4.9874950639495874E-2</c:v>
                </c:pt>
                <c:pt idx="19">
                  <c:v>3.4159332725167267E-2</c:v>
                </c:pt>
                <c:pt idx="20">
                  <c:v>2.2325925665802517E-2</c:v>
                </c:pt>
                <c:pt idx="21">
                  <c:v>1.3924601224809846E-2</c:v>
                </c:pt>
                <c:pt idx="22">
                  <c:v>8.2876090332278714E-3</c:v>
                </c:pt>
                <c:pt idx="23">
                  <c:v>4.7070513906274118E-3</c:v>
                </c:pt>
                <c:pt idx="24">
                  <c:v>2.5511842255687236E-3</c:v>
                </c:pt>
                <c:pt idx="25">
                  <c:v>1.3194954538629092E-3</c:v>
                </c:pt>
                <c:pt idx="26">
                  <c:v>6.5124915360465906E-4</c:v>
                </c:pt>
                <c:pt idx="27">
                  <c:v>3.0673239226845268E-4</c:v>
                </c:pt>
                <c:pt idx="28">
                  <c:v>1.37862232791825E-4</c:v>
                </c:pt>
                <c:pt idx="29">
                  <c:v>5.9129495075343306E-5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C-43C4-BB94-9D3B0A018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ABC-43C4-BB94-9D3B0A0187D7}"/>
              </c:ext>
            </c:extLst>
          </c:dPt>
          <c:cat>
            <c:numRef>
              <c:f>[3]Sta_Mo!$P$85:$P$114</c:f>
              <c:numCache>
                <c:formatCode>General</c:formatCode>
                <c:ptCount val="30"/>
                <c:pt idx="0">
                  <c:v>19</c:v>
                </c:pt>
                <c:pt idx="1">
                  <c:v>19.45</c:v>
                </c:pt>
                <c:pt idx="2">
                  <c:v>19.899999999999999</c:v>
                </c:pt>
                <c:pt idx="3">
                  <c:v>20.349999999999998</c:v>
                </c:pt>
                <c:pt idx="4">
                  <c:v>20.799999999999997</c:v>
                </c:pt>
                <c:pt idx="5">
                  <c:v>21.249999999999996</c:v>
                </c:pt>
                <c:pt idx="6">
                  <c:v>21.699999999999996</c:v>
                </c:pt>
                <c:pt idx="7">
                  <c:v>22.149999999999995</c:v>
                </c:pt>
                <c:pt idx="8">
                  <c:v>22.599999999999994</c:v>
                </c:pt>
                <c:pt idx="9">
                  <c:v>23.049999999999994</c:v>
                </c:pt>
                <c:pt idx="10">
                  <c:v>23.499999999999993</c:v>
                </c:pt>
                <c:pt idx="11">
                  <c:v>23.949999999999992</c:v>
                </c:pt>
                <c:pt idx="12">
                  <c:v>24.399999999999991</c:v>
                </c:pt>
                <c:pt idx="13">
                  <c:v>24.849999999999991</c:v>
                </c:pt>
                <c:pt idx="14">
                  <c:v>25.29999999999999</c:v>
                </c:pt>
                <c:pt idx="15">
                  <c:v>25.749999999999989</c:v>
                </c:pt>
                <c:pt idx="16">
                  <c:v>26.199999999999989</c:v>
                </c:pt>
                <c:pt idx="17">
                  <c:v>26.649999999999988</c:v>
                </c:pt>
                <c:pt idx="18">
                  <c:v>27.099999999999987</c:v>
                </c:pt>
                <c:pt idx="19">
                  <c:v>27.549999999999986</c:v>
                </c:pt>
                <c:pt idx="20">
                  <c:v>27.999999999999986</c:v>
                </c:pt>
                <c:pt idx="21">
                  <c:v>28.449999999999985</c:v>
                </c:pt>
                <c:pt idx="22">
                  <c:v>28.899999999999984</c:v>
                </c:pt>
                <c:pt idx="23">
                  <c:v>29.349999999999984</c:v>
                </c:pt>
                <c:pt idx="24">
                  <c:v>29.799999999999983</c:v>
                </c:pt>
                <c:pt idx="25">
                  <c:v>30.249999999999982</c:v>
                </c:pt>
                <c:pt idx="26">
                  <c:v>30.699999999999982</c:v>
                </c:pt>
                <c:pt idx="27">
                  <c:v>31.149999999999981</c:v>
                </c:pt>
                <c:pt idx="28">
                  <c:v>31.59999999999998</c:v>
                </c:pt>
                <c:pt idx="29">
                  <c:v>32.049999999999983</c:v>
                </c:pt>
              </c:numCache>
            </c:numRef>
          </c:cat>
          <c:val>
            <c:numRef>
              <c:f>'Sta_Mo '!$P$146:$P$175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C-43C4-BB94-9D3B0A018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(%Cu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[3]Sta_Cu!$Q$85:$Q$114</c:f>
              <c:numCache>
                <c:formatCode>General</c:formatCode>
                <c:ptCount val="30"/>
                <c:pt idx="0">
                  <c:v>-4.4999999999999998E-2</c:v>
                </c:pt>
                <c:pt idx="1">
                  <c:v>-4.2099999999999999E-2</c:v>
                </c:pt>
                <c:pt idx="2">
                  <c:v>-3.9199999999999999E-2</c:v>
                </c:pt>
                <c:pt idx="3">
                  <c:v>-3.6299999999999999E-2</c:v>
                </c:pt>
                <c:pt idx="4">
                  <c:v>-3.3399999999999999E-2</c:v>
                </c:pt>
                <c:pt idx="5">
                  <c:v>-3.0499999999999999E-2</c:v>
                </c:pt>
                <c:pt idx="6">
                  <c:v>-2.76E-2</c:v>
                </c:pt>
                <c:pt idx="7">
                  <c:v>-2.47E-2</c:v>
                </c:pt>
                <c:pt idx="8">
                  <c:v>-2.18E-2</c:v>
                </c:pt>
                <c:pt idx="9">
                  <c:v>-1.89E-2</c:v>
                </c:pt>
                <c:pt idx="10">
                  <c:v>-1.6E-2</c:v>
                </c:pt>
                <c:pt idx="11">
                  <c:v>-1.3100000000000001E-2</c:v>
                </c:pt>
                <c:pt idx="12">
                  <c:v>-1.0200000000000001E-2</c:v>
                </c:pt>
                <c:pt idx="13">
                  <c:v>-7.3000000000000009E-3</c:v>
                </c:pt>
                <c:pt idx="14">
                  <c:v>-4.4000000000000011E-3</c:v>
                </c:pt>
                <c:pt idx="15">
                  <c:v>-1.5000000000000013E-3</c:v>
                </c:pt>
                <c:pt idx="16">
                  <c:v>1.3999999999999985E-3</c:v>
                </c:pt>
                <c:pt idx="17">
                  <c:v>4.2999999999999983E-3</c:v>
                </c:pt>
                <c:pt idx="18">
                  <c:v>7.1999999999999981E-3</c:v>
                </c:pt>
                <c:pt idx="19">
                  <c:v>1.0099999999999998E-2</c:v>
                </c:pt>
                <c:pt idx="20">
                  <c:v>1.2999999999999998E-2</c:v>
                </c:pt>
                <c:pt idx="21">
                  <c:v>1.5899999999999997E-2</c:v>
                </c:pt>
                <c:pt idx="22">
                  <c:v>1.8799999999999997E-2</c:v>
                </c:pt>
                <c:pt idx="23">
                  <c:v>2.1699999999999997E-2</c:v>
                </c:pt>
                <c:pt idx="24">
                  <c:v>2.4599999999999997E-2</c:v>
                </c:pt>
                <c:pt idx="25">
                  <c:v>2.7499999999999997E-2</c:v>
                </c:pt>
                <c:pt idx="26">
                  <c:v>3.0399999999999996E-2</c:v>
                </c:pt>
                <c:pt idx="27">
                  <c:v>3.3299999999999996E-2</c:v>
                </c:pt>
                <c:pt idx="28">
                  <c:v>3.6199999999999996E-2</c:v>
                </c:pt>
                <c:pt idx="29">
                  <c:v>3.9099999999999996E-2</c:v>
                </c:pt>
              </c:numCache>
            </c:numRef>
          </c:cat>
          <c:val>
            <c:numRef>
              <c:f>'Sta_Mo '!$Q$114:$Q$143</c:f>
              <c:numCache>
                <c:formatCode>0.00E+00</c:formatCode>
                <c:ptCount val="30"/>
                <c:pt idx="0">
                  <c:v>5.4317137147415484E-2</c:v>
                </c:pt>
                <c:pt idx="1">
                  <c:v>7.0920956776556632E-2</c:v>
                </c:pt>
                <c:pt idx="2">
                  <c:v>9.0480098429755157E-2</c:v>
                </c:pt>
                <c:pt idx="3">
                  <c:v>0.11279044423774255</c:v>
                </c:pt>
                <c:pt idx="4">
                  <c:v>0.13738278445456031</c:v>
                </c:pt>
                <c:pt idx="5">
                  <c:v>0.16350577100791286</c:v>
                </c:pt>
                <c:pt idx="6">
                  <c:v>0.19014049569447822</c:v>
                </c:pt>
                <c:pt idx="7">
                  <c:v>0.21605131899955923</c:v>
                </c:pt>
                <c:pt idx="8">
                  <c:v>0.23987223775287275</c:v>
                </c:pt>
                <c:pt idx="9">
                  <c:v>0.26022188329071028</c:v>
                </c:pt>
                <c:pt idx="10">
                  <c:v>0.27583438845103797</c:v>
                </c:pt>
                <c:pt idx="11">
                  <c:v>0.28568916301564357</c:v>
                </c:pt>
                <c:pt idx="12">
                  <c:v>0.28912116738387911</c:v>
                </c:pt>
                <c:pt idx="13">
                  <c:v>0.28589514161979729</c:v>
                </c:pt>
                <c:pt idx="14">
                  <c:v>0.2762322786863276</c:v>
                </c:pt>
                <c:pt idx="15">
                  <c:v>0.26078514016153981</c:v>
                </c:pt>
                <c:pt idx="16">
                  <c:v>0.24056476677102379</c:v>
                </c:pt>
                <c:pt idx="17">
                  <c:v>0.21683129549068325</c:v>
                </c:pt>
                <c:pt idx="18">
                  <c:v>0.19096451439246287</c:v>
                </c:pt>
                <c:pt idx="19">
                  <c:v>0.16433275851070483</c:v>
                </c:pt>
                <c:pt idx="20">
                  <c:v>0.13817719823177826</c:v>
                </c:pt>
                <c:pt idx="21">
                  <c:v>0.1135244440463696</c:v>
                </c:pt>
                <c:pt idx="22">
                  <c:v>9.1134570137763021E-2</c:v>
                </c:pt>
                <c:pt idx="23">
                  <c:v>7.1485453968178514E-2</c:v>
                </c:pt>
                <c:pt idx="24">
                  <c:v>5.4788949549844014E-2</c:v>
                </c:pt>
                <c:pt idx="25">
                  <c:v>4.1030710057416146E-2</c:v>
                </c:pt>
                <c:pt idx="26">
                  <c:v>3.0023813650701048E-2</c:v>
                </c:pt>
                <c:pt idx="27">
                  <c:v>2.1466608871788789E-2</c:v>
                </c:pt>
                <c:pt idx="28">
                  <c:v>1.4996910348215039E-2</c:v>
                </c:pt>
                <c:pt idx="29">
                  <c:v>1.0237193482227003E-2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E-456E-9C89-B708B68F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92E-456E-9C89-B708B68F4A86}"/>
              </c:ext>
            </c:extLst>
          </c:dPt>
          <c:cat>
            <c:numRef>
              <c:f>[3]Sta_Mo!$Q$85:$Q$114</c:f>
              <c:numCache>
                <c:formatCode>General</c:formatCode>
                <c:ptCount val="30"/>
                <c:pt idx="0">
                  <c:v>-3</c:v>
                </c:pt>
                <c:pt idx="1">
                  <c:v>-2.79</c:v>
                </c:pt>
                <c:pt idx="2">
                  <c:v>-2.58</c:v>
                </c:pt>
                <c:pt idx="3">
                  <c:v>-2.37</c:v>
                </c:pt>
                <c:pt idx="4">
                  <c:v>-2.16</c:v>
                </c:pt>
                <c:pt idx="5">
                  <c:v>-1.9500000000000002</c:v>
                </c:pt>
                <c:pt idx="6">
                  <c:v>-1.7400000000000002</c:v>
                </c:pt>
                <c:pt idx="7">
                  <c:v>-1.5300000000000002</c:v>
                </c:pt>
                <c:pt idx="8">
                  <c:v>-1.3200000000000003</c:v>
                </c:pt>
                <c:pt idx="9">
                  <c:v>-1.1100000000000003</c:v>
                </c:pt>
                <c:pt idx="10">
                  <c:v>-0.90000000000000036</c:v>
                </c:pt>
                <c:pt idx="11">
                  <c:v>-0.69000000000000039</c:v>
                </c:pt>
                <c:pt idx="12">
                  <c:v>-0.48000000000000043</c:v>
                </c:pt>
                <c:pt idx="13">
                  <c:v>-0.27000000000000046</c:v>
                </c:pt>
                <c:pt idx="14">
                  <c:v>-6.000000000000047E-2</c:v>
                </c:pt>
                <c:pt idx="15">
                  <c:v>0.14999999999999952</c:v>
                </c:pt>
                <c:pt idx="16">
                  <c:v>0.35999999999999954</c:v>
                </c:pt>
                <c:pt idx="17">
                  <c:v>0.56999999999999951</c:v>
                </c:pt>
                <c:pt idx="18">
                  <c:v>0.77999999999999947</c:v>
                </c:pt>
                <c:pt idx="19">
                  <c:v>0.98999999999999944</c:v>
                </c:pt>
                <c:pt idx="20">
                  <c:v>1.1999999999999995</c:v>
                </c:pt>
                <c:pt idx="21">
                  <c:v>1.4099999999999995</c:v>
                </c:pt>
                <c:pt idx="22">
                  <c:v>1.6199999999999994</c:v>
                </c:pt>
                <c:pt idx="23">
                  <c:v>1.8299999999999994</c:v>
                </c:pt>
                <c:pt idx="24">
                  <c:v>2.0399999999999996</c:v>
                </c:pt>
                <c:pt idx="25">
                  <c:v>2.2499999999999996</c:v>
                </c:pt>
                <c:pt idx="26">
                  <c:v>2.4599999999999995</c:v>
                </c:pt>
                <c:pt idx="27">
                  <c:v>2.6699999999999995</c:v>
                </c:pt>
                <c:pt idx="28">
                  <c:v>2.8799999999999994</c:v>
                </c:pt>
                <c:pt idx="29">
                  <c:v>3.0899999999999994</c:v>
                </c:pt>
              </c:numCache>
            </c:numRef>
          </c:cat>
          <c:val>
            <c:numRef>
              <c:f>'Sta_Mo '!$Q$146:$Q$175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2E-456E-9C89-B708B68F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(%Cu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[2]Sta_Cu!$O$85:$O$114</c:f>
              <c:numCache>
                <c:formatCode>General</c:formatCode>
                <c:ptCount val="30"/>
                <c:pt idx="0">
                  <c:v>2.5000000000000001E-2</c:v>
                </c:pt>
                <c:pt idx="1">
                  <c:v>2.75E-2</c:v>
                </c:pt>
                <c:pt idx="2">
                  <c:v>0.03</c:v>
                </c:pt>
                <c:pt idx="3">
                  <c:v>3.2500000000000001E-2</c:v>
                </c:pt>
                <c:pt idx="4">
                  <c:v>3.5000000000000003E-2</c:v>
                </c:pt>
                <c:pt idx="5">
                  <c:v>3.7500000000000006E-2</c:v>
                </c:pt>
                <c:pt idx="6">
                  <c:v>4.0000000000000008E-2</c:v>
                </c:pt>
                <c:pt idx="7">
                  <c:v>4.250000000000001E-2</c:v>
                </c:pt>
                <c:pt idx="8">
                  <c:v>4.5000000000000012E-2</c:v>
                </c:pt>
                <c:pt idx="9">
                  <c:v>4.7500000000000014E-2</c:v>
                </c:pt>
                <c:pt idx="10">
                  <c:v>5.0000000000000017E-2</c:v>
                </c:pt>
                <c:pt idx="11">
                  <c:v>5.2500000000000019E-2</c:v>
                </c:pt>
                <c:pt idx="12">
                  <c:v>5.5000000000000021E-2</c:v>
                </c:pt>
                <c:pt idx="13">
                  <c:v>5.7500000000000023E-2</c:v>
                </c:pt>
                <c:pt idx="14">
                  <c:v>6.0000000000000026E-2</c:v>
                </c:pt>
                <c:pt idx="15">
                  <c:v>6.2500000000000028E-2</c:v>
                </c:pt>
                <c:pt idx="16">
                  <c:v>6.500000000000003E-2</c:v>
                </c:pt>
                <c:pt idx="17">
                  <c:v>6.7500000000000032E-2</c:v>
                </c:pt>
                <c:pt idx="18">
                  <c:v>7.0000000000000034E-2</c:v>
                </c:pt>
                <c:pt idx="19">
                  <c:v>7.2500000000000037E-2</c:v>
                </c:pt>
                <c:pt idx="20">
                  <c:v>7.5000000000000039E-2</c:v>
                </c:pt>
                <c:pt idx="21">
                  <c:v>7.7500000000000041E-2</c:v>
                </c:pt>
                <c:pt idx="22">
                  <c:v>8.0000000000000043E-2</c:v>
                </c:pt>
                <c:pt idx="23">
                  <c:v>8.2500000000000046E-2</c:v>
                </c:pt>
                <c:pt idx="24">
                  <c:v>8.5000000000000048E-2</c:v>
                </c:pt>
                <c:pt idx="25">
                  <c:v>8.750000000000005E-2</c:v>
                </c:pt>
                <c:pt idx="26">
                  <c:v>9.0000000000000052E-2</c:v>
                </c:pt>
                <c:pt idx="27">
                  <c:v>9.2500000000000054E-2</c:v>
                </c:pt>
                <c:pt idx="28">
                  <c:v>9.5000000000000057E-2</c:v>
                </c:pt>
                <c:pt idx="29">
                  <c:v>9.7500000000000059E-2</c:v>
                </c:pt>
              </c:numCache>
            </c:numRef>
          </c:cat>
          <c:val>
            <c:numRef>
              <c:f>'Sta_Mo '!$BA$114:$BA$143</c:f>
              <c:numCache>
                <c:formatCode>0.00E+00</c:formatCode>
                <c:ptCount val="30"/>
                <c:pt idx="0">
                  <c:v>1.0128548547003745E-2</c:v>
                </c:pt>
                <c:pt idx="1">
                  <c:v>1.7041684827157639E-2</c:v>
                </c:pt>
                <c:pt idx="2">
                  <c:v>2.7275123577002142E-2</c:v>
                </c:pt>
                <c:pt idx="3">
                  <c:v>4.152501591629669E-2</c:v>
                </c:pt>
                <c:pt idx="4">
                  <c:v>6.0137001656894805E-2</c:v>
                </c:pt>
                <c:pt idx="5">
                  <c:v>8.2844297052857868E-2</c:v>
                </c:pt>
                <c:pt idx="6">
                  <c:v>0.10856062782254459</c:v>
                </c:pt>
                <c:pt idx="7">
                  <c:v>0.13532279462286295</c:v>
                </c:pt>
                <c:pt idx="8">
                  <c:v>0.16045692039410026</c:v>
                </c:pt>
                <c:pt idx="9">
                  <c:v>0.18098176947716754</c:v>
                </c:pt>
                <c:pt idx="10">
                  <c:v>0.19417802977904641</c:v>
                </c:pt>
                <c:pt idx="11">
                  <c:v>0.19817744874895815</c:v>
                </c:pt>
                <c:pt idx="12">
                  <c:v>0.19239654062048139</c:v>
                </c:pt>
                <c:pt idx="13">
                  <c:v>0.17767616327050895</c:v>
                </c:pt>
                <c:pt idx="14">
                  <c:v>0.15608097123715906</c:v>
                </c:pt>
                <c:pt idx="15">
                  <c:v>0.13042463589950276</c:v>
                </c:pt>
                <c:pt idx="16">
                  <c:v>0.10367121536801463</c:v>
                </c:pt>
                <c:pt idx="17">
                  <c:v>7.8387286271286244E-2</c:v>
                </c:pt>
                <c:pt idx="18">
                  <c:v>5.6379595045330112E-2</c:v>
                </c:pt>
                <c:pt idx="19">
                  <c:v>3.857333219760823E-2</c:v>
                </c:pt>
                <c:pt idx="20">
                  <c:v>2.5103902850235695E-2</c:v>
                </c:pt>
                <c:pt idx="21">
                  <c:v>1.5541188084797286E-2</c:v>
                </c:pt>
                <c:pt idx="22">
                  <c:v>9.1520012367626649E-3</c:v>
                </c:pt>
                <c:pt idx="23">
                  <c:v>5.1266870398285602E-3</c:v>
                </c:pt>
                <c:pt idx="24">
                  <c:v>2.7317844329495405E-3</c:v>
                </c:pt>
                <c:pt idx="25">
                  <c:v>1.3846656797330166E-3</c:v>
                </c:pt>
                <c:pt idx="26">
                  <c:v>6.676245723382558E-4</c:v>
                </c:pt>
                <c:pt idx="27">
                  <c:v>3.0620239299532313E-4</c:v>
                </c:pt>
                <c:pt idx="28">
                  <c:v>1.3358993263551619E-4</c:v>
                </c:pt>
                <c:pt idx="29">
                  <c:v>5.5440579873748341E-5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5-41F6-99EB-FB1EE074D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F35-41F6-99EB-FB1EE074D7FE}"/>
              </c:ext>
            </c:extLst>
          </c:dPt>
          <c:cat>
            <c:numRef>
              <c:f>[2]Sta_Mo!$BA$85:$BA$114</c:f>
              <c:numCache>
                <c:formatCode>General</c:formatCode>
                <c:ptCount val="30"/>
                <c:pt idx="0">
                  <c:v>19</c:v>
                </c:pt>
                <c:pt idx="1">
                  <c:v>19.45</c:v>
                </c:pt>
                <c:pt idx="2">
                  <c:v>19.899999999999999</c:v>
                </c:pt>
                <c:pt idx="3">
                  <c:v>20.349999999999998</c:v>
                </c:pt>
                <c:pt idx="4">
                  <c:v>20.799999999999997</c:v>
                </c:pt>
                <c:pt idx="5">
                  <c:v>21.249999999999996</c:v>
                </c:pt>
                <c:pt idx="6">
                  <c:v>21.699999999999996</c:v>
                </c:pt>
                <c:pt idx="7">
                  <c:v>22.149999999999995</c:v>
                </c:pt>
                <c:pt idx="8">
                  <c:v>22.599999999999994</c:v>
                </c:pt>
                <c:pt idx="9">
                  <c:v>23.049999999999994</c:v>
                </c:pt>
                <c:pt idx="10">
                  <c:v>23.499999999999993</c:v>
                </c:pt>
                <c:pt idx="11">
                  <c:v>23.949999999999992</c:v>
                </c:pt>
                <c:pt idx="12">
                  <c:v>24.399999999999991</c:v>
                </c:pt>
                <c:pt idx="13">
                  <c:v>24.849999999999991</c:v>
                </c:pt>
                <c:pt idx="14">
                  <c:v>25.29999999999999</c:v>
                </c:pt>
                <c:pt idx="15">
                  <c:v>25.749999999999989</c:v>
                </c:pt>
                <c:pt idx="16">
                  <c:v>26.199999999999989</c:v>
                </c:pt>
                <c:pt idx="17">
                  <c:v>26.649999999999988</c:v>
                </c:pt>
                <c:pt idx="18">
                  <c:v>27.099999999999987</c:v>
                </c:pt>
                <c:pt idx="19">
                  <c:v>27.549999999999986</c:v>
                </c:pt>
                <c:pt idx="20">
                  <c:v>27.999999999999986</c:v>
                </c:pt>
                <c:pt idx="21">
                  <c:v>28.449999999999985</c:v>
                </c:pt>
                <c:pt idx="22">
                  <c:v>28.899999999999984</c:v>
                </c:pt>
                <c:pt idx="23">
                  <c:v>29.349999999999984</c:v>
                </c:pt>
                <c:pt idx="24">
                  <c:v>29.799999999999983</c:v>
                </c:pt>
                <c:pt idx="25">
                  <c:v>30.249999999999982</c:v>
                </c:pt>
                <c:pt idx="26">
                  <c:v>30.699999999999982</c:v>
                </c:pt>
                <c:pt idx="27">
                  <c:v>31.149999999999981</c:v>
                </c:pt>
                <c:pt idx="28">
                  <c:v>31.59999999999998</c:v>
                </c:pt>
                <c:pt idx="29">
                  <c:v>32.049999999999983</c:v>
                </c:pt>
              </c:numCache>
            </c:numRef>
          </c:cat>
          <c:val>
            <c:numRef>
              <c:f>'Sta_Mo '!$BA$146:$BA$175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35-41F6-99EB-FB1EE074D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(%Cu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[2]Sta_Cu!$P$85:$P$114</c:f>
              <c:numCache>
                <c:formatCode>General</c:formatCode>
                <c:ptCount val="30"/>
                <c:pt idx="0">
                  <c:v>1.4999999999999999E-2</c:v>
                </c:pt>
                <c:pt idx="1">
                  <c:v>1.7999999999999999E-2</c:v>
                </c:pt>
                <c:pt idx="2">
                  <c:v>2.0999999999999998E-2</c:v>
                </c:pt>
                <c:pt idx="3">
                  <c:v>2.3999999999999997E-2</c:v>
                </c:pt>
                <c:pt idx="4">
                  <c:v>2.6999999999999996E-2</c:v>
                </c:pt>
                <c:pt idx="5">
                  <c:v>2.9999999999999995E-2</c:v>
                </c:pt>
                <c:pt idx="6">
                  <c:v>3.2999999999999995E-2</c:v>
                </c:pt>
                <c:pt idx="7">
                  <c:v>3.5999999999999997E-2</c:v>
                </c:pt>
                <c:pt idx="8">
                  <c:v>3.9E-2</c:v>
                </c:pt>
                <c:pt idx="9">
                  <c:v>4.2000000000000003E-2</c:v>
                </c:pt>
                <c:pt idx="10">
                  <c:v>4.5000000000000005E-2</c:v>
                </c:pt>
                <c:pt idx="11">
                  <c:v>4.8000000000000008E-2</c:v>
                </c:pt>
                <c:pt idx="12">
                  <c:v>5.1000000000000011E-2</c:v>
                </c:pt>
                <c:pt idx="13">
                  <c:v>5.4000000000000013E-2</c:v>
                </c:pt>
                <c:pt idx="14">
                  <c:v>5.7000000000000016E-2</c:v>
                </c:pt>
                <c:pt idx="15">
                  <c:v>6.0000000000000019E-2</c:v>
                </c:pt>
                <c:pt idx="16">
                  <c:v>6.3000000000000014E-2</c:v>
                </c:pt>
                <c:pt idx="17">
                  <c:v>6.6000000000000017E-2</c:v>
                </c:pt>
                <c:pt idx="18">
                  <c:v>6.900000000000002E-2</c:v>
                </c:pt>
                <c:pt idx="19">
                  <c:v>7.2000000000000022E-2</c:v>
                </c:pt>
                <c:pt idx="20">
                  <c:v>7.5000000000000025E-2</c:v>
                </c:pt>
                <c:pt idx="21">
                  <c:v>7.8000000000000028E-2</c:v>
                </c:pt>
                <c:pt idx="22">
                  <c:v>8.100000000000003E-2</c:v>
                </c:pt>
                <c:pt idx="23">
                  <c:v>8.4000000000000033E-2</c:v>
                </c:pt>
                <c:pt idx="24">
                  <c:v>8.7000000000000036E-2</c:v>
                </c:pt>
                <c:pt idx="25">
                  <c:v>9.0000000000000038E-2</c:v>
                </c:pt>
                <c:pt idx="26">
                  <c:v>9.3000000000000041E-2</c:v>
                </c:pt>
                <c:pt idx="27">
                  <c:v>9.6000000000000044E-2</c:v>
                </c:pt>
                <c:pt idx="28">
                  <c:v>9.9000000000000046E-2</c:v>
                </c:pt>
                <c:pt idx="29">
                  <c:v>0.10200000000000005</c:v>
                </c:pt>
              </c:numCache>
            </c:numRef>
          </c:cat>
          <c:val>
            <c:numRef>
              <c:f>'Sta_Mo '!$BB$114:$BB$143</c:f>
              <c:numCache>
                <c:formatCode>0.00E+00</c:formatCode>
                <c:ptCount val="30"/>
                <c:pt idx="0">
                  <c:v>3.936877902451329E-3</c:v>
                </c:pt>
                <c:pt idx="1">
                  <c:v>7.8335519898303212E-3</c:v>
                </c:pt>
                <c:pt idx="2">
                  <c:v>1.4619036048239137E-2</c:v>
                </c:pt>
                <c:pt idx="3">
                  <c:v>2.5587742205137452E-2</c:v>
                </c:pt>
                <c:pt idx="4">
                  <c:v>4.2004751409029907E-2</c:v>
                </c:pt>
                <c:pt idx="5">
                  <c:v>6.4672268328509572E-2</c:v>
                </c:pt>
                <c:pt idx="6">
                  <c:v>9.3387982088833671E-2</c:v>
                </c:pt>
                <c:pt idx="7">
                  <c:v>0.12647861802628432</c:v>
                </c:pt>
                <c:pt idx="8">
                  <c:v>0.16065581682248997</c:v>
                </c:pt>
                <c:pt idx="9">
                  <c:v>0.19139430901704549</c:v>
                </c:pt>
                <c:pt idx="10">
                  <c:v>0.21385273478754674</c:v>
                </c:pt>
                <c:pt idx="11">
                  <c:v>0.22410617304999966</c:v>
                </c:pt>
                <c:pt idx="12">
                  <c:v>0.22026528382459362</c:v>
                </c:pt>
                <c:pt idx="13">
                  <c:v>0.20304463063406278</c:v>
                </c:pt>
                <c:pt idx="14">
                  <c:v>0.17554569696728065</c:v>
                </c:pt>
                <c:pt idx="15">
                  <c:v>0.14234495846284428</c:v>
                </c:pt>
                <c:pt idx="16">
                  <c:v>0.10825481305160728</c:v>
                </c:pt>
                <c:pt idx="17">
                  <c:v>7.7215690836956466E-2</c:v>
                </c:pt>
                <c:pt idx="18">
                  <c:v>5.1655566772004627E-2</c:v>
                </c:pt>
                <c:pt idx="19">
                  <c:v>3.2410215848872818E-2</c:v>
                </c:pt>
                <c:pt idx="20">
                  <c:v>1.9072162502030837E-2</c:v>
                </c:pt>
                <c:pt idx="21">
                  <c:v>1.0526189303657273E-2</c:v>
                </c:pt>
                <c:pt idx="22">
                  <c:v>5.4487343734803606E-3</c:v>
                </c:pt>
                <c:pt idx="23">
                  <c:v>2.6452901789973857E-3</c:v>
                </c:pt>
                <c:pt idx="24">
                  <c:v>1.2044928471067994E-3</c:v>
                </c:pt>
                <c:pt idx="25">
                  <c:v>5.1438506875941029E-4</c:v>
                </c:pt>
                <c:pt idx="26">
                  <c:v>2.0602774291114104E-4</c:v>
                </c:pt>
                <c:pt idx="27">
                  <c:v>7.7395601262856222E-5</c:v>
                </c:pt>
                <c:pt idx="28">
                  <c:v>2.726842630021016E-5</c:v>
                </c:pt>
                <c:pt idx="29">
                  <c:v>9.0106701928752326E-6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E-452B-9882-3A1884CF8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6EE-452B-9882-3A1884CF83F4}"/>
              </c:ext>
            </c:extLst>
          </c:dPt>
          <c:cat>
            <c:numRef>
              <c:f>[2]Sta_Mo!$BB$85:$BB$114</c:f>
              <c:numCache>
                <c:formatCode>General</c:formatCode>
                <c:ptCount val="30"/>
                <c:pt idx="0">
                  <c:v>19</c:v>
                </c:pt>
                <c:pt idx="1">
                  <c:v>19.45</c:v>
                </c:pt>
                <c:pt idx="2">
                  <c:v>19.899999999999999</c:v>
                </c:pt>
                <c:pt idx="3">
                  <c:v>20.349999999999998</c:v>
                </c:pt>
                <c:pt idx="4">
                  <c:v>20.799999999999997</c:v>
                </c:pt>
                <c:pt idx="5">
                  <c:v>21.249999999999996</c:v>
                </c:pt>
                <c:pt idx="6">
                  <c:v>21.699999999999996</c:v>
                </c:pt>
                <c:pt idx="7">
                  <c:v>22.149999999999995</c:v>
                </c:pt>
                <c:pt idx="8">
                  <c:v>22.599999999999994</c:v>
                </c:pt>
                <c:pt idx="9">
                  <c:v>23.049999999999994</c:v>
                </c:pt>
                <c:pt idx="10">
                  <c:v>23.499999999999993</c:v>
                </c:pt>
                <c:pt idx="11">
                  <c:v>23.949999999999992</c:v>
                </c:pt>
                <c:pt idx="12">
                  <c:v>24.399999999999991</c:v>
                </c:pt>
                <c:pt idx="13">
                  <c:v>24.849999999999991</c:v>
                </c:pt>
                <c:pt idx="14">
                  <c:v>25.29999999999999</c:v>
                </c:pt>
                <c:pt idx="15">
                  <c:v>25.749999999999989</c:v>
                </c:pt>
                <c:pt idx="16">
                  <c:v>26.199999999999989</c:v>
                </c:pt>
                <c:pt idx="17">
                  <c:v>26.649999999999988</c:v>
                </c:pt>
                <c:pt idx="18">
                  <c:v>27.099999999999987</c:v>
                </c:pt>
                <c:pt idx="19">
                  <c:v>27.549999999999986</c:v>
                </c:pt>
                <c:pt idx="20">
                  <c:v>27.999999999999986</c:v>
                </c:pt>
                <c:pt idx="21">
                  <c:v>28.449999999999985</c:v>
                </c:pt>
                <c:pt idx="22">
                  <c:v>28.899999999999984</c:v>
                </c:pt>
                <c:pt idx="23">
                  <c:v>29.349999999999984</c:v>
                </c:pt>
                <c:pt idx="24">
                  <c:v>29.799999999999983</c:v>
                </c:pt>
                <c:pt idx="25">
                  <c:v>30.249999999999982</c:v>
                </c:pt>
                <c:pt idx="26">
                  <c:v>30.699999999999982</c:v>
                </c:pt>
                <c:pt idx="27">
                  <c:v>31.149999999999981</c:v>
                </c:pt>
                <c:pt idx="28">
                  <c:v>31.59999999999998</c:v>
                </c:pt>
                <c:pt idx="29">
                  <c:v>32.049999999999983</c:v>
                </c:pt>
              </c:numCache>
            </c:numRef>
          </c:cat>
          <c:val>
            <c:numRef>
              <c:f>'Sta_Mo '!$BB$146:$BB$175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E-452B-9882-3A1884CF8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(%Cu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[2]Sta_Cu!$Q$85:$Q$114</c:f>
              <c:numCache>
                <c:formatCode>General</c:formatCode>
                <c:ptCount val="30"/>
                <c:pt idx="0">
                  <c:v>-4.4999999999999998E-2</c:v>
                </c:pt>
                <c:pt idx="1">
                  <c:v>-4.2099999999999999E-2</c:v>
                </c:pt>
                <c:pt idx="2">
                  <c:v>-3.9199999999999999E-2</c:v>
                </c:pt>
                <c:pt idx="3">
                  <c:v>-3.6299999999999999E-2</c:v>
                </c:pt>
                <c:pt idx="4">
                  <c:v>-3.3399999999999999E-2</c:v>
                </c:pt>
                <c:pt idx="5">
                  <c:v>-3.0499999999999999E-2</c:v>
                </c:pt>
                <c:pt idx="6">
                  <c:v>-2.76E-2</c:v>
                </c:pt>
                <c:pt idx="7">
                  <c:v>-2.47E-2</c:v>
                </c:pt>
                <c:pt idx="8">
                  <c:v>-2.18E-2</c:v>
                </c:pt>
                <c:pt idx="9">
                  <c:v>-1.89E-2</c:v>
                </c:pt>
                <c:pt idx="10">
                  <c:v>-1.6E-2</c:v>
                </c:pt>
                <c:pt idx="11">
                  <c:v>-1.3100000000000001E-2</c:v>
                </c:pt>
                <c:pt idx="12">
                  <c:v>-1.0200000000000001E-2</c:v>
                </c:pt>
                <c:pt idx="13">
                  <c:v>-7.3000000000000009E-3</c:v>
                </c:pt>
                <c:pt idx="14">
                  <c:v>-4.4000000000000011E-3</c:v>
                </c:pt>
                <c:pt idx="15">
                  <c:v>-1.5000000000000013E-3</c:v>
                </c:pt>
                <c:pt idx="16">
                  <c:v>1.3999999999999985E-3</c:v>
                </c:pt>
                <c:pt idx="17">
                  <c:v>4.2999999999999983E-3</c:v>
                </c:pt>
                <c:pt idx="18">
                  <c:v>7.1999999999999981E-3</c:v>
                </c:pt>
                <c:pt idx="19">
                  <c:v>1.0099999999999998E-2</c:v>
                </c:pt>
                <c:pt idx="20">
                  <c:v>1.2999999999999998E-2</c:v>
                </c:pt>
                <c:pt idx="21">
                  <c:v>1.5899999999999997E-2</c:v>
                </c:pt>
                <c:pt idx="22">
                  <c:v>1.8799999999999997E-2</c:v>
                </c:pt>
                <c:pt idx="23">
                  <c:v>2.1699999999999997E-2</c:v>
                </c:pt>
                <c:pt idx="24">
                  <c:v>2.4599999999999997E-2</c:v>
                </c:pt>
                <c:pt idx="25">
                  <c:v>2.7499999999999997E-2</c:v>
                </c:pt>
                <c:pt idx="26">
                  <c:v>3.0399999999999996E-2</c:v>
                </c:pt>
                <c:pt idx="27">
                  <c:v>3.3299999999999996E-2</c:v>
                </c:pt>
                <c:pt idx="28">
                  <c:v>3.6199999999999996E-2</c:v>
                </c:pt>
                <c:pt idx="29">
                  <c:v>3.9099999999999996E-2</c:v>
                </c:pt>
              </c:numCache>
            </c:numRef>
          </c:cat>
          <c:val>
            <c:numRef>
              <c:f>'Sta_Mo '!$BC$114:$BC$143</c:f>
              <c:numCache>
                <c:formatCode>0.00E+00</c:formatCode>
                <c:ptCount val="30"/>
                <c:pt idx="0">
                  <c:v>6.5748562744571873E-2</c:v>
                </c:pt>
                <c:pt idx="1">
                  <c:v>7.7778194193829822E-2</c:v>
                </c:pt>
                <c:pt idx="2">
                  <c:v>9.0835738403550068E-2</c:v>
                </c:pt>
                <c:pt idx="3">
                  <c:v>0.10473285660845097</c:v>
                </c:pt>
                <c:pt idx="4">
                  <c:v>0.1192165227721645</c:v>
                </c:pt>
                <c:pt idx="5">
                  <c:v>0.13397299148331179</c:v>
                </c:pt>
                <c:pt idx="6">
                  <c:v>0.1486364630412958</c:v>
                </c:pt>
                <c:pt idx="7">
                  <c:v>0.16280238872175404</c:v>
                </c:pt>
                <c:pt idx="8">
                  <c:v>0.17604491550298459</c:v>
                </c:pt>
                <c:pt idx="9">
                  <c:v>0.18793752491497884</c:v>
                </c:pt>
                <c:pt idx="10">
                  <c:v>0.1980755282076469</c:v>
                </c:pt>
                <c:pt idx="11">
                  <c:v>0.20609879164048001</c:v>
                </c:pt>
                <c:pt idx="12">
                  <c:v>0.21171292451579646</c:v>
                </c:pt>
                <c:pt idx="13">
                  <c:v>0.21470719601941951</c:v>
                </c:pt>
                <c:pt idx="14">
                  <c:v>0.21496766159841704</c:v>
                </c:pt>
                <c:pt idx="15">
                  <c:v>0.21248435910774091</c:v>
                </c:pt>
                <c:pt idx="16">
                  <c:v>0.20735194115592853</c:v>
                </c:pt>
                <c:pt idx="17">
                  <c:v>0.19976368769478992</c:v>
                </c:pt>
                <c:pt idx="18">
                  <c:v>0.18999942685188245</c:v>
                </c:pt>
                <c:pt idx="19">
                  <c:v>0.17840841634620791</c:v>
                </c:pt>
                <c:pt idx="20">
                  <c:v>0.16538864479697213</c:v>
                </c:pt>
                <c:pt idx="21">
                  <c:v>0.1513642600045888</c:v>
                </c:pt>
                <c:pt idx="22">
                  <c:v>0.13676289915246378</c:v>
                </c:pt>
                <c:pt idx="23">
                  <c:v>0.1219945861729754</c:v>
                </c:pt>
                <c:pt idx="24">
                  <c:v>0.10743359802974087</c:v>
                </c:pt>
                <c:pt idx="25">
                  <c:v>9.340432505291936E-2</c:v>
                </c:pt>
                <c:pt idx="26">
                  <c:v>8.0171711565088011E-2</c:v>
                </c:pt>
                <c:pt idx="27">
                  <c:v>6.7936415273844378E-2</c:v>
                </c:pt>
                <c:pt idx="28">
                  <c:v>5.6834416046148251E-2</c:v>
                </c:pt>
                <c:pt idx="29">
                  <c:v>4.6940475013982311E-2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8-4A9F-AA7D-259ACEF3E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5E8-4A9F-AA7D-259ACEF3E861}"/>
              </c:ext>
            </c:extLst>
          </c:dPt>
          <c:cat>
            <c:numRef>
              <c:f>[2]Sta_Mo!$BC$85:$BC$114</c:f>
              <c:numCache>
                <c:formatCode>General</c:formatCode>
                <c:ptCount val="30"/>
                <c:pt idx="0">
                  <c:v>-3</c:v>
                </c:pt>
                <c:pt idx="1">
                  <c:v>-2.79</c:v>
                </c:pt>
                <c:pt idx="2">
                  <c:v>-2.58</c:v>
                </c:pt>
                <c:pt idx="3">
                  <c:v>-2.37</c:v>
                </c:pt>
                <c:pt idx="4">
                  <c:v>-2.16</c:v>
                </c:pt>
                <c:pt idx="5">
                  <c:v>-1.9500000000000002</c:v>
                </c:pt>
                <c:pt idx="6">
                  <c:v>-1.7400000000000002</c:v>
                </c:pt>
                <c:pt idx="7">
                  <c:v>-1.5300000000000002</c:v>
                </c:pt>
                <c:pt idx="8">
                  <c:v>-1.3200000000000003</c:v>
                </c:pt>
                <c:pt idx="9">
                  <c:v>-1.1100000000000003</c:v>
                </c:pt>
                <c:pt idx="10">
                  <c:v>-0.90000000000000036</c:v>
                </c:pt>
                <c:pt idx="11">
                  <c:v>-0.69000000000000039</c:v>
                </c:pt>
                <c:pt idx="12">
                  <c:v>-0.48000000000000043</c:v>
                </c:pt>
                <c:pt idx="13">
                  <c:v>-0.27000000000000046</c:v>
                </c:pt>
                <c:pt idx="14">
                  <c:v>-6.000000000000047E-2</c:v>
                </c:pt>
                <c:pt idx="15">
                  <c:v>0.14999999999999952</c:v>
                </c:pt>
                <c:pt idx="16">
                  <c:v>0.35999999999999954</c:v>
                </c:pt>
                <c:pt idx="17">
                  <c:v>0.56999999999999951</c:v>
                </c:pt>
                <c:pt idx="18">
                  <c:v>0.77999999999999947</c:v>
                </c:pt>
                <c:pt idx="19">
                  <c:v>0.98999999999999944</c:v>
                </c:pt>
                <c:pt idx="20">
                  <c:v>1.1999999999999995</c:v>
                </c:pt>
                <c:pt idx="21">
                  <c:v>1.4099999999999995</c:v>
                </c:pt>
                <c:pt idx="22">
                  <c:v>1.6199999999999994</c:v>
                </c:pt>
                <c:pt idx="23">
                  <c:v>1.8299999999999994</c:v>
                </c:pt>
                <c:pt idx="24">
                  <c:v>2.0399999999999996</c:v>
                </c:pt>
                <c:pt idx="25">
                  <c:v>2.2499999999999996</c:v>
                </c:pt>
                <c:pt idx="26">
                  <c:v>2.4599999999999995</c:v>
                </c:pt>
                <c:pt idx="27">
                  <c:v>2.6699999999999995</c:v>
                </c:pt>
                <c:pt idx="28">
                  <c:v>2.8799999999999994</c:v>
                </c:pt>
                <c:pt idx="29">
                  <c:v>3.0899999999999994</c:v>
                </c:pt>
              </c:numCache>
            </c:numRef>
          </c:cat>
          <c:val>
            <c:numRef>
              <c:f>'Sta_Mo '!$BC$146:$BC$175</c:f>
              <c:numCache>
                <c:formatCode>General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E8-4A9F-AA7D-259ACEF3E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(%Mo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[2]Sta_Cu!$S$85:$S$114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'Sta_Mo '!$S$114:$S$143</c:f>
              <c:numCache>
                <c:formatCode>0.00E+00</c:formatCode>
                <c:ptCount val="30"/>
                <c:pt idx="0">
                  <c:v>4.4886563853739327E-2</c:v>
                </c:pt>
                <c:pt idx="1">
                  <c:v>7.986891256761601E-2</c:v>
                </c:pt>
                <c:pt idx="2">
                  <c:v>0.13659290219964615</c:v>
                </c:pt>
                <c:pt idx="3">
                  <c:v>0.22452641606423962</c:v>
                </c:pt>
                <c:pt idx="4">
                  <c:v>0.35472819249646959</c:v>
                </c:pt>
                <c:pt idx="5">
                  <c:v>0.53865775682102979</c:v>
                </c:pt>
                <c:pt idx="6">
                  <c:v>0.78617473101732827</c:v>
                </c:pt>
                <c:pt idx="7">
                  <c:v>1.1028442765545636</c:v>
                </c:pt>
                <c:pt idx="8">
                  <c:v>1.4869564768724663</c:v>
                </c:pt>
                <c:pt idx="9">
                  <c:v>1.9269536592319358</c:v>
                </c:pt>
                <c:pt idx="10">
                  <c:v>2.4001215398712268</c:v>
                </c:pt>
                <c:pt idx="11">
                  <c:v>2.8733210125259094</c:v>
                </c:pt>
                <c:pt idx="12">
                  <c:v>3.3061611138744587</c:v>
                </c:pt>
                <c:pt idx="13">
                  <c:v>3.6563926609413877</c:v>
                </c:pt>
                <c:pt idx="14">
                  <c:v>3.8866066905372745</c:v>
                </c:pt>
                <c:pt idx="15">
                  <c:v>3.9707935675773052</c:v>
                </c:pt>
                <c:pt idx="16">
                  <c:v>3.8991772305939856</c:v>
                </c:pt>
                <c:pt idx="17">
                  <c:v>3.6800828171032007</c:v>
                </c:pt>
                <c:pt idx="18">
                  <c:v>3.3383445567718621</c:v>
                </c:pt>
                <c:pt idx="19">
                  <c:v>2.9106747348048621</c:v>
                </c:pt>
                <c:pt idx="20">
                  <c:v>2.4391872634965472</c:v>
                </c:pt>
                <c:pt idx="21">
                  <c:v>1.9646516689266902</c:v>
                </c:pt>
                <c:pt idx="22">
                  <c:v>1.520949973692584</c:v>
                </c:pt>
                <c:pt idx="23">
                  <c:v>1.1317050354334646</c:v>
                </c:pt>
                <c:pt idx="24">
                  <c:v>0.80935772670895079</c:v>
                </c:pt>
                <c:pt idx="25">
                  <c:v>0.55633545270794271</c:v>
                </c:pt>
                <c:pt idx="26">
                  <c:v>0.36755463694421936</c:v>
                </c:pt>
                <c:pt idx="27">
                  <c:v>0.23339740656363125</c:v>
                </c:pt>
                <c:pt idx="28">
                  <c:v>0.14244889881160377</c:v>
                </c:pt>
                <c:pt idx="29">
                  <c:v>8.3562440810532657E-2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B-41D9-9828-4A16511D4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04B-41D9-9828-4A16511D4777}"/>
              </c:ext>
            </c:extLst>
          </c:dPt>
          <c:cat>
            <c:numRef>
              <c:f>[2]Sta_Mo!$S$85:$S$114</c:f>
              <c:numCache>
                <c:formatCode>General</c:formatCode>
                <c:ptCount val="30"/>
                <c:pt idx="0">
                  <c:v>-0.2</c:v>
                </c:pt>
                <c:pt idx="1">
                  <c:v>-0.18000000000000002</c:v>
                </c:pt>
                <c:pt idx="2">
                  <c:v>-0.16000000000000003</c:v>
                </c:pt>
                <c:pt idx="3">
                  <c:v>-0.14000000000000004</c:v>
                </c:pt>
                <c:pt idx="4">
                  <c:v>-0.12000000000000004</c:v>
                </c:pt>
                <c:pt idx="5">
                  <c:v>-0.10000000000000003</c:v>
                </c:pt>
                <c:pt idx="6">
                  <c:v>-8.0000000000000029E-2</c:v>
                </c:pt>
                <c:pt idx="7">
                  <c:v>-6.0000000000000026E-2</c:v>
                </c:pt>
                <c:pt idx="8">
                  <c:v>-4.0000000000000022E-2</c:v>
                </c:pt>
                <c:pt idx="9">
                  <c:v>-2.0000000000000021E-2</c:v>
                </c:pt>
                <c:pt idx="10">
                  <c:v>0</c:v>
                </c:pt>
                <c:pt idx="11">
                  <c:v>0.02</c:v>
                </c:pt>
                <c:pt idx="12">
                  <c:v>0.04</c:v>
                </c:pt>
                <c:pt idx="13">
                  <c:v>0.06</c:v>
                </c:pt>
                <c:pt idx="14">
                  <c:v>0.08</c:v>
                </c:pt>
                <c:pt idx="15">
                  <c:v>0.1</c:v>
                </c:pt>
                <c:pt idx="16">
                  <c:v>0.12000000000000001</c:v>
                </c:pt>
                <c:pt idx="17">
                  <c:v>0.14000000000000001</c:v>
                </c:pt>
                <c:pt idx="18">
                  <c:v>0.16</c:v>
                </c:pt>
                <c:pt idx="19">
                  <c:v>0.18</c:v>
                </c:pt>
                <c:pt idx="20">
                  <c:v>0.19999999999999998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0.25999999999999995</c:v>
                </c:pt>
                <c:pt idx="24">
                  <c:v>0.27999999999999997</c:v>
                </c:pt>
                <c:pt idx="25">
                  <c:v>0.3</c:v>
                </c:pt>
                <c:pt idx="26">
                  <c:v>0.32</c:v>
                </c:pt>
                <c:pt idx="27">
                  <c:v>0.34</c:v>
                </c:pt>
                <c:pt idx="28">
                  <c:v>0.36000000000000004</c:v>
                </c:pt>
                <c:pt idx="29">
                  <c:v>0.38000000000000006</c:v>
                </c:pt>
              </c:numCache>
            </c:numRef>
          </c:cat>
          <c:val>
            <c:numRef>
              <c:f>'Sta_Mo '!$S$146:$S$175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9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B-41D9-9828-4A16511D4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(%Mo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[2]Sta_Cu!$T$85:$T$114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'Sta_Mo '!$T$114:$T$143</c:f>
              <c:numCache>
                <c:formatCode>0.00E+00</c:formatCode>
                <c:ptCount val="30"/>
                <c:pt idx="0">
                  <c:v>0.30652207217181748</c:v>
                </c:pt>
                <c:pt idx="1">
                  <c:v>0.37418333500845014</c:v>
                </c:pt>
                <c:pt idx="2">
                  <c:v>0.45127606517867946</c:v>
                </c:pt>
                <c:pt idx="3">
                  <c:v>0.53769417105905271</c:v>
                </c:pt>
                <c:pt idx="4">
                  <c:v>0.63294143439912198</c:v>
                </c:pt>
                <c:pt idx="5">
                  <c:v>0.73608318239577852</c:v>
                </c:pt>
                <c:pt idx="6">
                  <c:v>0.84571772662043643</c:v>
                </c:pt>
                <c:pt idx="7">
                  <c:v>0.95997327335724847</c:v>
                </c:pt>
                <c:pt idx="8">
                  <c:v>1.0765346683813017</c:v>
                </c:pt>
                <c:pt idx="9">
                  <c:v>1.1927023322348744</c:v>
                </c:pt>
                <c:pt idx="10">
                  <c:v>1.305483197913087</c:v>
                </c:pt>
                <c:pt idx="11">
                  <c:v>1.4117105970637778</c:v>
                </c:pt>
                <c:pt idx="12">
                  <c:v>1.5081871383394858</c:v>
                </c:pt>
                <c:pt idx="13">
                  <c:v>1.5918420062564715</c:v>
                </c:pt>
                <c:pt idx="14">
                  <c:v>1.6598921033605629</c:v>
                </c:pt>
                <c:pt idx="15">
                  <c:v>1.7099953396865197</c:v>
                </c:pt>
                <c:pt idx="16">
                  <c:v>1.7403843313093217</c:v>
                </c:pt>
                <c:pt idx="17">
                  <c:v>1.7499698748800472</c:v>
                </c:pt>
                <c:pt idx="18">
                  <c:v>1.7384057520685792</c:v>
                </c:pt>
                <c:pt idx="19">
                  <c:v>1.70610948756726</c:v>
                </c:pt>
                <c:pt idx="20">
                  <c:v>1.6542373252265388</c:v>
                </c:pt>
                <c:pt idx="21">
                  <c:v>1.5846155136057951</c:v>
                </c:pt>
                <c:pt idx="22">
                  <c:v>1.499633595125281</c:v>
                </c:pt>
                <c:pt idx="23">
                  <c:v>1.4021083916522425</c:v>
                </c:pt>
                <c:pt idx="24">
                  <c:v>1.2951294713587058</c:v>
                </c:pt>
                <c:pt idx="25">
                  <c:v>1.1818978797539372</c:v>
                </c:pt>
                <c:pt idx="26">
                  <c:v>1.0655697695528659</c:v>
                </c:pt>
                <c:pt idx="27">
                  <c:v>0.94911535232344379</c:v>
                </c:pt>
                <c:pt idx="28">
                  <c:v>0.83520151927941189</c:v>
                </c:pt>
                <c:pt idx="29">
                  <c:v>0.7261038222982289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40-431B-ACFD-853546526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340-431B-ACFD-853546526BBE}"/>
              </c:ext>
            </c:extLst>
          </c:dPt>
          <c:cat>
            <c:numRef>
              <c:f>[2]Sta_Mo!$T$85:$T$114</c:f>
              <c:numCache>
                <c:formatCode>General</c:formatCode>
                <c:ptCount val="30"/>
                <c:pt idx="0">
                  <c:v>-0.2</c:v>
                </c:pt>
                <c:pt idx="1">
                  <c:v>-0.1749</c:v>
                </c:pt>
                <c:pt idx="2">
                  <c:v>-0.14979999999999999</c:v>
                </c:pt>
                <c:pt idx="3">
                  <c:v>-0.12469999999999999</c:v>
                </c:pt>
                <c:pt idx="4">
                  <c:v>-9.9599999999999994E-2</c:v>
                </c:pt>
                <c:pt idx="5">
                  <c:v>-7.4499999999999997E-2</c:v>
                </c:pt>
                <c:pt idx="6">
                  <c:v>-4.9399999999999999E-2</c:v>
                </c:pt>
                <c:pt idx="7">
                  <c:v>-2.4299999999999999E-2</c:v>
                </c:pt>
                <c:pt idx="8">
                  <c:v>8.000000000000021E-4</c:v>
                </c:pt>
                <c:pt idx="9">
                  <c:v>2.5900000000000003E-2</c:v>
                </c:pt>
                <c:pt idx="10">
                  <c:v>5.1000000000000004E-2</c:v>
                </c:pt>
                <c:pt idx="11">
                  <c:v>7.6100000000000001E-2</c:v>
                </c:pt>
                <c:pt idx="12">
                  <c:v>0.1012</c:v>
                </c:pt>
                <c:pt idx="13">
                  <c:v>0.1263</c:v>
                </c:pt>
                <c:pt idx="14">
                  <c:v>0.15140000000000001</c:v>
                </c:pt>
                <c:pt idx="15">
                  <c:v>0.17650000000000002</c:v>
                </c:pt>
                <c:pt idx="16">
                  <c:v>0.20160000000000003</c:v>
                </c:pt>
                <c:pt idx="17">
                  <c:v>0.22670000000000004</c:v>
                </c:pt>
                <c:pt idx="18">
                  <c:v>0.25180000000000002</c:v>
                </c:pt>
                <c:pt idx="19">
                  <c:v>0.27690000000000003</c:v>
                </c:pt>
                <c:pt idx="20">
                  <c:v>0.30200000000000005</c:v>
                </c:pt>
                <c:pt idx="21">
                  <c:v>0.32710000000000006</c:v>
                </c:pt>
                <c:pt idx="22">
                  <c:v>0.35220000000000007</c:v>
                </c:pt>
                <c:pt idx="23">
                  <c:v>0.37730000000000008</c:v>
                </c:pt>
                <c:pt idx="24">
                  <c:v>0.40240000000000009</c:v>
                </c:pt>
                <c:pt idx="25">
                  <c:v>0.4275000000000001</c:v>
                </c:pt>
                <c:pt idx="26">
                  <c:v>0.45260000000000011</c:v>
                </c:pt>
                <c:pt idx="27">
                  <c:v>0.47770000000000012</c:v>
                </c:pt>
                <c:pt idx="28">
                  <c:v>0.50280000000000014</c:v>
                </c:pt>
                <c:pt idx="29">
                  <c:v>0.52790000000000015</c:v>
                </c:pt>
              </c:numCache>
            </c:numRef>
          </c:cat>
          <c:val>
            <c:numRef>
              <c:f>'Sta_Mo '!$T$146:$T$175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40-431B-ACFD-853546526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(%Mo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[2]Sta_Cu!$U$85:$U$114</c:f>
              <c:numCache>
                <c:formatCode>General</c:formatCode>
                <c:ptCount val="30"/>
                <c:pt idx="0">
                  <c:v>-7.0000000000000001E-3</c:v>
                </c:pt>
                <c:pt idx="1">
                  <c:v>-6.4900000000000001E-3</c:v>
                </c:pt>
                <c:pt idx="2">
                  <c:v>-5.9800000000000001E-3</c:v>
                </c:pt>
                <c:pt idx="3">
                  <c:v>-5.47E-3</c:v>
                </c:pt>
                <c:pt idx="4">
                  <c:v>-4.96E-3</c:v>
                </c:pt>
                <c:pt idx="5">
                  <c:v>-4.45E-3</c:v>
                </c:pt>
                <c:pt idx="6">
                  <c:v>-3.9399999999999999E-3</c:v>
                </c:pt>
                <c:pt idx="7">
                  <c:v>-3.4299999999999999E-3</c:v>
                </c:pt>
                <c:pt idx="8">
                  <c:v>-2.9199999999999999E-3</c:v>
                </c:pt>
                <c:pt idx="9">
                  <c:v>-2.4099999999999998E-3</c:v>
                </c:pt>
                <c:pt idx="10">
                  <c:v>-1.8999999999999998E-3</c:v>
                </c:pt>
                <c:pt idx="11">
                  <c:v>-1.3899999999999997E-3</c:v>
                </c:pt>
                <c:pt idx="12">
                  <c:v>-8.7999999999999971E-4</c:v>
                </c:pt>
                <c:pt idx="13">
                  <c:v>-3.6999999999999967E-4</c:v>
                </c:pt>
                <c:pt idx="14">
                  <c:v>1.4000000000000037E-4</c:v>
                </c:pt>
                <c:pt idx="15">
                  <c:v>6.500000000000004E-4</c:v>
                </c:pt>
                <c:pt idx="16">
                  <c:v>1.1600000000000004E-3</c:v>
                </c:pt>
                <c:pt idx="17">
                  <c:v>1.6700000000000005E-3</c:v>
                </c:pt>
                <c:pt idx="18">
                  <c:v>2.1800000000000005E-3</c:v>
                </c:pt>
                <c:pt idx="19">
                  <c:v>2.6900000000000006E-3</c:v>
                </c:pt>
                <c:pt idx="20">
                  <c:v>3.2000000000000006E-3</c:v>
                </c:pt>
                <c:pt idx="21">
                  <c:v>3.7100000000000006E-3</c:v>
                </c:pt>
                <c:pt idx="22">
                  <c:v>4.2200000000000007E-3</c:v>
                </c:pt>
                <c:pt idx="23">
                  <c:v>4.7300000000000007E-3</c:v>
                </c:pt>
                <c:pt idx="24">
                  <c:v>5.2400000000000007E-3</c:v>
                </c:pt>
                <c:pt idx="25">
                  <c:v>5.7500000000000008E-3</c:v>
                </c:pt>
                <c:pt idx="26">
                  <c:v>6.2600000000000008E-3</c:v>
                </c:pt>
                <c:pt idx="27">
                  <c:v>6.7700000000000008E-3</c:v>
                </c:pt>
                <c:pt idx="28">
                  <c:v>7.2800000000000009E-3</c:v>
                </c:pt>
                <c:pt idx="29">
                  <c:v>7.7900000000000009E-3</c:v>
                </c:pt>
              </c:numCache>
            </c:numRef>
          </c:cat>
          <c:val>
            <c:numRef>
              <c:f>'Sta_Mo '!$U$114:$U$143</c:f>
              <c:numCache>
                <c:formatCode>0.00E+00</c:formatCode>
                <c:ptCount val="30"/>
                <c:pt idx="0">
                  <c:v>0.87495212654466048</c:v>
                </c:pt>
                <c:pt idx="1">
                  <c:v>0.95502303009153122</c:v>
                </c:pt>
                <c:pt idx="2">
                  <c:v>1.0348508841976147</c:v>
                </c:pt>
                <c:pt idx="3">
                  <c:v>1.1132073944825671</c:v>
                </c:pt>
                <c:pt idx="4">
                  <c:v>1.1887999189129514</c:v>
                </c:pt>
                <c:pt idx="5">
                  <c:v>1.2603054898440538</c:v>
                </c:pt>
                <c:pt idx="6">
                  <c:v>1.3264084080493226</c:v>
                </c:pt>
                <c:pt idx="7">
                  <c:v>1.3858399645475883</c:v>
                </c:pt>
                <c:pt idx="8">
                  <c:v>1.4374186430059304</c:v>
                </c:pt>
                <c:pt idx="9">
                  <c:v>1.4800890382001923</c:v>
                </c:pt>
                <c:pt idx="10">
                  <c:v>1.5129577070728173</c:v>
                </c:pt>
                <c:pt idx="11">
                  <c:v>1.5353242543521852</c:v>
                </c:pt>
                <c:pt idx="12">
                  <c:v>1.5467061430926081</c:v>
                </c:pt>
                <c:pt idx="13">
                  <c:v>1.5468560028646243</c:v>
                </c:pt>
                <c:pt idx="14">
                  <c:v>1.5357705685479952</c:v>
                </c:pt>
                <c:pt idx="15">
                  <c:v>1.5136907986111803</c:v>
                </c:pt>
                <c:pt idx="16">
                  <c:v>1.4810931668932283</c:v>
                </c:pt>
                <c:pt idx="17">
                  <c:v>1.4386725674244729</c:v>
                </c:pt>
                <c:pt idx="18">
                  <c:v>1.3873176888880121</c:v>
                </c:pt>
                <c:pt idx="19">
                  <c:v>1.3280800773375199</c:v>
                </c:pt>
                <c:pt idx="20">
                  <c:v>1.2621383904652022</c:v>
                </c:pt>
                <c:pt idx="21">
                  <c:v>1.190759537756463</c:v>
                </c:pt>
                <c:pt idx="22">
                  <c:v>1.1152584890815129</c:v>
                </c:pt>
                <c:pt idx="23">
                  <c:v>1.0369585180600214</c:v>
                </c:pt>
                <c:pt idx="24">
                  <c:v>0.95715353171713424</c:v>
                </c:pt>
                <c:pt idx="25">
                  <c:v>0.87707393698439617</c:v>
                </c:pt>
                <c:pt idx="26">
                  <c:v>0.79785722526775538</c:v>
                </c:pt>
                <c:pt idx="27">
                  <c:v>0.72052414003007992</c:v>
                </c:pt>
                <c:pt idx="28">
                  <c:v>0.64596095230470751</c:v>
                </c:pt>
                <c:pt idx="29">
                  <c:v>0.5749080283259228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28-47DE-9CB7-8022D4570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F28-47DE-9CB7-8022D45708E3}"/>
              </c:ext>
            </c:extLst>
          </c:dPt>
          <c:cat>
            <c:numRef>
              <c:f>[2]Sta_Mo!$U$85:$U$114</c:f>
              <c:numCache>
                <c:formatCode>General</c:formatCode>
                <c:ptCount val="30"/>
                <c:pt idx="0">
                  <c:v>-0.4</c:v>
                </c:pt>
                <c:pt idx="1">
                  <c:v>-0.378</c:v>
                </c:pt>
                <c:pt idx="2">
                  <c:v>-0.35599999999999998</c:v>
                </c:pt>
                <c:pt idx="3">
                  <c:v>-0.33399999999999996</c:v>
                </c:pt>
                <c:pt idx="4">
                  <c:v>-0.31199999999999994</c:v>
                </c:pt>
                <c:pt idx="5">
                  <c:v>-0.28999999999999992</c:v>
                </c:pt>
                <c:pt idx="6">
                  <c:v>-0.2679999999999999</c:v>
                </c:pt>
                <c:pt idx="7">
                  <c:v>-0.24599999999999991</c:v>
                </c:pt>
                <c:pt idx="8">
                  <c:v>-0.22399999999999992</c:v>
                </c:pt>
                <c:pt idx="9">
                  <c:v>-0.20199999999999993</c:v>
                </c:pt>
                <c:pt idx="10">
                  <c:v>-0.17999999999999994</c:v>
                </c:pt>
                <c:pt idx="11">
                  <c:v>-0.15799999999999995</c:v>
                </c:pt>
                <c:pt idx="12">
                  <c:v>-0.13599999999999995</c:v>
                </c:pt>
                <c:pt idx="13">
                  <c:v>-0.11399999999999996</c:v>
                </c:pt>
                <c:pt idx="14">
                  <c:v>-9.1999999999999971E-2</c:v>
                </c:pt>
                <c:pt idx="15">
                  <c:v>-6.9999999999999979E-2</c:v>
                </c:pt>
                <c:pt idx="16">
                  <c:v>-4.799999999999998E-2</c:v>
                </c:pt>
                <c:pt idx="17">
                  <c:v>-2.5999999999999981E-2</c:v>
                </c:pt>
                <c:pt idx="18">
                  <c:v>-3.9999999999999827E-3</c:v>
                </c:pt>
                <c:pt idx="19">
                  <c:v>1.8000000000000016E-2</c:v>
                </c:pt>
                <c:pt idx="20">
                  <c:v>4.0000000000000015E-2</c:v>
                </c:pt>
                <c:pt idx="21">
                  <c:v>6.2000000000000013E-2</c:v>
                </c:pt>
                <c:pt idx="22">
                  <c:v>8.4000000000000019E-2</c:v>
                </c:pt>
                <c:pt idx="23">
                  <c:v>0.10600000000000001</c:v>
                </c:pt>
                <c:pt idx="24">
                  <c:v>0.128</c:v>
                </c:pt>
                <c:pt idx="25">
                  <c:v>0.15</c:v>
                </c:pt>
                <c:pt idx="26">
                  <c:v>0.17199999999999999</c:v>
                </c:pt>
                <c:pt idx="27">
                  <c:v>0.19399999999999998</c:v>
                </c:pt>
                <c:pt idx="28">
                  <c:v>0.21599999999999997</c:v>
                </c:pt>
                <c:pt idx="29">
                  <c:v>0.23799999999999996</c:v>
                </c:pt>
              </c:numCache>
            </c:numRef>
          </c:cat>
          <c:val>
            <c:numRef>
              <c:f>'Sta_Mo '!$U$146:$U$175</c:f>
              <c:numCache>
                <c:formatCode>General</c:formatCode>
                <c:ptCount val="30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28-47DE-9CB7-8022D4570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(%Mo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[2]Sta_Cu!$S$85:$S$114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'Sta_Mo '!$BE$114:$BE$143</c:f>
              <c:numCache>
                <c:formatCode>0.00E+00</c:formatCode>
                <c:ptCount val="30"/>
                <c:pt idx="0">
                  <c:v>3.2136365225116141E-16</c:v>
                </c:pt>
                <c:pt idx="1">
                  <c:v>7.2895855324709896E-14</c:v>
                </c:pt>
                <c:pt idx="2">
                  <c:v>1.0920740081961634E-11</c:v>
                </c:pt>
                <c:pt idx="3">
                  <c:v>1.0805489821854726E-9</c:v>
                </c:pt>
                <c:pt idx="4">
                  <c:v>7.0612241747084897E-8</c:v>
                </c:pt>
                <c:pt idx="5">
                  <c:v>3.0476051108100116E-6</c:v>
                </c:pt>
                <c:pt idx="6">
                  <c:v>8.6872144012103598E-5</c:v>
                </c:pt>
                <c:pt idx="7">
                  <c:v>1.6354811387354808E-3</c:v>
                </c:pt>
                <c:pt idx="8">
                  <c:v>2.0335445580703378E-2</c:v>
                </c:pt>
                <c:pt idx="9">
                  <c:v>0.16699558860371486</c:v>
                </c:pt>
                <c:pt idx="10">
                  <c:v>0.90573147028271916</c:v>
                </c:pt>
                <c:pt idx="11">
                  <c:v>3.2444200000062375</c:v>
                </c:pt>
                <c:pt idx="12">
                  <c:v>7.6756972204124052</c:v>
                </c:pt>
                <c:pt idx="13">
                  <c:v>11.993384389735402</c:v>
                </c:pt>
                <c:pt idx="14">
                  <c:v>12.376812856782234</c:v>
                </c:pt>
                <c:pt idx="15">
                  <c:v>8.4356596366969718</c:v>
                </c:pt>
                <c:pt idx="16">
                  <c:v>3.7972782842705088</c:v>
                </c:pt>
                <c:pt idx="17">
                  <c:v>1.1289350477803686</c:v>
                </c:pt>
                <c:pt idx="18">
                  <c:v>0.22167087685856451</c:v>
                </c:pt>
                <c:pt idx="19">
                  <c:v>2.8746930270603661E-2</c:v>
                </c:pt>
                <c:pt idx="20">
                  <c:v>2.4621667656625082E-3</c:v>
                </c:pt>
                <c:pt idx="21">
                  <c:v>1.3927931023035279E-4</c:v>
                </c:pt>
                <c:pt idx="22">
                  <c:v>5.2035400644404494E-6</c:v>
                </c:pt>
                <c:pt idx="23">
                  <c:v>1.2839684468859977E-7</c:v>
                </c:pt>
                <c:pt idx="24">
                  <c:v>2.0924397067106547E-9</c:v>
                </c:pt>
                <c:pt idx="25">
                  <c:v>2.2521364900890867E-11</c:v>
                </c:pt>
                <c:pt idx="26">
                  <c:v>1.60095680632839E-13</c:v>
                </c:pt>
                <c:pt idx="27">
                  <c:v>7.5163617788144829E-16</c:v>
                </c:pt>
                <c:pt idx="28">
                  <c:v>2.3306598200990423E-18</c:v>
                </c:pt>
                <c:pt idx="29">
                  <c:v>4.7730200181453016E-21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3-4B78-BB2D-88C85E558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3-4B78-BB2D-88C85E558896}"/>
              </c:ext>
            </c:extLst>
          </c:dPt>
          <c:cat>
            <c:numRef>
              <c:f>[2]Sta_Mo!$BE$85:$BE$114</c:f>
              <c:numCache>
                <c:formatCode>General</c:formatCode>
                <c:ptCount val="30"/>
                <c:pt idx="0">
                  <c:v>-0.2</c:v>
                </c:pt>
                <c:pt idx="1">
                  <c:v>-0.18000000000000002</c:v>
                </c:pt>
                <c:pt idx="2">
                  <c:v>-0.16000000000000003</c:v>
                </c:pt>
                <c:pt idx="3">
                  <c:v>-0.14000000000000004</c:v>
                </c:pt>
                <c:pt idx="4">
                  <c:v>-0.12000000000000004</c:v>
                </c:pt>
                <c:pt idx="5">
                  <c:v>-0.10000000000000003</c:v>
                </c:pt>
                <c:pt idx="6">
                  <c:v>-8.0000000000000029E-2</c:v>
                </c:pt>
                <c:pt idx="7">
                  <c:v>-6.0000000000000026E-2</c:v>
                </c:pt>
                <c:pt idx="8">
                  <c:v>-4.0000000000000022E-2</c:v>
                </c:pt>
                <c:pt idx="9">
                  <c:v>-2.0000000000000021E-2</c:v>
                </c:pt>
                <c:pt idx="10">
                  <c:v>0</c:v>
                </c:pt>
                <c:pt idx="11">
                  <c:v>0.02</c:v>
                </c:pt>
                <c:pt idx="12">
                  <c:v>0.04</c:v>
                </c:pt>
                <c:pt idx="13">
                  <c:v>0.06</c:v>
                </c:pt>
                <c:pt idx="14">
                  <c:v>0.08</c:v>
                </c:pt>
                <c:pt idx="15">
                  <c:v>0.1</c:v>
                </c:pt>
                <c:pt idx="16">
                  <c:v>0.12000000000000001</c:v>
                </c:pt>
                <c:pt idx="17">
                  <c:v>0.14000000000000001</c:v>
                </c:pt>
                <c:pt idx="18">
                  <c:v>0.16</c:v>
                </c:pt>
                <c:pt idx="19">
                  <c:v>0.18</c:v>
                </c:pt>
                <c:pt idx="20">
                  <c:v>0.19999999999999998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0.25999999999999995</c:v>
                </c:pt>
                <c:pt idx="24">
                  <c:v>0.27999999999999997</c:v>
                </c:pt>
                <c:pt idx="25">
                  <c:v>0.3</c:v>
                </c:pt>
                <c:pt idx="26">
                  <c:v>0.32</c:v>
                </c:pt>
                <c:pt idx="27">
                  <c:v>0.34</c:v>
                </c:pt>
                <c:pt idx="28">
                  <c:v>0.36000000000000004</c:v>
                </c:pt>
                <c:pt idx="29">
                  <c:v>0.38000000000000006</c:v>
                </c:pt>
              </c:numCache>
            </c:numRef>
          </c:cat>
          <c:val>
            <c:numRef>
              <c:f>'Sta_Mo '!$BE$146:$BE$175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11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3-4B78-BB2D-88C85E558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(%Mo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[2]Sta_Cu!$T$85:$T$114</c:f>
              <c:numCache>
                <c:formatCode>General</c:formatCode>
                <c:ptCount val="30"/>
                <c:pt idx="0">
                  <c:v>8.0000000000000007E-5</c:v>
                </c:pt>
                <c:pt idx="1">
                  <c:v>5.8E-4</c:v>
                </c:pt>
                <c:pt idx="2">
                  <c:v>1.08E-3</c:v>
                </c:pt>
                <c:pt idx="3">
                  <c:v>1.58E-3</c:v>
                </c:pt>
                <c:pt idx="4">
                  <c:v>2.0800000000000003E-3</c:v>
                </c:pt>
                <c:pt idx="5">
                  <c:v>2.5800000000000003E-3</c:v>
                </c:pt>
                <c:pt idx="6">
                  <c:v>3.0800000000000003E-3</c:v>
                </c:pt>
                <c:pt idx="7">
                  <c:v>3.5800000000000003E-3</c:v>
                </c:pt>
                <c:pt idx="8">
                  <c:v>4.0800000000000003E-3</c:v>
                </c:pt>
                <c:pt idx="9">
                  <c:v>4.5800000000000007E-3</c:v>
                </c:pt>
                <c:pt idx="10">
                  <c:v>5.0800000000000012E-3</c:v>
                </c:pt>
                <c:pt idx="11">
                  <c:v>5.5800000000000016E-3</c:v>
                </c:pt>
                <c:pt idx="12">
                  <c:v>6.0800000000000021E-3</c:v>
                </c:pt>
                <c:pt idx="13">
                  <c:v>6.5800000000000025E-3</c:v>
                </c:pt>
                <c:pt idx="14">
                  <c:v>7.080000000000003E-3</c:v>
                </c:pt>
                <c:pt idx="15">
                  <c:v>7.5800000000000034E-3</c:v>
                </c:pt>
                <c:pt idx="16">
                  <c:v>8.0800000000000038E-3</c:v>
                </c:pt>
                <c:pt idx="17">
                  <c:v>8.5800000000000043E-3</c:v>
                </c:pt>
                <c:pt idx="18">
                  <c:v>9.0800000000000047E-3</c:v>
                </c:pt>
                <c:pt idx="19">
                  <c:v>9.5800000000000052E-3</c:v>
                </c:pt>
                <c:pt idx="20">
                  <c:v>1.0080000000000006E-2</c:v>
                </c:pt>
                <c:pt idx="21">
                  <c:v>1.0580000000000006E-2</c:v>
                </c:pt>
                <c:pt idx="22">
                  <c:v>1.1080000000000007E-2</c:v>
                </c:pt>
                <c:pt idx="23">
                  <c:v>1.1580000000000007E-2</c:v>
                </c:pt>
                <c:pt idx="24">
                  <c:v>1.2080000000000007E-2</c:v>
                </c:pt>
                <c:pt idx="25">
                  <c:v>1.2580000000000008E-2</c:v>
                </c:pt>
                <c:pt idx="26">
                  <c:v>1.3080000000000008E-2</c:v>
                </c:pt>
                <c:pt idx="27">
                  <c:v>1.3580000000000009E-2</c:v>
                </c:pt>
                <c:pt idx="28">
                  <c:v>1.4080000000000009E-2</c:v>
                </c:pt>
                <c:pt idx="29">
                  <c:v>1.458000000000001E-2</c:v>
                </c:pt>
              </c:numCache>
            </c:numRef>
          </c:cat>
          <c:val>
            <c:numRef>
              <c:f>'Sta_Mo '!$BF$114:$BF$143</c:f>
              <c:numCache>
                <c:formatCode>0.00E+00</c:formatCode>
                <c:ptCount val="30"/>
                <c:pt idx="0">
                  <c:v>0.16412051079952078</c:v>
                </c:pt>
                <c:pt idx="1">
                  <c:v>0.22857188498408507</c:v>
                </c:pt>
                <c:pt idx="2">
                  <c:v>0.3115047078997718</c:v>
                </c:pt>
                <c:pt idx="3">
                  <c:v>0.41542083525090978</c:v>
                </c:pt>
                <c:pt idx="4">
                  <c:v>0.54211795260698059</c:v>
                </c:pt>
                <c:pt idx="5">
                  <c:v>0.69227900270532061</c:v>
                </c:pt>
                <c:pt idx="6">
                  <c:v>0.86506827300890221</c:v>
                </c:pt>
                <c:pt idx="7">
                  <c:v>1.0577948886555908</c:v>
                </c:pt>
                <c:pt idx="8">
                  <c:v>1.2657105470139125</c:v>
                </c:pt>
                <c:pt idx="9">
                  <c:v>1.4820033622600448</c:v>
                </c:pt>
                <c:pt idx="10">
                  <c:v>1.6980318570082866</c:v>
                </c:pt>
                <c:pt idx="11">
                  <c:v>1.9038132004120181</c:v>
                </c:pt>
                <c:pt idx="12">
                  <c:v>2.0887414667541258</c:v>
                </c:pt>
                <c:pt idx="13">
                  <c:v>2.2424713262634364</c:v>
                </c:pt>
                <c:pt idx="14">
                  <c:v>2.3558680561126919</c:v>
                </c:pt>
                <c:pt idx="15">
                  <c:v>2.4219037709561002</c:v>
                </c:pt>
                <c:pt idx="16">
                  <c:v>2.4363779387245676</c:v>
                </c:pt>
                <c:pt idx="17">
                  <c:v>2.3983595354912532</c:v>
                </c:pt>
                <c:pt idx="18">
                  <c:v>2.3102861427500607</c:v>
                </c:pt>
                <c:pt idx="19">
                  <c:v>2.1777053252488505</c:v>
                </c:pt>
                <c:pt idx="20">
                  <c:v>2.0086964316344811</c:v>
                </c:pt>
                <c:pt idx="21">
                  <c:v>1.8130565828533234</c:v>
                </c:pt>
                <c:pt idx="22">
                  <c:v>1.6013647447242534</c:v>
                </c:pt>
                <c:pt idx="23">
                  <c:v>1.3840475882601875</c:v>
                </c:pt>
                <c:pt idx="24">
                  <c:v>1.170559887846063</c:v>
                </c:pt>
                <c:pt idx="25">
                  <c:v>0.9687642589354194</c:v>
                </c:pt>
                <c:pt idx="26">
                  <c:v>0.78455687558523224</c:v>
                </c:pt>
                <c:pt idx="27">
                  <c:v>0.62174544568493662</c:v>
                </c:pt>
                <c:pt idx="28">
                  <c:v>0.48215052911095135</c:v>
                </c:pt>
                <c:pt idx="29">
                  <c:v>0.36587651829746726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8-4B2D-AE46-2D575FD80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AA8-4B2D-AE46-2D575FD80CBB}"/>
              </c:ext>
            </c:extLst>
          </c:dPt>
          <c:cat>
            <c:numRef>
              <c:f>[2]Sta_Mo!$BF$85:$BF$114</c:f>
              <c:numCache>
                <c:formatCode>General</c:formatCode>
                <c:ptCount val="30"/>
                <c:pt idx="0">
                  <c:v>-0.2</c:v>
                </c:pt>
                <c:pt idx="1">
                  <c:v>-0.1759</c:v>
                </c:pt>
                <c:pt idx="2">
                  <c:v>-0.15179999999999999</c:v>
                </c:pt>
                <c:pt idx="3">
                  <c:v>-0.12769999999999998</c:v>
                </c:pt>
                <c:pt idx="4">
                  <c:v>-0.10359999999999998</c:v>
                </c:pt>
                <c:pt idx="5">
                  <c:v>-7.9499999999999987E-2</c:v>
                </c:pt>
                <c:pt idx="6">
                  <c:v>-5.5399999999999991E-2</c:v>
                </c:pt>
                <c:pt idx="7">
                  <c:v>-3.1299999999999994E-2</c:v>
                </c:pt>
                <c:pt idx="8">
                  <c:v>-7.1999999999999946E-3</c:v>
                </c:pt>
                <c:pt idx="9">
                  <c:v>1.6900000000000005E-2</c:v>
                </c:pt>
                <c:pt idx="10">
                  <c:v>4.1000000000000009E-2</c:v>
                </c:pt>
                <c:pt idx="11">
                  <c:v>6.5100000000000005E-2</c:v>
                </c:pt>
                <c:pt idx="12">
                  <c:v>8.9200000000000002E-2</c:v>
                </c:pt>
                <c:pt idx="13">
                  <c:v>0.1133</c:v>
                </c:pt>
                <c:pt idx="14">
                  <c:v>0.13739999999999999</c:v>
                </c:pt>
                <c:pt idx="15">
                  <c:v>0.1615</c:v>
                </c:pt>
                <c:pt idx="16">
                  <c:v>0.18560000000000001</c:v>
                </c:pt>
                <c:pt idx="17">
                  <c:v>0.20970000000000003</c:v>
                </c:pt>
                <c:pt idx="18">
                  <c:v>0.23380000000000004</c:v>
                </c:pt>
                <c:pt idx="19">
                  <c:v>0.25790000000000002</c:v>
                </c:pt>
                <c:pt idx="20">
                  <c:v>0.28200000000000003</c:v>
                </c:pt>
                <c:pt idx="21">
                  <c:v>0.30610000000000004</c:v>
                </c:pt>
                <c:pt idx="22">
                  <c:v>0.33020000000000005</c:v>
                </c:pt>
                <c:pt idx="23">
                  <c:v>0.35430000000000006</c:v>
                </c:pt>
                <c:pt idx="24">
                  <c:v>0.37840000000000007</c:v>
                </c:pt>
                <c:pt idx="25">
                  <c:v>0.40250000000000008</c:v>
                </c:pt>
                <c:pt idx="26">
                  <c:v>0.42660000000000009</c:v>
                </c:pt>
                <c:pt idx="27">
                  <c:v>0.4507000000000001</c:v>
                </c:pt>
                <c:pt idx="28">
                  <c:v>0.47480000000000011</c:v>
                </c:pt>
                <c:pt idx="29">
                  <c:v>0.49890000000000012</c:v>
                </c:pt>
              </c:numCache>
            </c:numRef>
          </c:cat>
          <c:val>
            <c:numRef>
              <c:f>'Sta_Mo '!$BF$146:$BF$175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A8-4B2D-AE46-2D575FD80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(%Mo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[2]Sta_Cu!$U$85:$U$114</c:f>
              <c:numCache>
                <c:formatCode>General</c:formatCode>
                <c:ptCount val="30"/>
                <c:pt idx="0">
                  <c:v>-7.0000000000000001E-3</c:v>
                </c:pt>
                <c:pt idx="1">
                  <c:v>-6.4900000000000001E-3</c:v>
                </c:pt>
                <c:pt idx="2">
                  <c:v>-5.9800000000000001E-3</c:v>
                </c:pt>
                <c:pt idx="3">
                  <c:v>-5.47E-3</c:v>
                </c:pt>
                <c:pt idx="4">
                  <c:v>-4.96E-3</c:v>
                </c:pt>
                <c:pt idx="5">
                  <c:v>-4.45E-3</c:v>
                </c:pt>
                <c:pt idx="6">
                  <c:v>-3.9399999999999999E-3</c:v>
                </c:pt>
                <c:pt idx="7">
                  <c:v>-3.4299999999999999E-3</c:v>
                </c:pt>
                <c:pt idx="8">
                  <c:v>-2.9199999999999999E-3</c:v>
                </c:pt>
                <c:pt idx="9">
                  <c:v>-2.4099999999999998E-3</c:v>
                </c:pt>
                <c:pt idx="10">
                  <c:v>-1.8999999999999998E-3</c:v>
                </c:pt>
                <c:pt idx="11">
                  <c:v>-1.3899999999999997E-3</c:v>
                </c:pt>
                <c:pt idx="12">
                  <c:v>-8.7999999999999971E-4</c:v>
                </c:pt>
                <c:pt idx="13">
                  <c:v>-3.6999999999999967E-4</c:v>
                </c:pt>
                <c:pt idx="14">
                  <c:v>1.4000000000000037E-4</c:v>
                </c:pt>
                <c:pt idx="15">
                  <c:v>6.500000000000004E-4</c:v>
                </c:pt>
                <c:pt idx="16">
                  <c:v>1.1600000000000004E-3</c:v>
                </c:pt>
                <c:pt idx="17">
                  <c:v>1.6700000000000005E-3</c:v>
                </c:pt>
                <c:pt idx="18">
                  <c:v>2.1800000000000005E-3</c:v>
                </c:pt>
                <c:pt idx="19">
                  <c:v>2.6900000000000006E-3</c:v>
                </c:pt>
                <c:pt idx="20">
                  <c:v>3.2000000000000006E-3</c:v>
                </c:pt>
                <c:pt idx="21">
                  <c:v>3.7100000000000006E-3</c:v>
                </c:pt>
                <c:pt idx="22">
                  <c:v>4.2200000000000007E-3</c:v>
                </c:pt>
                <c:pt idx="23">
                  <c:v>4.7300000000000007E-3</c:v>
                </c:pt>
                <c:pt idx="24">
                  <c:v>5.2400000000000007E-3</c:v>
                </c:pt>
                <c:pt idx="25">
                  <c:v>5.7500000000000008E-3</c:v>
                </c:pt>
                <c:pt idx="26">
                  <c:v>6.2600000000000008E-3</c:v>
                </c:pt>
                <c:pt idx="27">
                  <c:v>6.7700000000000008E-3</c:v>
                </c:pt>
                <c:pt idx="28">
                  <c:v>7.2800000000000009E-3</c:v>
                </c:pt>
                <c:pt idx="29">
                  <c:v>7.7900000000000009E-3</c:v>
                </c:pt>
              </c:numCache>
            </c:numRef>
          </c:cat>
          <c:val>
            <c:numRef>
              <c:f>'Sta_Mo '!$BG$114:$BG$143</c:f>
              <c:numCache>
                <c:formatCode>0.00E+00</c:formatCode>
                <c:ptCount val="30"/>
                <c:pt idx="0">
                  <c:v>0.50690757137530185</c:v>
                </c:pt>
                <c:pt idx="1">
                  <c:v>0.63625323555813362</c:v>
                </c:pt>
                <c:pt idx="2">
                  <c:v>0.78448688651019305</c:v>
                </c:pt>
                <c:pt idx="3">
                  <c:v>0.95015800448778087</c:v>
                </c:pt>
                <c:pt idx="4">
                  <c:v>1.1304736216884894</c:v>
                </c:pt>
                <c:pt idx="5">
                  <c:v>1.321233246233116</c:v>
                </c:pt>
                <c:pt idx="6">
                  <c:v>1.5168862415943802</c:v>
                </c:pt>
                <c:pt idx="7">
                  <c:v>1.7107281027685037</c:v>
                </c:pt>
                <c:pt idx="8">
                  <c:v>1.8952365615863096</c:v>
                </c:pt>
                <c:pt idx="9">
                  <c:v>2.0625302207450771</c:v>
                </c:pt>
                <c:pt idx="10">
                  <c:v>2.2049140967044605</c:v>
                </c:pt>
                <c:pt idx="11">
                  <c:v>2.3154610832484521</c:v>
                </c:pt>
                <c:pt idx="12">
                  <c:v>2.3885688083573489</c:v>
                </c:pt>
                <c:pt idx="13">
                  <c:v>2.4204297701819684</c:v>
                </c:pt>
                <c:pt idx="14">
                  <c:v>2.4093598770253628</c:v>
                </c:pt>
                <c:pt idx="15">
                  <c:v>2.3559459369273914</c:v>
                </c:pt>
                <c:pt idx="16">
                  <c:v>2.2629941191523768</c:v>
                </c:pt>
                <c:pt idx="17">
                  <c:v>2.1352856875619182</c:v>
                </c:pt>
                <c:pt idx="18">
                  <c:v>1.9791695991996305</c:v>
                </c:pt>
                <c:pt idx="19">
                  <c:v>1.8020402719868562</c:v>
                </c:pt>
                <c:pt idx="20">
                  <c:v>1.6117602171405863</c:v>
                </c:pt>
                <c:pt idx="21">
                  <c:v>1.4160899158428693</c:v>
                </c:pt>
                <c:pt idx="22">
                  <c:v>1.2221814475618349</c:v>
                </c:pt>
                <c:pt idx="23">
                  <c:v>1.0361795155394893</c:v>
                </c:pt>
                <c:pt idx="24">
                  <c:v>0.86295624589274023</c:v>
                </c:pt>
                <c:pt idx="25">
                  <c:v>0.70598749586856657</c:v>
                </c:pt>
                <c:pt idx="26">
                  <c:v>0.56736128870726044</c:v>
                </c:pt>
                <c:pt idx="27">
                  <c:v>0.44789565590637037</c:v>
                </c:pt>
                <c:pt idx="28">
                  <c:v>0.34733492852363645</c:v>
                </c:pt>
                <c:pt idx="29">
                  <c:v>0.26459066996115571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2-40F4-9743-2504A8E9E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CE2-40F4-9743-2504A8E9E008}"/>
              </c:ext>
            </c:extLst>
          </c:dPt>
          <c:cat>
            <c:numRef>
              <c:f>[2]Sta_Mo!$BG$85:$BG$114</c:f>
              <c:numCache>
                <c:formatCode>General</c:formatCode>
                <c:ptCount val="30"/>
                <c:pt idx="0">
                  <c:v>-0.4</c:v>
                </c:pt>
                <c:pt idx="1">
                  <c:v>-0.378</c:v>
                </c:pt>
                <c:pt idx="2">
                  <c:v>-0.35599999999999998</c:v>
                </c:pt>
                <c:pt idx="3">
                  <c:v>-0.33399999999999996</c:v>
                </c:pt>
                <c:pt idx="4">
                  <c:v>-0.31199999999999994</c:v>
                </c:pt>
                <c:pt idx="5">
                  <c:v>-0.28999999999999992</c:v>
                </c:pt>
                <c:pt idx="6">
                  <c:v>-0.2679999999999999</c:v>
                </c:pt>
                <c:pt idx="7">
                  <c:v>-0.24599999999999991</c:v>
                </c:pt>
                <c:pt idx="8">
                  <c:v>-0.22399999999999992</c:v>
                </c:pt>
                <c:pt idx="9">
                  <c:v>-0.20199999999999993</c:v>
                </c:pt>
                <c:pt idx="10">
                  <c:v>-0.17999999999999994</c:v>
                </c:pt>
                <c:pt idx="11">
                  <c:v>-0.15799999999999995</c:v>
                </c:pt>
                <c:pt idx="12">
                  <c:v>-0.13599999999999995</c:v>
                </c:pt>
                <c:pt idx="13">
                  <c:v>-0.11399999999999996</c:v>
                </c:pt>
                <c:pt idx="14">
                  <c:v>-9.1999999999999971E-2</c:v>
                </c:pt>
                <c:pt idx="15">
                  <c:v>-6.9999999999999979E-2</c:v>
                </c:pt>
                <c:pt idx="16">
                  <c:v>-4.799999999999998E-2</c:v>
                </c:pt>
                <c:pt idx="17">
                  <c:v>-2.5999999999999981E-2</c:v>
                </c:pt>
                <c:pt idx="18">
                  <c:v>-3.9999999999999827E-3</c:v>
                </c:pt>
                <c:pt idx="19">
                  <c:v>1.8000000000000016E-2</c:v>
                </c:pt>
                <c:pt idx="20">
                  <c:v>4.0000000000000015E-2</c:v>
                </c:pt>
                <c:pt idx="21">
                  <c:v>6.2000000000000013E-2</c:v>
                </c:pt>
                <c:pt idx="22">
                  <c:v>8.4000000000000019E-2</c:v>
                </c:pt>
                <c:pt idx="23">
                  <c:v>0.10600000000000001</c:v>
                </c:pt>
                <c:pt idx="24">
                  <c:v>0.128</c:v>
                </c:pt>
                <c:pt idx="25">
                  <c:v>0.15</c:v>
                </c:pt>
                <c:pt idx="26">
                  <c:v>0.17199999999999999</c:v>
                </c:pt>
                <c:pt idx="27">
                  <c:v>0.19399999999999998</c:v>
                </c:pt>
                <c:pt idx="28">
                  <c:v>0.21599999999999997</c:v>
                </c:pt>
                <c:pt idx="29">
                  <c:v>0.23799999999999996</c:v>
                </c:pt>
              </c:numCache>
            </c:numRef>
          </c:cat>
          <c:val>
            <c:numRef>
              <c:f>'Sta_Mo '!$BG$146:$BG$175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E2-40F4-9743-2504A8E9E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(%Fe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[2]Sta_Cu!$W$85:$W$114</c:f>
              <c:numCache>
                <c:formatCode>General</c:formatCode>
                <c:ptCount val="30"/>
                <c:pt idx="0">
                  <c:v>1</c:v>
                </c:pt>
                <c:pt idx="1">
                  <c:v>1.08</c:v>
                </c:pt>
                <c:pt idx="2">
                  <c:v>1.1600000000000001</c:v>
                </c:pt>
                <c:pt idx="3">
                  <c:v>1.2400000000000002</c:v>
                </c:pt>
                <c:pt idx="4">
                  <c:v>1.3200000000000003</c:v>
                </c:pt>
                <c:pt idx="5">
                  <c:v>1.4000000000000004</c:v>
                </c:pt>
                <c:pt idx="6">
                  <c:v>1.4800000000000004</c:v>
                </c:pt>
                <c:pt idx="7">
                  <c:v>1.5600000000000005</c:v>
                </c:pt>
                <c:pt idx="8">
                  <c:v>1.6400000000000006</c:v>
                </c:pt>
                <c:pt idx="9">
                  <c:v>1.7200000000000006</c:v>
                </c:pt>
                <c:pt idx="10">
                  <c:v>1.8000000000000007</c:v>
                </c:pt>
                <c:pt idx="11">
                  <c:v>1.8800000000000008</c:v>
                </c:pt>
                <c:pt idx="12">
                  <c:v>1.9600000000000009</c:v>
                </c:pt>
                <c:pt idx="13">
                  <c:v>2.0400000000000009</c:v>
                </c:pt>
                <c:pt idx="14">
                  <c:v>2.120000000000001</c:v>
                </c:pt>
                <c:pt idx="15">
                  <c:v>2.2000000000000011</c:v>
                </c:pt>
                <c:pt idx="16">
                  <c:v>2.2800000000000011</c:v>
                </c:pt>
                <c:pt idx="17">
                  <c:v>2.3600000000000012</c:v>
                </c:pt>
                <c:pt idx="18">
                  <c:v>2.4400000000000013</c:v>
                </c:pt>
                <c:pt idx="19">
                  <c:v>2.5200000000000014</c:v>
                </c:pt>
                <c:pt idx="20">
                  <c:v>2.6000000000000014</c:v>
                </c:pt>
                <c:pt idx="21">
                  <c:v>2.6800000000000015</c:v>
                </c:pt>
                <c:pt idx="22">
                  <c:v>2.7600000000000016</c:v>
                </c:pt>
                <c:pt idx="23">
                  <c:v>2.8400000000000016</c:v>
                </c:pt>
                <c:pt idx="24">
                  <c:v>2.9200000000000017</c:v>
                </c:pt>
                <c:pt idx="25">
                  <c:v>3.0000000000000018</c:v>
                </c:pt>
                <c:pt idx="26">
                  <c:v>3.0800000000000018</c:v>
                </c:pt>
                <c:pt idx="27">
                  <c:v>3.1600000000000019</c:v>
                </c:pt>
                <c:pt idx="28">
                  <c:v>3.240000000000002</c:v>
                </c:pt>
                <c:pt idx="29">
                  <c:v>3.3200000000000021</c:v>
                </c:pt>
              </c:numCache>
            </c:numRef>
          </c:cat>
          <c:val>
            <c:numRef>
              <c:f>'Sta_Mo '!$W$114:$W$143</c:f>
              <c:numCache>
                <c:formatCode>0.00E+00</c:formatCode>
                <c:ptCount val="30"/>
                <c:pt idx="0">
                  <c:v>7.3651297316388513E-5</c:v>
                </c:pt>
                <c:pt idx="1">
                  <c:v>2.4239501815632235E-4</c:v>
                </c:pt>
                <c:pt idx="2">
                  <c:v>7.2991702423295219E-4</c:v>
                </c:pt>
                <c:pt idx="3">
                  <c:v>2.0110821487517938E-3</c:v>
                </c:pt>
                <c:pt idx="4">
                  <c:v>5.0698212066507048E-3</c:v>
                </c:pt>
                <c:pt idx="5">
                  <c:v>1.1693970421216275E-2</c:v>
                </c:pt>
                <c:pt idx="6">
                  <c:v>2.4679585024464757E-2</c:v>
                </c:pt>
                <c:pt idx="7">
                  <c:v>4.765628996833296E-2</c:v>
                </c:pt>
                <c:pt idx="8">
                  <c:v>8.4199424066478415E-2</c:v>
                </c:pt>
                <c:pt idx="9">
                  <c:v>0.13611454220565089</c:v>
                </c:pt>
                <c:pt idx="10">
                  <c:v>0.20132905147705876</c:v>
                </c:pt>
                <c:pt idx="11">
                  <c:v>0.2724676102818116</c:v>
                </c:pt>
                <c:pt idx="12">
                  <c:v>0.33738815601362226</c:v>
                </c:pt>
                <c:pt idx="13">
                  <c:v>0.3822533474067854</c:v>
                </c:pt>
                <c:pt idx="14">
                  <c:v>0.39625912524539264</c:v>
                </c:pt>
                <c:pt idx="15">
                  <c:v>0.37584932134118076</c:v>
                </c:pt>
                <c:pt idx="16">
                  <c:v>0.32617808523739911</c:v>
                </c:pt>
                <c:pt idx="17">
                  <c:v>0.25900151365413504</c:v>
                </c:pt>
                <c:pt idx="18">
                  <c:v>0.18817258025711683</c:v>
                </c:pt>
                <c:pt idx="19">
                  <c:v>0.12508835826773476</c:v>
                </c:pt>
                <c:pt idx="20">
                  <c:v>7.6082357250611743E-2</c:v>
                </c:pt>
                <c:pt idx="21">
                  <c:v>4.234065202943145E-2</c:v>
                </c:pt>
                <c:pt idx="22">
                  <c:v>2.1559448053735494E-2</c:v>
                </c:pt>
                <c:pt idx="23">
                  <c:v>1.0044405782930794E-2</c:v>
                </c:pt>
                <c:pt idx="24">
                  <c:v>4.281711242723466E-3</c:v>
                </c:pt>
                <c:pt idx="25">
                  <c:v>1.6700020942386322E-3</c:v>
                </c:pt>
                <c:pt idx="26">
                  <c:v>5.9596831513387125E-4</c:v>
                </c:pt>
                <c:pt idx="27">
                  <c:v>1.9459686560736099E-4</c:v>
                </c:pt>
                <c:pt idx="28">
                  <c:v>5.8137322322877538E-5</c:v>
                </c:pt>
                <c:pt idx="29">
                  <c:v>1.5892079333486252E-5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D-4312-B473-4F8FD48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9D-4312-B473-4F8FD4801F0F}"/>
              </c:ext>
            </c:extLst>
          </c:dPt>
          <c:cat>
            <c:numRef>
              <c:f>[2]Sta_Mo!$W$85:$W$114</c:f>
              <c:numCache>
                <c:formatCode>General</c:formatCode>
                <c:ptCount val="30"/>
                <c:pt idx="0">
                  <c:v>25</c:v>
                </c:pt>
                <c:pt idx="1">
                  <c:v>25.3</c:v>
                </c:pt>
                <c:pt idx="2">
                  <c:v>25.6</c:v>
                </c:pt>
                <c:pt idx="3">
                  <c:v>25.900000000000002</c:v>
                </c:pt>
                <c:pt idx="4">
                  <c:v>26.200000000000003</c:v>
                </c:pt>
                <c:pt idx="5">
                  <c:v>26.500000000000004</c:v>
                </c:pt>
                <c:pt idx="6">
                  <c:v>26.800000000000004</c:v>
                </c:pt>
                <c:pt idx="7">
                  <c:v>27.100000000000005</c:v>
                </c:pt>
                <c:pt idx="8">
                  <c:v>27.400000000000006</c:v>
                </c:pt>
                <c:pt idx="9">
                  <c:v>27.700000000000006</c:v>
                </c:pt>
                <c:pt idx="10">
                  <c:v>28.000000000000007</c:v>
                </c:pt>
                <c:pt idx="11">
                  <c:v>28.300000000000008</c:v>
                </c:pt>
                <c:pt idx="12">
                  <c:v>28.600000000000009</c:v>
                </c:pt>
                <c:pt idx="13">
                  <c:v>28.900000000000009</c:v>
                </c:pt>
                <c:pt idx="14">
                  <c:v>29.20000000000001</c:v>
                </c:pt>
                <c:pt idx="15">
                  <c:v>29.500000000000011</c:v>
                </c:pt>
                <c:pt idx="16">
                  <c:v>29.800000000000011</c:v>
                </c:pt>
                <c:pt idx="17">
                  <c:v>30.100000000000012</c:v>
                </c:pt>
                <c:pt idx="18">
                  <c:v>30.400000000000013</c:v>
                </c:pt>
                <c:pt idx="19">
                  <c:v>30.700000000000014</c:v>
                </c:pt>
                <c:pt idx="20">
                  <c:v>31.000000000000014</c:v>
                </c:pt>
                <c:pt idx="21">
                  <c:v>31.300000000000015</c:v>
                </c:pt>
                <c:pt idx="22">
                  <c:v>31.600000000000016</c:v>
                </c:pt>
                <c:pt idx="23">
                  <c:v>31.900000000000016</c:v>
                </c:pt>
                <c:pt idx="24">
                  <c:v>32.200000000000017</c:v>
                </c:pt>
                <c:pt idx="25">
                  <c:v>32.500000000000014</c:v>
                </c:pt>
                <c:pt idx="26">
                  <c:v>32.800000000000011</c:v>
                </c:pt>
                <c:pt idx="27">
                  <c:v>33.100000000000009</c:v>
                </c:pt>
                <c:pt idx="28">
                  <c:v>33.400000000000006</c:v>
                </c:pt>
                <c:pt idx="29">
                  <c:v>33.700000000000003</c:v>
                </c:pt>
              </c:numCache>
            </c:numRef>
          </c:cat>
          <c:val>
            <c:numRef>
              <c:f>'Sta_Mo '!$W$146:$W$175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9D-4312-B473-4F8FD48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(%Fe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[2]Sta_Mo!$X$85:$X$114</c:f>
              <c:numCache>
                <c:formatCode>General</c:formatCode>
                <c:ptCount val="30"/>
                <c:pt idx="0">
                  <c:v>25</c:v>
                </c:pt>
                <c:pt idx="1">
                  <c:v>25.3</c:v>
                </c:pt>
                <c:pt idx="2">
                  <c:v>25.6</c:v>
                </c:pt>
                <c:pt idx="3">
                  <c:v>25.900000000000002</c:v>
                </c:pt>
                <c:pt idx="4">
                  <c:v>26.200000000000003</c:v>
                </c:pt>
                <c:pt idx="5">
                  <c:v>26.500000000000004</c:v>
                </c:pt>
                <c:pt idx="6">
                  <c:v>26.800000000000004</c:v>
                </c:pt>
                <c:pt idx="7">
                  <c:v>27.100000000000005</c:v>
                </c:pt>
                <c:pt idx="8">
                  <c:v>27.400000000000006</c:v>
                </c:pt>
                <c:pt idx="9">
                  <c:v>27.700000000000006</c:v>
                </c:pt>
                <c:pt idx="10">
                  <c:v>28.000000000000007</c:v>
                </c:pt>
                <c:pt idx="11">
                  <c:v>28.300000000000008</c:v>
                </c:pt>
                <c:pt idx="12">
                  <c:v>28.600000000000009</c:v>
                </c:pt>
                <c:pt idx="13">
                  <c:v>28.900000000000009</c:v>
                </c:pt>
                <c:pt idx="14">
                  <c:v>29.20000000000001</c:v>
                </c:pt>
                <c:pt idx="15">
                  <c:v>29.500000000000011</c:v>
                </c:pt>
                <c:pt idx="16">
                  <c:v>29.800000000000011</c:v>
                </c:pt>
                <c:pt idx="17">
                  <c:v>30.100000000000012</c:v>
                </c:pt>
                <c:pt idx="18">
                  <c:v>30.400000000000013</c:v>
                </c:pt>
                <c:pt idx="19">
                  <c:v>30.700000000000014</c:v>
                </c:pt>
                <c:pt idx="20">
                  <c:v>31.000000000000014</c:v>
                </c:pt>
                <c:pt idx="21">
                  <c:v>31.300000000000015</c:v>
                </c:pt>
                <c:pt idx="22">
                  <c:v>31.600000000000016</c:v>
                </c:pt>
                <c:pt idx="23">
                  <c:v>31.900000000000016</c:v>
                </c:pt>
                <c:pt idx="24">
                  <c:v>32.200000000000017</c:v>
                </c:pt>
                <c:pt idx="25">
                  <c:v>32.500000000000014</c:v>
                </c:pt>
                <c:pt idx="26">
                  <c:v>32.800000000000011</c:v>
                </c:pt>
                <c:pt idx="27">
                  <c:v>33.100000000000009</c:v>
                </c:pt>
                <c:pt idx="28">
                  <c:v>33.400000000000006</c:v>
                </c:pt>
                <c:pt idx="29">
                  <c:v>33.700000000000003</c:v>
                </c:pt>
              </c:numCache>
            </c:numRef>
          </c:cat>
          <c:val>
            <c:numRef>
              <c:f>'Sta_Mo '!$X$114:$X$143</c:f>
              <c:numCache>
                <c:formatCode>0.00E+00</c:formatCode>
                <c:ptCount val="30"/>
                <c:pt idx="0">
                  <c:v>6.9455516380616212E-14</c:v>
                </c:pt>
                <c:pt idx="1">
                  <c:v>3.7288594644674701E-12</c:v>
                </c:pt>
                <c:pt idx="2">
                  <c:v>1.5068856137645986E-10</c:v>
                </c:pt>
                <c:pt idx="3">
                  <c:v>4.5837355875489672E-9</c:v>
                </c:pt>
                <c:pt idx="4">
                  <c:v>1.0495275130162025E-7</c:v>
                </c:pt>
                <c:pt idx="5">
                  <c:v>1.8088522658854697E-6</c:v>
                </c:pt>
                <c:pt idx="6">
                  <c:v>2.3466448579836276E-5</c:v>
                </c:pt>
                <c:pt idx="7">
                  <c:v>2.2915357558778661E-4</c:v>
                </c:pt>
                <c:pt idx="8">
                  <c:v>1.6843832256040572E-3</c:v>
                </c:pt>
                <c:pt idx="9">
                  <c:v>9.3194477353794498E-3</c:v>
                </c:pt>
                <c:pt idx="10">
                  <c:v>3.8812752800783647E-2</c:v>
                </c:pt>
                <c:pt idx="11">
                  <c:v>0.12167285960838035</c:v>
                </c:pt>
                <c:pt idx="12">
                  <c:v>0.28710977830699508</c:v>
                </c:pt>
                <c:pt idx="13">
                  <c:v>0.50996133842577751</c:v>
                </c:pt>
                <c:pt idx="14">
                  <c:v>0.68180710167127956</c:v>
                </c:pt>
                <c:pt idx="15">
                  <c:v>0.68615271876913098</c:v>
                </c:pt>
                <c:pt idx="16">
                  <c:v>0.51977460406499998</c:v>
                </c:pt>
                <c:pt idx="17">
                  <c:v>0.29637688133504919</c:v>
                </c:pt>
                <c:pt idx="18">
                  <c:v>0.12720629134707082</c:v>
                </c:pt>
                <c:pt idx="19">
                  <c:v>4.1096785929135279E-2</c:v>
                </c:pt>
                <c:pt idx="20">
                  <c:v>9.9940639718726649E-3</c:v>
                </c:pt>
                <c:pt idx="21">
                  <c:v>1.8294114445546231E-3</c:v>
                </c:pt>
                <c:pt idx="22">
                  <c:v>2.5206680580546224E-4</c:v>
                </c:pt>
                <c:pt idx="23">
                  <c:v>2.6142969979355579E-5</c:v>
                </c:pt>
                <c:pt idx="24">
                  <c:v>2.0409350782926149E-6</c:v>
                </c:pt>
                <c:pt idx="25">
                  <c:v>1.1993293332962971E-7</c:v>
                </c:pt>
                <c:pt idx="26">
                  <c:v>5.3049674227839419E-9</c:v>
                </c:pt>
                <c:pt idx="27">
                  <c:v>1.7662899039557513E-10</c:v>
                </c:pt>
                <c:pt idx="28">
                  <c:v>4.4266608693385902E-12</c:v>
                </c:pt>
                <c:pt idx="29">
                  <c:v>8.3507506558301434E-14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2-40AD-9071-0DAEA6B6F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002-40AD-9071-0DAEA6B6FAA0}"/>
              </c:ext>
            </c:extLst>
          </c:dPt>
          <c:cat>
            <c:numRef>
              <c:f>[2]Sta_Mo!$X$85:$X$114</c:f>
              <c:numCache>
                <c:formatCode>General</c:formatCode>
                <c:ptCount val="30"/>
                <c:pt idx="0">
                  <c:v>25</c:v>
                </c:pt>
                <c:pt idx="1">
                  <c:v>25.3</c:v>
                </c:pt>
                <c:pt idx="2">
                  <c:v>25.6</c:v>
                </c:pt>
                <c:pt idx="3">
                  <c:v>25.900000000000002</c:v>
                </c:pt>
                <c:pt idx="4">
                  <c:v>26.200000000000003</c:v>
                </c:pt>
                <c:pt idx="5">
                  <c:v>26.500000000000004</c:v>
                </c:pt>
                <c:pt idx="6">
                  <c:v>26.800000000000004</c:v>
                </c:pt>
                <c:pt idx="7">
                  <c:v>27.100000000000005</c:v>
                </c:pt>
                <c:pt idx="8">
                  <c:v>27.400000000000006</c:v>
                </c:pt>
                <c:pt idx="9">
                  <c:v>27.700000000000006</c:v>
                </c:pt>
                <c:pt idx="10">
                  <c:v>28.000000000000007</c:v>
                </c:pt>
                <c:pt idx="11">
                  <c:v>28.300000000000008</c:v>
                </c:pt>
                <c:pt idx="12">
                  <c:v>28.600000000000009</c:v>
                </c:pt>
                <c:pt idx="13">
                  <c:v>28.900000000000009</c:v>
                </c:pt>
                <c:pt idx="14">
                  <c:v>29.20000000000001</c:v>
                </c:pt>
                <c:pt idx="15">
                  <c:v>29.500000000000011</c:v>
                </c:pt>
                <c:pt idx="16">
                  <c:v>29.800000000000011</c:v>
                </c:pt>
                <c:pt idx="17">
                  <c:v>30.100000000000012</c:v>
                </c:pt>
                <c:pt idx="18">
                  <c:v>30.400000000000013</c:v>
                </c:pt>
                <c:pt idx="19">
                  <c:v>30.700000000000014</c:v>
                </c:pt>
                <c:pt idx="20">
                  <c:v>31.000000000000014</c:v>
                </c:pt>
                <c:pt idx="21">
                  <c:v>31.300000000000015</c:v>
                </c:pt>
                <c:pt idx="22">
                  <c:v>31.600000000000016</c:v>
                </c:pt>
                <c:pt idx="23">
                  <c:v>31.900000000000016</c:v>
                </c:pt>
                <c:pt idx="24">
                  <c:v>32.200000000000017</c:v>
                </c:pt>
                <c:pt idx="25">
                  <c:v>32.500000000000014</c:v>
                </c:pt>
                <c:pt idx="26">
                  <c:v>32.800000000000011</c:v>
                </c:pt>
                <c:pt idx="27">
                  <c:v>33.100000000000009</c:v>
                </c:pt>
                <c:pt idx="28">
                  <c:v>33.400000000000006</c:v>
                </c:pt>
                <c:pt idx="29">
                  <c:v>33.700000000000003</c:v>
                </c:pt>
              </c:numCache>
            </c:numRef>
          </c:cat>
          <c:val>
            <c:numRef>
              <c:f>'Sta_Mo '!$X$146:$X$175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8</c:v>
                </c:pt>
                <c:pt idx="15">
                  <c:v>9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02-40AD-9071-0DAEA6B6F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(%Fe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[2]Sta_Mo!$Y$85:$Y$114</c:f>
              <c:numCache>
                <c:formatCode>General</c:formatCode>
                <c:ptCount val="30"/>
                <c:pt idx="0">
                  <c:v>-3.5</c:v>
                </c:pt>
                <c:pt idx="1">
                  <c:v>-3.25</c:v>
                </c:pt>
                <c:pt idx="2">
                  <c:v>-3</c:v>
                </c:pt>
                <c:pt idx="3">
                  <c:v>-2.75</c:v>
                </c:pt>
                <c:pt idx="4">
                  <c:v>-2.5</c:v>
                </c:pt>
                <c:pt idx="5">
                  <c:v>-2.25</c:v>
                </c:pt>
                <c:pt idx="6">
                  <c:v>-2</c:v>
                </c:pt>
                <c:pt idx="7">
                  <c:v>-1.75</c:v>
                </c:pt>
                <c:pt idx="8">
                  <c:v>-1.5</c:v>
                </c:pt>
                <c:pt idx="9">
                  <c:v>-1.25</c:v>
                </c:pt>
                <c:pt idx="10">
                  <c:v>-1</c:v>
                </c:pt>
                <c:pt idx="11">
                  <c:v>-0.75</c:v>
                </c:pt>
                <c:pt idx="12">
                  <c:v>-0.5</c:v>
                </c:pt>
                <c:pt idx="13">
                  <c:v>-0.25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3</c:v>
                </c:pt>
                <c:pt idx="27">
                  <c:v>3.25</c:v>
                </c:pt>
                <c:pt idx="28">
                  <c:v>3.5</c:v>
                </c:pt>
                <c:pt idx="29">
                  <c:v>3.75</c:v>
                </c:pt>
              </c:numCache>
            </c:numRef>
          </c:cat>
          <c:val>
            <c:numRef>
              <c:f>'Sta_Mo '!$Y$114:$Y$143</c:f>
              <c:numCache>
                <c:formatCode>0.00E+00</c:formatCode>
                <c:ptCount val="30"/>
                <c:pt idx="0">
                  <c:v>1.09053129022758E-2</c:v>
                </c:pt>
                <c:pt idx="1">
                  <c:v>1.7741194829770993E-2</c:v>
                </c:pt>
                <c:pt idx="2">
                  <c:v>2.7781989686248777E-2</c:v>
                </c:pt>
                <c:pt idx="3">
                  <c:v>4.1877386735317518E-2</c:v>
                </c:pt>
                <c:pt idx="4">
                  <c:v>6.0761928038373936E-2</c:v>
                </c:pt>
                <c:pt idx="5">
                  <c:v>8.4863172990016653E-2</c:v>
                </c:pt>
                <c:pt idx="6">
                  <c:v>0.11408872638239786</c:v>
                </c:pt>
                <c:pt idx="7">
                  <c:v>0.14763928882829647</c:v>
                </c:pt>
                <c:pt idx="8">
                  <c:v>0.18390642561080603</c:v>
                </c:pt>
                <c:pt idx="9">
                  <c:v>0.22050965460373331</c:v>
                </c:pt>
                <c:pt idx="10">
                  <c:v>0.25450367673833901</c:v>
                </c:pt>
                <c:pt idx="11">
                  <c:v>0.2827458628997791</c:v>
                </c:pt>
                <c:pt idx="12">
                  <c:v>0.30236686965934884</c:v>
                </c:pt>
                <c:pt idx="13">
                  <c:v>0.3112489499087886</c:v>
                </c:pt>
                <c:pt idx="14">
                  <c:v>0.3084021040996216</c:v>
                </c:pt>
                <c:pt idx="15">
                  <c:v>0.29414570835999521</c:v>
                </c:pt>
                <c:pt idx="16">
                  <c:v>0.27004954300913314</c:v>
                </c:pt>
                <c:pt idx="17">
                  <c:v>0.23864927725511154</c:v>
                </c:pt>
                <c:pt idx="18">
                  <c:v>0.20300771673294007</c:v>
                </c:pt>
                <c:pt idx="19">
                  <c:v>0.16622667438028063</c:v>
                </c:pt>
                <c:pt idx="20">
                  <c:v>0.13101608936866005</c:v>
                </c:pt>
                <c:pt idx="21">
                  <c:v>9.9399521716536612E-2</c:v>
                </c:pt>
                <c:pt idx="22">
                  <c:v>7.259048591558552E-2</c:v>
                </c:pt>
                <c:pt idx="23">
                  <c:v>5.1028271648219201E-2</c:v>
                </c:pt>
                <c:pt idx="24">
                  <c:v>3.452850385867115E-2</c:v>
                </c:pt>
                <c:pt idx="25">
                  <c:v>2.2489531514067081E-2</c:v>
                </c:pt>
                <c:pt idx="26">
                  <c:v>1.4099989951115482E-2</c:v>
                </c:pt>
                <c:pt idx="27">
                  <c:v>8.5092825396660843E-3</c:v>
                </c:pt>
                <c:pt idx="28">
                  <c:v>4.9431390971847863E-3</c:v>
                </c:pt>
                <c:pt idx="29">
                  <c:v>2.7640663587114563E-3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1A-4EF1-A482-B3F5CF6E9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C1A-4EF1-A482-B3F5CF6E904A}"/>
              </c:ext>
            </c:extLst>
          </c:dPt>
          <c:cat>
            <c:numRef>
              <c:f>[2]Sta_Mo!$Y$85:$Y$114</c:f>
              <c:numCache>
                <c:formatCode>General</c:formatCode>
                <c:ptCount val="30"/>
                <c:pt idx="0">
                  <c:v>-3.5</c:v>
                </c:pt>
                <c:pt idx="1">
                  <c:v>-3.25</c:v>
                </c:pt>
                <c:pt idx="2">
                  <c:v>-3</c:v>
                </c:pt>
                <c:pt idx="3">
                  <c:v>-2.75</c:v>
                </c:pt>
                <c:pt idx="4">
                  <c:v>-2.5</c:v>
                </c:pt>
                <c:pt idx="5">
                  <c:v>-2.25</c:v>
                </c:pt>
                <c:pt idx="6">
                  <c:v>-2</c:v>
                </c:pt>
                <c:pt idx="7">
                  <c:v>-1.75</c:v>
                </c:pt>
                <c:pt idx="8">
                  <c:v>-1.5</c:v>
                </c:pt>
                <c:pt idx="9">
                  <c:v>-1.25</c:v>
                </c:pt>
                <c:pt idx="10">
                  <c:v>-1</c:v>
                </c:pt>
                <c:pt idx="11">
                  <c:v>-0.75</c:v>
                </c:pt>
                <c:pt idx="12">
                  <c:v>-0.5</c:v>
                </c:pt>
                <c:pt idx="13">
                  <c:v>-0.25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3</c:v>
                </c:pt>
                <c:pt idx="27">
                  <c:v>3.25</c:v>
                </c:pt>
                <c:pt idx="28">
                  <c:v>3.5</c:v>
                </c:pt>
                <c:pt idx="29">
                  <c:v>3.75</c:v>
                </c:pt>
              </c:numCache>
            </c:numRef>
          </c:cat>
          <c:val>
            <c:numRef>
              <c:f>'Sta_Mo '!$Y$146:$Y$175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1A-4EF1-A482-B3F5CF6E9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(%Fe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[2]Sta_Cu!$W$85:$W$114</c:f>
              <c:numCache>
                <c:formatCode>General</c:formatCode>
                <c:ptCount val="30"/>
                <c:pt idx="0">
                  <c:v>1</c:v>
                </c:pt>
                <c:pt idx="1">
                  <c:v>1.08</c:v>
                </c:pt>
                <c:pt idx="2">
                  <c:v>1.1600000000000001</c:v>
                </c:pt>
                <c:pt idx="3">
                  <c:v>1.2400000000000002</c:v>
                </c:pt>
                <c:pt idx="4">
                  <c:v>1.3200000000000003</c:v>
                </c:pt>
                <c:pt idx="5">
                  <c:v>1.4000000000000004</c:v>
                </c:pt>
                <c:pt idx="6">
                  <c:v>1.4800000000000004</c:v>
                </c:pt>
                <c:pt idx="7">
                  <c:v>1.5600000000000005</c:v>
                </c:pt>
                <c:pt idx="8">
                  <c:v>1.6400000000000006</c:v>
                </c:pt>
                <c:pt idx="9">
                  <c:v>1.7200000000000006</c:v>
                </c:pt>
                <c:pt idx="10">
                  <c:v>1.8000000000000007</c:v>
                </c:pt>
                <c:pt idx="11">
                  <c:v>1.8800000000000008</c:v>
                </c:pt>
                <c:pt idx="12">
                  <c:v>1.9600000000000009</c:v>
                </c:pt>
                <c:pt idx="13">
                  <c:v>2.0400000000000009</c:v>
                </c:pt>
                <c:pt idx="14">
                  <c:v>2.120000000000001</c:v>
                </c:pt>
                <c:pt idx="15">
                  <c:v>2.2000000000000011</c:v>
                </c:pt>
                <c:pt idx="16">
                  <c:v>2.2800000000000011</c:v>
                </c:pt>
                <c:pt idx="17">
                  <c:v>2.3600000000000012</c:v>
                </c:pt>
                <c:pt idx="18">
                  <c:v>2.4400000000000013</c:v>
                </c:pt>
                <c:pt idx="19">
                  <c:v>2.5200000000000014</c:v>
                </c:pt>
                <c:pt idx="20">
                  <c:v>2.6000000000000014</c:v>
                </c:pt>
                <c:pt idx="21">
                  <c:v>2.6800000000000015</c:v>
                </c:pt>
                <c:pt idx="22">
                  <c:v>2.7600000000000016</c:v>
                </c:pt>
                <c:pt idx="23">
                  <c:v>2.8400000000000016</c:v>
                </c:pt>
                <c:pt idx="24">
                  <c:v>2.9200000000000017</c:v>
                </c:pt>
                <c:pt idx="25">
                  <c:v>3.0000000000000018</c:v>
                </c:pt>
                <c:pt idx="26">
                  <c:v>3.0800000000000018</c:v>
                </c:pt>
                <c:pt idx="27">
                  <c:v>3.1600000000000019</c:v>
                </c:pt>
                <c:pt idx="28">
                  <c:v>3.240000000000002</c:v>
                </c:pt>
                <c:pt idx="29">
                  <c:v>3.3200000000000021</c:v>
                </c:pt>
              </c:numCache>
            </c:numRef>
          </c:cat>
          <c:val>
            <c:numRef>
              <c:f>'Sta_Mo '!$BI$114:$BI$143</c:f>
              <c:numCache>
                <c:formatCode>0.00E+00</c:formatCode>
                <c:ptCount val="30"/>
                <c:pt idx="0">
                  <c:v>4.0171617920231081E-5</c:v>
                </c:pt>
                <c:pt idx="1">
                  <c:v>1.2943468026563819E-4</c:v>
                </c:pt>
                <c:pt idx="2">
                  <c:v>3.8495862533807285E-4</c:v>
                </c:pt>
                <c:pt idx="3">
                  <c:v>1.0568406807919253E-3</c:v>
                </c:pt>
                <c:pt idx="4">
                  <c:v>2.6781633172231843E-3</c:v>
                </c:pt>
                <c:pt idx="5">
                  <c:v>6.2646478021075981E-3</c:v>
                </c:pt>
                <c:pt idx="6">
                  <c:v>1.3526590127556382E-2</c:v>
                </c:pt>
                <c:pt idx="7">
                  <c:v>2.6959514617710643E-2</c:v>
                </c:pt>
                <c:pt idx="8">
                  <c:v>4.9598423765686711E-2</c:v>
                </c:pt>
                <c:pt idx="9">
                  <c:v>8.4227856513663088E-2</c:v>
                </c:pt>
                <c:pt idx="10">
                  <c:v>0.13203093235110247</c:v>
                </c:pt>
                <c:pt idx="11">
                  <c:v>0.191041491172631</c:v>
                </c:pt>
                <c:pt idx="12">
                  <c:v>0.25515951989387836</c:v>
                </c:pt>
                <c:pt idx="13">
                  <c:v>0.31457769145942177</c:v>
                </c:pt>
                <c:pt idx="14">
                  <c:v>0.35799431782488977</c:v>
                </c:pt>
                <c:pt idx="15">
                  <c:v>0.37605936956820601</c:v>
                </c:pt>
                <c:pt idx="16">
                  <c:v>0.36464373944285888</c:v>
                </c:pt>
                <c:pt idx="17">
                  <c:v>0.32637221373015474</c:v>
                </c:pt>
                <c:pt idx="18">
                  <c:v>0.26964331680589404</c:v>
                </c:pt>
                <c:pt idx="19">
                  <c:v>0.20563555696199728</c:v>
                </c:pt>
                <c:pt idx="20">
                  <c:v>0.14475675221374332</c:v>
                </c:pt>
                <c:pt idx="21">
                  <c:v>9.4061417067675068E-2</c:v>
                </c:pt>
                <c:pt idx="22">
                  <c:v>5.6417816196297807E-2</c:v>
                </c:pt>
                <c:pt idx="23">
                  <c:v>3.1235833104526982E-2</c:v>
                </c:pt>
                <c:pt idx="24">
                  <c:v>1.5963274566362439E-2</c:v>
                </c:pt>
                <c:pt idx="25">
                  <c:v>7.5304848837956457E-3</c:v>
                </c:pt>
                <c:pt idx="26">
                  <c:v>3.2791098547779638E-3</c:v>
                </c:pt>
                <c:pt idx="27">
                  <c:v>1.3180171442518914E-3</c:v>
                </c:pt>
                <c:pt idx="28">
                  <c:v>4.8901054035649046E-4</c:v>
                </c:pt>
                <c:pt idx="29">
                  <c:v>1.6747402138554682E-4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8-4014-8AD3-DC6D2EA89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378-4014-8AD3-DC6D2EA89BF7}"/>
              </c:ext>
            </c:extLst>
          </c:dPt>
          <c:cat>
            <c:numRef>
              <c:f>[2]Sta_Mo!$BI$85:$BI$114</c:f>
              <c:numCache>
                <c:formatCode>General</c:formatCode>
                <c:ptCount val="30"/>
                <c:pt idx="0">
                  <c:v>25</c:v>
                </c:pt>
                <c:pt idx="1">
                  <c:v>25.3</c:v>
                </c:pt>
                <c:pt idx="2">
                  <c:v>25.6</c:v>
                </c:pt>
                <c:pt idx="3">
                  <c:v>25.900000000000002</c:v>
                </c:pt>
                <c:pt idx="4">
                  <c:v>26.200000000000003</c:v>
                </c:pt>
                <c:pt idx="5">
                  <c:v>26.500000000000004</c:v>
                </c:pt>
                <c:pt idx="6">
                  <c:v>26.800000000000004</c:v>
                </c:pt>
                <c:pt idx="7">
                  <c:v>27.100000000000005</c:v>
                </c:pt>
                <c:pt idx="8">
                  <c:v>27.400000000000006</c:v>
                </c:pt>
                <c:pt idx="9">
                  <c:v>27.700000000000006</c:v>
                </c:pt>
                <c:pt idx="10">
                  <c:v>28.000000000000007</c:v>
                </c:pt>
                <c:pt idx="11">
                  <c:v>28.300000000000008</c:v>
                </c:pt>
                <c:pt idx="12">
                  <c:v>28.600000000000009</c:v>
                </c:pt>
                <c:pt idx="13">
                  <c:v>28.900000000000009</c:v>
                </c:pt>
                <c:pt idx="14">
                  <c:v>29.20000000000001</c:v>
                </c:pt>
                <c:pt idx="15">
                  <c:v>29.500000000000011</c:v>
                </c:pt>
                <c:pt idx="16">
                  <c:v>29.800000000000011</c:v>
                </c:pt>
                <c:pt idx="17">
                  <c:v>30.100000000000012</c:v>
                </c:pt>
                <c:pt idx="18">
                  <c:v>30.400000000000013</c:v>
                </c:pt>
                <c:pt idx="19">
                  <c:v>30.700000000000014</c:v>
                </c:pt>
                <c:pt idx="20">
                  <c:v>31.000000000000014</c:v>
                </c:pt>
                <c:pt idx="21">
                  <c:v>31.300000000000015</c:v>
                </c:pt>
                <c:pt idx="22">
                  <c:v>31.600000000000016</c:v>
                </c:pt>
                <c:pt idx="23">
                  <c:v>31.900000000000016</c:v>
                </c:pt>
                <c:pt idx="24">
                  <c:v>32.200000000000017</c:v>
                </c:pt>
                <c:pt idx="25">
                  <c:v>32.500000000000014</c:v>
                </c:pt>
                <c:pt idx="26">
                  <c:v>32.800000000000011</c:v>
                </c:pt>
                <c:pt idx="27">
                  <c:v>33.100000000000009</c:v>
                </c:pt>
                <c:pt idx="28">
                  <c:v>33.400000000000006</c:v>
                </c:pt>
                <c:pt idx="29">
                  <c:v>33.700000000000003</c:v>
                </c:pt>
              </c:numCache>
            </c:numRef>
          </c:cat>
          <c:val>
            <c:numRef>
              <c:f>'Sta_Mo '!$BI$146:$BI$175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8-4014-8AD3-DC6D2EA89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(%Fe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[2]Sta_Cu!$X$85:$X$114</c:f>
              <c:numCache>
                <c:formatCode>General</c:formatCode>
                <c:ptCount val="30"/>
                <c:pt idx="0">
                  <c:v>1</c:v>
                </c:pt>
                <c:pt idx="1">
                  <c:v>1.07</c:v>
                </c:pt>
                <c:pt idx="2">
                  <c:v>1.1400000000000001</c:v>
                </c:pt>
                <c:pt idx="3">
                  <c:v>1.2100000000000002</c:v>
                </c:pt>
                <c:pt idx="4">
                  <c:v>1.2800000000000002</c:v>
                </c:pt>
                <c:pt idx="5">
                  <c:v>1.3500000000000003</c:v>
                </c:pt>
                <c:pt idx="6">
                  <c:v>1.4200000000000004</c:v>
                </c:pt>
                <c:pt idx="7">
                  <c:v>1.4900000000000004</c:v>
                </c:pt>
                <c:pt idx="8">
                  <c:v>1.5600000000000005</c:v>
                </c:pt>
                <c:pt idx="9">
                  <c:v>1.6300000000000006</c:v>
                </c:pt>
                <c:pt idx="10">
                  <c:v>1.7000000000000006</c:v>
                </c:pt>
                <c:pt idx="11">
                  <c:v>1.7700000000000007</c:v>
                </c:pt>
                <c:pt idx="12">
                  <c:v>1.8400000000000007</c:v>
                </c:pt>
                <c:pt idx="13">
                  <c:v>1.9100000000000008</c:v>
                </c:pt>
                <c:pt idx="14">
                  <c:v>1.9800000000000009</c:v>
                </c:pt>
                <c:pt idx="15">
                  <c:v>2.0500000000000007</c:v>
                </c:pt>
                <c:pt idx="16">
                  <c:v>2.1200000000000006</c:v>
                </c:pt>
                <c:pt idx="17">
                  <c:v>2.1900000000000004</c:v>
                </c:pt>
                <c:pt idx="18">
                  <c:v>2.2600000000000002</c:v>
                </c:pt>
                <c:pt idx="19">
                  <c:v>2.33</c:v>
                </c:pt>
                <c:pt idx="20">
                  <c:v>2.4</c:v>
                </c:pt>
                <c:pt idx="21">
                  <c:v>2.4699999999999998</c:v>
                </c:pt>
                <c:pt idx="22">
                  <c:v>2.5399999999999996</c:v>
                </c:pt>
                <c:pt idx="23">
                  <c:v>2.6099999999999994</c:v>
                </c:pt>
                <c:pt idx="24">
                  <c:v>2.6799999999999993</c:v>
                </c:pt>
                <c:pt idx="25">
                  <c:v>2.7499999999999991</c:v>
                </c:pt>
                <c:pt idx="26">
                  <c:v>2.819999999999999</c:v>
                </c:pt>
                <c:pt idx="27">
                  <c:v>2.8899999999999988</c:v>
                </c:pt>
                <c:pt idx="28">
                  <c:v>2.9599999999999986</c:v>
                </c:pt>
                <c:pt idx="29">
                  <c:v>3.0299999999999985</c:v>
                </c:pt>
              </c:numCache>
            </c:numRef>
          </c:cat>
          <c:val>
            <c:numRef>
              <c:f>'Sta_Mo '!$BJ$114:$BJ$143</c:f>
              <c:numCache>
                <c:formatCode>0.00E+00</c:formatCode>
                <c:ptCount val="30"/>
                <c:pt idx="0">
                  <c:v>1.5609886142446563E-10</c:v>
                </c:pt>
                <c:pt idx="1">
                  <c:v>3.0762720251212461E-9</c:v>
                </c:pt>
                <c:pt idx="2">
                  <c:v>4.8853376119598903E-8</c:v>
                </c:pt>
                <c:pt idx="3">
                  <c:v>6.2518604131491704E-7</c:v>
                </c:pt>
                <c:pt idx="4">
                  <c:v>6.4471653518965963E-6</c:v>
                </c:pt>
                <c:pt idx="5">
                  <c:v>5.3576358233385925E-5</c:v>
                </c:pt>
                <c:pt idx="6">
                  <c:v>3.5877520054669495E-4</c:v>
                </c:pt>
                <c:pt idx="7">
                  <c:v>1.9360496339270749E-3</c:v>
                </c:pt>
                <c:pt idx="8">
                  <c:v>8.418901011679877E-3</c:v>
                </c:pt>
                <c:pt idx="9">
                  <c:v>2.9501164851830054E-2</c:v>
                </c:pt>
                <c:pt idx="10">
                  <c:v>8.330436738741151E-2</c:v>
                </c:pt>
                <c:pt idx="11">
                  <c:v>0.18955760900170762</c:v>
                </c:pt>
                <c:pt idx="12">
                  <c:v>0.34758379326537664</c:v>
                </c:pt>
                <c:pt idx="13">
                  <c:v>0.51359721482006115</c:v>
                </c:pt>
                <c:pt idx="14">
                  <c:v>0.61154813555510734</c:v>
                </c:pt>
                <c:pt idx="15">
                  <c:v>0.58679104578429708</c:v>
                </c:pt>
                <c:pt idx="16">
                  <c:v>0.45371292857712514</c:v>
                </c:pt>
                <c:pt idx="17">
                  <c:v>0.28269861213251563</c:v>
                </c:pt>
                <c:pt idx="18">
                  <c:v>0.1419420401639582</c:v>
                </c:pt>
                <c:pt idx="19">
                  <c:v>5.7430586962983983E-2</c:v>
                </c:pt>
                <c:pt idx="20">
                  <c:v>1.8724934699547207E-2</c:v>
                </c:pt>
                <c:pt idx="21">
                  <c:v>4.9197407037905446E-3</c:v>
                </c:pt>
                <c:pt idx="22">
                  <c:v>1.0416191620515221E-3</c:v>
                </c:pt>
                <c:pt idx="23">
                  <c:v>1.7771355425142318E-4</c:v>
                </c:pt>
                <c:pt idx="24">
                  <c:v>2.4433010965868819E-5</c:v>
                </c:pt>
                <c:pt idx="25">
                  <c:v>2.7069377713348802E-6</c:v>
                </c:pt>
                <c:pt idx="26">
                  <c:v>2.4167092218339521E-7</c:v>
                </c:pt>
                <c:pt idx="27">
                  <c:v>1.7386628376506194E-8</c:v>
                </c:pt>
                <c:pt idx="28">
                  <c:v>1.0079783146011692E-9</c:v>
                </c:pt>
                <c:pt idx="29">
                  <c:v>4.7090342728844411E-11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60-471A-9A70-DBB46ED38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660-471A-9A70-DBB46ED38DC4}"/>
              </c:ext>
            </c:extLst>
          </c:dPt>
          <c:cat>
            <c:numRef>
              <c:f>[2]Sta_Mo!$BJ$85:$BJ$114</c:f>
              <c:numCache>
                <c:formatCode>General</c:formatCode>
                <c:ptCount val="30"/>
                <c:pt idx="0">
                  <c:v>25</c:v>
                </c:pt>
                <c:pt idx="1">
                  <c:v>25.3</c:v>
                </c:pt>
                <c:pt idx="2">
                  <c:v>25.6</c:v>
                </c:pt>
                <c:pt idx="3">
                  <c:v>25.900000000000002</c:v>
                </c:pt>
                <c:pt idx="4">
                  <c:v>26.200000000000003</c:v>
                </c:pt>
                <c:pt idx="5">
                  <c:v>26.500000000000004</c:v>
                </c:pt>
                <c:pt idx="6">
                  <c:v>26.800000000000004</c:v>
                </c:pt>
                <c:pt idx="7">
                  <c:v>27.100000000000005</c:v>
                </c:pt>
                <c:pt idx="8">
                  <c:v>27.400000000000006</c:v>
                </c:pt>
                <c:pt idx="9">
                  <c:v>27.700000000000006</c:v>
                </c:pt>
                <c:pt idx="10">
                  <c:v>28.000000000000007</c:v>
                </c:pt>
                <c:pt idx="11">
                  <c:v>28.300000000000008</c:v>
                </c:pt>
                <c:pt idx="12">
                  <c:v>28.600000000000009</c:v>
                </c:pt>
                <c:pt idx="13">
                  <c:v>28.900000000000009</c:v>
                </c:pt>
                <c:pt idx="14">
                  <c:v>29.20000000000001</c:v>
                </c:pt>
                <c:pt idx="15">
                  <c:v>29.500000000000011</c:v>
                </c:pt>
                <c:pt idx="16">
                  <c:v>29.800000000000011</c:v>
                </c:pt>
                <c:pt idx="17">
                  <c:v>30.100000000000012</c:v>
                </c:pt>
                <c:pt idx="18">
                  <c:v>30.400000000000013</c:v>
                </c:pt>
                <c:pt idx="19">
                  <c:v>30.700000000000014</c:v>
                </c:pt>
                <c:pt idx="20">
                  <c:v>31.000000000000014</c:v>
                </c:pt>
                <c:pt idx="21">
                  <c:v>31.300000000000015</c:v>
                </c:pt>
                <c:pt idx="22">
                  <c:v>31.600000000000016</c:v>
                </c:pt>
                <c:pt idx="23">
                  <c:v>31.900000000000016</c:v>
                </c:pt>
                <c:pt idx="24">
                  <c:v>32.200000000000017</c:v>
                </c:pt>
                <c:pt idx="25">
                  <c:v>32.500000000000014</c:v>
                </c:pt>
                <c:pt idx="26">
                  <c:v>32.800000000000011</c:v>
                </c:pt>
                <c:pt idx="27">
                  <c:v>33.100000000000009</c:v>
                </c:pt>
                <c:pt idx="28">
                  <c:v>33.400000000000006</c:v>
                </c:pt>
                <c:pt idx="29">
                  <c:v>33.700000000000003</c:v>
                </c:pt>
              </c:numCache>
            </c:numRef>
          </c:cat>
          <c:val>
            <c:numRef>
              <c:f>'Sta_Mo '!$BJ$146:$BJ$175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8</c:v>
                </c:pt>
                <c:pt idx="15">
                  <c:v>7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60-471A-9A70-DBB46ED38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COLA ROUGHER - PLANTA DE MOLY (%Fe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[2]Sta_Mo!$Y$85:$Y$114</c:f>
              <c:numCache>
                <c:formatCode>General</c:formatCode>
                <c:ptCount val="30"/>
                <c:pt idx="0">
                  <c:v>-3.5</c:v>
                </c:pt>
                <c:pt idx="1">
                  <c:v>-3.25</c:v>
                </c:pt>
                <c:pt idx="2">
                  <c:v>-3</c:v>
                </c:pt>
                <c:pt idx="3">
                  <c:v>-2.75</c:v>
                </c:pt>
                <c:pt idx="4">
                  <c:v>-2.5</c:v>
                </c:pt>
                <c:pt idx="5">
                  <c:v>-2.25</c:v>
                </c:pt>
                <c:pt idx="6">
                  <c:v>-2</c:v>
                </c:pt>
                <c:pt idx="7">
                  <c:v>-1.75</c:v>
                </c:pt>
                <c:pt idx="8">
                  <c:v>-1.5</c:v>
                </c:pt>
                <c:pt idx="9">
                  <c:v>-1.25</c:v>
                </c:pt>
                <c:pt idx="10">
                  <c:v>-1</c:v>
                </c:pt>
                <c:pt idx="11">
                  <c:v>-0.75</c:v>
                </c:pt>
                <c:pt idx="12">
                  <c:v>-0.5</c:v>
                </c:pt>
                <c:pt idx="13">
                  <c:v>-0.25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3</c:v>
                </c:pt>
                <c:pt idx="27">
                  <c:v>3.25</c:v>
                </c:pt>
                <c:pt idx="28">
                  <c:v>3.5</c:v>
                </c:pt>
                <c:pt idx="29">
                  <c:v>3.75</c:v>
                </c:pt>
              </c:numCache>
            </c:numRef>
          </c:cat>
          <c:val>
            <c:numRef>
              <c:f>'Sta_Mo '!$BK$114:$BK$143</c:f>
              <c:numCache>
                <c:formatCode>0.00E+00</c:formatCode>
                <c:ptCount val="30"/>
                <c:pt idx="0">
                  <c:v>4.1946984053918644E-3</c:v>
                </c:pt>
                <c:pt idx="1">
                  <c:v>7.3217450730489932E-3</c:v>
                </c:pt>
                <c:pt idx="2">
                  <c:v>1.2297234007384875E-2</c:v>
                </c:pt>
                <c:pt idx="3">
                  <c:v>1.9873723456526046E-2</c:v>
                </c:pt>
                <c:pt idx="4">
                  <c:v>3.0905090400625539E-2</c:v>
                </c:pt>
                <c:pt idx="5">
                  <c:v>4.6244465626858897E-2</c:v>
                </c:pt>
                <c:pt idx="6">
                  <c:v>6.6583785653122771E-2</c:v>
                </c:pt>
                <c:pt idx="7">
                  <c:v>9.2247832980832126E-2</c:v>
                </c:pt>
                <c:pt idx="8">
                  <c:v>0.1229766995299498</c:v>
                </c:pt>
                <c:pt idx="9">
                  <c:v>0.15774967191044539</c:v>
                </c:pt>
                <c:pt idx="10">
                  <c:v>0.19471215671655082</c:v>
                </c:pt>
                <c:pt idx="11">
                  <c:v>0.23125793371175127</c:v>
                </c:pt>
                <c:pt idx="12">
                  <c:v>0.26428905962585042</c:v>
                </c:pt>
                <c:pt idx="13">
                  <c:v>0.29063017374769839</c:v>
                </c:pt>
                <c:pt idx="14">
                  <c:v>0.30752553910014052</c:v>
                </c:pt>
                <c:pt idx="15">
                  <c:v>0.31311267361049372</c:v>
                </c:pt>
                <c:pt idx="16">
                  <c:v>0.30676024483478076</c:v>
                </c:pt>
                <c:pt idx="17">
                  <c:v>0.28918547515960324</c:v>
                </c:pt>
                <c:pt idx="18">
                  <c:v>0.26232087200074627</c:v>
                </c:pt>
                <c:pt idx="19">
                  <c:v>0.22896451992601113</c:v>
                </c:pt>
                <c:pt idx="20">
                  <c:v>0.19230142538246586</c:v>
                </c:pt>
                <c:pt idx="21">
                  <c:v>0.15540886475881605</c:v>
                </c:pt>
                <c:pt idx="22">
                  <c:v>0.12085038651302309</c:v>
                </c:pt>
                <c:pt idx="23">
                  <c:v>9.0427238955219189E-2</c:v>
                </c:pt>
                <c:pt idx="24">
                  <c:v>6.5107267469197289E-2</c:v>
                </c:pt>
                <c:pt idx="25">
                  <c:v>4.5106448887215017E-2</c:v>
                </c:pt>
                <c:pt idx="26">
                  <c:v>3.0069539539297148E-2</c:v>
                </c:pt>
                <c:pt idx="27">
                  <c:v>1.9288297190735909E-2</c:v>
                </c:pt>
                <c:pt idx="28">
                  <c:v>1.1905289793811107E-2</c:v>
                </c:pt>
                <c:pt idx="29">
                  <c:v>7.070742551957456E-3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1-4A31-A851-CC1B38970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3F1-4A31-A851-CC1B38970724}"/>
              </c:ext>
            </c:extLst>
          </c:dPt>
          <c:cat>
            <c:numRef>
              <c:f>[2]Sta_Mo!$BK$85:$BK$114</c:f>
              <c:numCache>
                <c:formatCode>General</c:formatCode>
                <c:ptCount val="30"/>
                <c:pt idx="0">
                  <c:v>-3.5</c:v>
                </c:pt>
                <c:pt idx="1">
                  <c:v>-3.25</c:v>
                </c:pt>
                <c:pt idx="2">
                  <c:v>-3</c:v>
                </c:pt>
                <c:pt idx="3">
                  <c:v>-2.75</c:v>
                </c:pt>
                <c:pt idx="4">
                  <c:v>-2.5</c:v>
                </c:pt>
                <c:pt idx="5">
                  <c:v>-2.25</c:v>
                </c:pt>
                <c:pt idx="6">
                  <c:v>-2</c:v>
                </c:pt>
                <c:pt idx="7">
                  <c:v>-1.75</c:v>
                </c:pt>
                <c:pt idx="8">
                  <c:v>-1.5</c:v>
                </c:pt>
                <c:pt idx="9">
                  <c:v>-1.25</c:v>
                </c:pt>
                <c:pt idx="10">
                  <c:v>-1</c:v>
                </c:pt>
                <c:pt idx="11">
                  <c:v>-0.75</c:v>
                </c:pt>
                <c:pt idx="12">
                  <c:v>-0.5</c:v>
                </c:pt>
                <c:pt idx="13">
                  <c:v>-0.25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3</c:v>
                </c:pt>
                <c:pt idx="27">
                  <c:v>3.25</c:v>
                </c:pt>
                <c:pt idx="28">
                  <c:v>3.5</c:v>
                </c:pt>
                <c:pt idx="29">
                  <c:v>3.75</c:v>
                </c:pt>
              </c:numCache>
            </c:numRef>
          </c:cat>
          <c:val>
            <c:numRef>
              <c:f>'Sta_Mo '!$BK$146:$BK$175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F1-4A31-A851-CC1B38970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</a:t>
            </a:r>
            <a:r>
              <a:rPr lang="es-PE" sz="900" b="1" baseline="0">
                <a:solidFill>
                  <a:schemeClr val="tx1"/>
                </a:solidFill>
              </a:rPr>
              <a:t> LIMP.</a:t>
            </a:r>
            <a:r>
              <a:rPr lang="es-PE" sz="900" b="1">
                <a:solidFill>
                  <a:schemeClr val="tx1"/>
                </a:solidFill>
              </a:rPr>
              <a:t> </a:t>
            </a:r>
            <a:r>
              <a:rPr lang="es-PE" sz="900" b="1" baseline="0">
                <a:solidFill>
                  <a:schemeClr val="tx1"/>
                </a:solidFill>
              </a:rPr>
              <a:t>- PLANTA DE MOLY (%Cu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'!$AA$114:$AA$143</c:f>
              <c:numCache>
                <c:formatCode>0.00E+00</c:formatCode>
                <c:ptCount val="30"/>
                <c:pt idx="0">
                  <c:v>3.7937168512094603E-2</c:v>
                </c:pt>
                <c:pt idx="1">
                  <c:v>6.7872457818571971E-2</c:v>
                </c:pt>
                <c:pt idx="2">
                  <c:v>0.11595089754765692</c:v>
                </c:pt>
                <c:pt idx="3">
                  <c:v>0.18915007989340957</c:v>
                </c:pt>
                <c:pt idx="4">
                  <c:v>0.29463939848202353</c:v>
                </c:pt>
                <c:pt idx="5">
                  <c:v>0.43825510656440786</c:v>
                </c:pt>
                <c:pt idx="6">
                  <c:v>0.622465129173979</c:v>
                </c:pt>
                <c:pt idx="7">
                  <c:v>0.84421865505938132</c:v>
                </c:pt>
                <c:pt idx="8">
                  <c:v>1.093318604172312</c:v>
                </c:pt>
                <c:pt idx="9">
                  <c:v>1.3520426998043273</c:v>
                </c:pt>
                <c:pt idx="10">
                  <c:v>1.5965626044399577</c:v>
                </c:pt>
                <c:pt idx="11">
                  <c:v>1.8002522973356758</c:v>
                </c:pt>
                <c:pt idx="12">
                  <c:v>1.9383521070329546</c:v>
                </c:pt>
                <c:pt idx="13">
                  <c:v>1.9928923652662751</c:v>
                </c:pt>
                <c:pt idx="14">
                  <c:v>1.9565317141896963</c:v>
                </c:pt>
                <c:pt idx="15">
                  <c:v>1.8341794204369515</c:v>
                </c:pt>
                <c:pt idx="16">
                  <c:v>1.6419072350061625</c:v>
                </c:pt>
                <c:pt idx="17">
                  <c:v>1.4034834399205223</c:v>
                </c:pt>
                <c:pt idx="18">
                  <c:v>1.1455600099467396</c:v>
                </c:pt>
                <c:pt idx="19">
                  <c:v>0.89285363754880098</c:v>
                </c:pt>
                <c:pt idx="20">
                  <c:v>0.66449937362882949</c:v>
                </c:pt>
                <c:pt idx="21">
                  <c:v>0.47223780908425139</c:v>
                </c:pt>
                <c:pt idx="22">
                  <c:v>0.32046367636215273</c:v>
                </c:pt>
                <c:pt idx="23">
                  <c:v>0.20765803577214659</c:v>
                </c:pt>
                <c:pt idx="24">
                  <c:v>0.12849036081954121</c:v>
                </c:pt>
                <c:pt idx="25">
                  <c:v>7.5917907885273611E-2</c:v>
                </c:pt>
                <c:pt idx="26">
                  <c:v>4.2832141650955724E-2</c:v>
                </c:pt>
                <c:pt idx="27">
                  <c:v>2.3075293019562432E-2</c:v>
                </c:pt>
                <c:pt idx="28">
                  <c:v>1.1870705614194592E-2</c:v>
                </c:pt>
                <c:pt idx="29">
                  <c:v>5.8311970975458557E-3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D-4BB7-941E-2B73D0526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CCD-4BB7-941E-2B73D0526EBB}"/>
              </c:ext>
            </c:extLst>
          </c:dPt>
          <c:cat>
            <c:numRef>
              <c:f>[2]Sta_Mo!$AA$85:$AA$114</c:f>
              <c:numCache>
                <c:formatCode>General</c:formatCode>
                <c:ptCount val="30"/>
                <c:pt idx="0">
                  <c:v>0.1</c:v>
                </c:pt>
                <c:pt idx="1">
                  <c:v>0.14300000000000002</c:v>
                </c:pt>
                <c:pt idx="2">
                  <c:v>0.186</c:v>
                </c:pt>
                <c:pt idx="3">
                  <c:v>0.22899999999999998</c:v>
                </c:pt>
                <c:pt idx="4">
                  <c:v>0.27199999999999996</c:v>
                </c:pt>
                <c:pt idx="5">
                  <c:v>0.31499999999999995</c:v>
                </c:pt>
                <c:pt idx="6">
                  <c:v>0.35799999999999993</c:v>
                </c:pt>
                <c:pt idx="7">
                  <c:v>0.40099999999999991</c:v>
                </c:pt>
                <c:pt idx="8">
                  <c:v>0.44399999999999989</c:v>
                </c:pt>
                <c:pt idx="9">
                  <c:v>0.48699999999999988</c:v>
                </c:pt>
                <c:pt idx="10">
                  <c:v>0.52999999999999992</c:v>
                </c:pt>
                <c:pt idx="11">
                  <c:v>0.57299999999999995</c:v>
                </c:pt>
                <c:pt idx="12">
                  <c:v>0.61599999999999999</c:v>
                </c:pt>
                <c:pt idx="13">
                  <c:v>0.65900000000000003</c:v>
                </c:pt>
                <c:pt idx="14">
                  <c:v>0.70200000000000007</c:v>
                </c:pt>
                <c:pt idx="15">
                  <c:v>0.74500000000000011</c:v>
                </c:pt>
                <c:pt idx="16">
                  <c:v>0.78800000000000014</c:v>
                </c:pt>
                <c:pt idx="17">
                  <c:v>0.83100000000000018</c:v>
                </c:pt>
                <c:pt idx="18">
                  <c:v>0.87400000000000022</c:v>
                </c:pt>
                <c:pt idx="19">
                  <c:v>0.91700000000000026</c:v>
                </c:pt>
                <c:pt idx="20">
                  <c:v>0.9600000000000003</c:v>
                </c:pt>
                <c:pt idx="21">
                  <c:v>1.0030000000000003</c:v>
                </c:pt>
                <c:pt idx="22">
                  <c:v>1.0460000000000003</c:v>
                </c:pt>
                <c:pt idx="23">
                  <c:v>1.0890000000000002</c:v>
                </c:pt>
                <c:pt idx="24">
                  <c:v>1.1320000000000001</c:v>
                </c:pt>
                <c:pt idx="25">
                  <c:v>1.175</c:v>
                </c:pt>
                <c:pt idx="26">
                  <c:v>1.218</c:v>
                </c:pt>
                <c:pt idx="27">
                  <c:v>1.2609999999999999</c:v>
                </c:pt>
                <c:pt idx="28">
                  <c:v>1.3039999999999998</c:v>
                </c:pt>
                <c:pt idx="29">
                  <c:v>1.3469999999999998</c:v>
                </c:pt>
              </c:numCache>
            </c:numRef>
          </c:cat>
          <c:val>
            <c:numRef>
              <c:f>'Sta_Mo '!$AA$146:$AA$175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D-4BB7-941E-2B73D0526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(%Cu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'!$AB$114:$AB$143</c:f>
              <c:numCache>
                <c:formatCode>0.00E+00</c:formatCode>
                <c:ptCount val="30"/>
                <c:pt idx="0">
                  <c:v>1.3706793958761859E-4</c:v>
                </c:pt>
                <c:pt idx="1">
                  <c:v>5.3902484530376365E-4</c:v>
                </c:pt>
                <c:pt idx="2">
                  <c:v>1.916043065441725E-3</c:v>
                </c:pt>
                <c:pt idx="3">
                  <c:v>6.1563787738523551E-3</c:v>
                </c:pt>
                <c:pt idx="4">
                  <c:v>1.7880060400181742E-2</c:v>
                </c:pt>
                <c:pt idx="5">
                  <c:v>4.6939257377347318E-2</c:v>
                </c:pt>
                <c:pt idx="6">
                  <c:v>0.11138508244303115</c:v>
                </c:pt>
                <c:pt idx="7">
                  <c:v>0.23891390693495068</c:v>
                </c:pt>
                <c:pt idx="8">
                  <c:v>0.46321158586159794</c:v>
                </c:pt>
                <c:pt idx="9">
                  <c:v>0.81178492100112287</c:v>
                </c:pt>
                <c:pt idx="10">
                  <c:v>1.2859560617210615</c:v>
                </c:pt>
                <c:pt idx="11">
                  <c:v>1.8413437131856538</c:v>
                </c:pt>
                <c:pt idx="12">
                  <c:v>2.3832367116845372</c:v>
                </c:pt>
                <c:pt idx="13">
                  <c:v>2.7881945916109783</c:v>
                </c:pt>
                <c:pt idx="14">
                  <c:v>2.9485097221938581</c:v>
                </c:pt>
                <c:pt idx="15">
                  <c:v>2.8184194757926604</c:v>
                </c:pt>
                <c:pt idx="16">
                  <c:v>2.435186804406579</c:v>
                </c:pt>
                <c:pt idx="17">
                  <c:v>1.9018773912444451</c:v>
                </c:pt>
                <c:pt idx="18">
                  <c:v>1.3426299573896492</c:v>
                </c:pt>
                <c:pt idx="19">
                  <c:v>0.8567492520562946</c:v>
                </c:pt>
                <c:pt idx="20">
                  <c:v>0.49416811277181355</c:v>
                </c:pt>
                <c:pt idx="21">
                  <c:v>0.25764355672829126</c:v>
                </c:pt>
                <c:pt idx="22">
                  <c:v>0.12141921954434058</c:v>
                </c:pt>
                <c:pt idx="23">
                  <c:v>5.1722459894822756E-2</c:v>
                </c:pt>
                <c:pt idx="24">
                  <c:v>1.9915650191064962E-2</c:v>
                </c:pt>
                <c:pt idx="25">
                  <c:v>6.9315983693917903E-3</c:v>
                </c:pt>
                <c:pt idx="26">
                  <c:v>2.1806997596075573E-3</c:v>
                </c:pt>
                <c:pt idx="27">
                  <c:v>6.2012886088980872E-4</c:v>
                </c:pt>
                <c:pt idx="28">
                  <c:v>1.5940120334143236E-4</c:v>
                </c:pt>
                <c:pt idx="29">
                  <c:v>3.7036064410660374E-5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98-49C8-AF0C-7F4276933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398-49C8-AF0C-7F42769333C5}"/>
              </c:ext>
            </c:extLst>
          </c:dPt>
          <c:cat>
            <c:numRef>
              <c:f>[2]Sta_Mo!$AB$85:$AB$114</c:f>
              <c:numCache>
                <c:formatCode>General</c:formatCode>
                <c:ptCount val="30"/>
                <c:pt idx="0">
                  <c:v>0.1</c:v>
                </c:pt>
                <c:pt idx="1">
                  <c:v>0.14300000000000002</c:v>
                </c:pt>
                <c:pt idx="2">
                  <c:v>0.186</c:v>
                </c:pt>
                <c:pt idx="3">
                  <c:v>0.22899999999999998</c:v>
                </c:pt>
                <c:pt idx="4">
                  <c:v>0.27199999999999996</c:v>
                </c:pt>
                <c:pt idx="5">
                  <c:v>0.31499999999999995</c:v>
                </c:pt>
                <c:pt idx="6">
                  <c:v>0.35799999999999993</c:v>
                </c:pt>
                <c:pt idx="7">
                  <c:v>0.40099999999999991</c:v>
                </c:pt>
                <c:pt idx="8">
                  <c:v>0.44399999999999989</c:v>
                </c:pt>
                <c:pt idx="9">
                  <c:v>0.48699999999999988</c:v>
                </c:pt>
                <c:pt idx="10">
                  <c:v>0.52999999999999992</c:v>
                </c:pt>
                <c:pt idx="11">
                  <c:v>0.57299999999999995</c:v>
                </c:pt>
                <c:pt idx="12">
                  <c:v>0.61599999999999999</c:v>
                </c:pt>
                <c:pt idx="13">
                  <c:v>0.65900000000000003</c:v>
                </c:pt>
                <c:pt idx="14">
                  <c:v>0.70200000000000007</c:v>
                </c:pt>
                <c:pt idx="15">
                  <c:v>0.74500000000000011</c:v>
                </c:pt>
                <c:pt idx="16">
                  <c:v>0.78800000000000014</c:v>
                </c:pt>
                <c:pt idx="17">
                  <c:v>0.83100000000000018</c:v>
                </c:pt>
                <c:pt idx="18">
                  <c:v>0.87400000000000022</c:v>
                </c:pt>
                <c:pt idx="19">
                  <c:v>0.91700000000000026</c:v>
                </c:pt>
                <c:pt idx="20">
                  <c:v>0.9600000000000003</c:v>
                </c:pt>
                <c:pt idx="21">
                  <c:v>1.0030000000000003</c:v>
                </c:pt>
                <c:pt idx="22">
                  <c:v>1.0460000000000003</c:v>
                </c:pt>
                <c:pt idx="23">
                  <c:v>1.0890000000000002</c:v>
                </c:pt>
                <c:pt idx="24">
                  <c:v>1.1320000000000001</c:v>
                </c:pt>
                <c:pt idx="25">
                  <c:v>1.175</c:v>
                </c:pt>
                <c:pt idx="26">
                  <c:v>1.218</c:v>
                </c:pt>
                <c:pt idx="27">
                  <c:v>1.2609999999999999</c:v>
                </c:pt>
                <c:pt idx="28">
                  <c:v>1.3039999999999998</c:v>
                </c:pt>
                <c:pt idx="29">
                  <c:v>1.3469999999999998</c:v>
                </c:pt>
              </c:numCache>
            </c:numRef>
          </c:cat>
          <c:val>
            <c:numRef>
              <c:f>'Sta_Mo '!$AB$146:$AB$175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0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98-49C8-AF0C-7F4276933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(%Cu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'Sta_Mo '!$AC$114:$AC$143</c:f>
              <c:numCache>
                <c:formatCode>0.00E+00</c:formatCode>
                <c:ptCount val="30"/>
                <c:pt idx="0">
                  <c:v>5.4782620036110508E-2</c:v>
                </c:pt>
                <c:pt idx="1">
                  <c:v>9.475878456745733E-2</c:v>
                </c:pt>
                <c:pt idx="2">
                  <c:v>0.15654434437515111</c:v>
                </c:pt>
                <c:pt idx="3">
                  <c:v>0.24699974250627058</c:v>
                </c:pt>
                <c:pt idx="4">
                  <c:v>0.37221754203041918</c:v>
                </c:pt>
                <c:pt idx="5">
                  <c:v>0.53572065507859834</c:v>
                </c:pt>
                <c:pt idx="6">
                  <c:v>0.7364125199938325</c:v>
                </c:pt>
                <c:pt idx="7">
                  <c:v>0.96681894895915399</c:v>
                </c:pt>
                <c:pt idx="8">
                  <c:v>1.2123007164397421</c:v>
                </c:pt>
                <c:pt idx="9">
                  <c:v>1.4518334153800652</c:v>
                </c:pt>
                <c:pt idx="10">
                  <c:v>1.6605976994122085</c:v>
                </c:pt>
                <c:pt idx="11">
                  <c:v>1.8140668780383806</c:v>
                </c:pt>
                <c:pt idx="12">
                  <c:v>1.8927069365710629</c:v>
                </c:pt>
                <c:pt idx="13">
                  <c:v>1.8860563826977468</c:v>
                </c:pt>
                <c:pt idx="14">
                  <c:v>1.7950113019824256</c:v>
                </c:pt>
                <c:pt idx="15">
                  <c:v>1.6316271417614556</c:v>
                </c:pt>
                <c:pt idx="16">
                  <c:v>1.4164976969679117</c:v>
                </c:pt>
                <c:pt idx="17">
                  <c:v>1.1744973530402918</c:v>
                </c:pt>
                <c:pt idx="18">
                  <c:v>0.93009954063076494</c:v>
                </c:pt>
                <c:pt idx="19">
                  <c:v>0.70347397499455055</c:v>
                </c:pt>
                <c:pt idx="20">
                  <c:v>0.50816863802917889</c:v>
                </c:pt>
                <c:pt idx="21">
                  <c:v>0.35059756875036036</c:v>
                </c:pt>
                <c:pt idx="22">
                  <c:v>0.23102084041165413</c:v>
                </c:pt>
                <c:pt idx="23">
                  <c:v>0.14539003350591231</c:v>
                </c:pt>
                <c:pt idx="24">
                  <c:v>8.7389515548420588E-2</c:v>
                </c:pt>
                <c:pt idx="25">
                  <c:v>5.0167821775709831E-2</c:v>
                </c:pt>
                <c:pt idx="26">
                  <c:v>2.7506312705527215E-2</c:v>
                </c:pt>
                <c:pt idx="27">
                  <c:v>1.4403920806968911E-2</c:v>
                </c:pt>
                <c:pt idx="28">
                  <c:v>7.2039433980117008E-3</c:v>
                </c:pt>
                <c:pt idx="29">
                  <c:v>3.4411299754797354E-3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9-4DCE-A25B-551D16C6B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649-4DCE-A25B-551D16C6BE12}"/>
              </c:ext>
            </c:extLst>
          </c:dPt>
          <c:cat>
            <c:numRef>
              <c:f>[2]Sta_Mo!$AC$85:$AC$114</c:f>
              <c:numCache>
                <c:formatCode>General</c:formatCode>
                <c:ptCount val="30"/>
                <c:pt idx="0">
                  <c:v>-0.6</c:v>
                </c:pt>
                <c:pt idx="1">
                  <c:v>-0.55499999999999994</c:v>
                </c:pt>
                <c:pt idx="2">
                  <c:v>-0.5099999999999999</c:v>
                </c:pt>
                <c:pt idx="3">
                  <c:v>-0.46499999999999991</c:v>
                </c:pt>
                <c:pt idx="4">
                  <c:v>-0.41999999999999993</c:v>
                </c:pt>
                <c:pt idx="5">
                  <c:v>-0.37499999999999994</c:v>
                </c:pt>
                <c:pt idx="6">
                  <c:v>-0.32999999999999996</c:v>
                </c:pt>
                <c:pt idx="7">
                  <c:v>-0.28499999999999998</c:v>
                </c:pt>
                <c:pt idx="8">
                  <c:v>-0.24</c:v>
                </c:pt>
                <c:pt idx="9">
                  <c:v>-0.19500000000000001</c:v>
                </c:pt>
                <c:pt idx="10">
                  <c:v>-0.15000000000000002</c:v>
                </c:pt>
                <c:pt idx="11">
                  <c:v>-0.10500000000000002</c:v>
                </c:pt>
                <c:pt idx="12">
                  <c:v>-6.0000000000000026E-2</c:v>
                </c:pt>
                <c:pt idx="13">
                  <c:v>-1.5000000000000027E-2</c:v>
                </c:pt>
                <c:pt idx="14">
                  <c:v>2.9999999999999971E-2</c:v>
                </c:pt>
                <c:pt idx="15">
                  <c:v>7.4999999999999969E-2</c:v>
                </c:pt>
                <c:pt idx="16">
                  <c:v>0.11999999999999997</c:v>
                </c:pt>
                <c:pt idx="17">
                  <c:v>0.16499999999999998</c:v>
                </c:pt>
                <c:pt idx="18">
                  <c:v>0.20999999999999996</c:v>
                </c:pt>
                <c:pt idx="19">
                  <c:v>0.25499999999999995</c:v>
                </c:pt>
                <c:pt idx="20">
                  <c:v>0.29999999999999993</c:v>
                </c:pt>
                <c:pt idx="21">
                  <c:v>0.34499999999999992</c:v>
                </c:pt>
                <c:pt idx="22">
                  <c:v>0.3899999999999999</c:v>
                </c:pt>
                <c:pt idx="23">
                  <c:v>0.43499999999999989</c:v>
                </c:pt>
                <c:pt idx="24">
                  <c:v>0.47999999999999987</c:v>
                </c:pt>
                <c:pt idx="25">
                  <c:v>0.52499999999999991</c:v>
                </c:pt>
                <c:pt idx="26">
                  <c:v>0.56999999999999995</c:v>
                </c:pt>
                <c:pt idx="27">
                  <c:v>0.61499999999999999</c:v>
                </c:pt>
                <c:pt idx="28">
                  <c:v>0.66</c:v>
                </c:pt>
                <c:pt idx="29">
                  <c:v>0.70500000000000007</c:v>
                </c:pt>
              </c:numCache>
            </c:numRef>
          </c:cat>
          <c:val>
            <c:numRef>
              <c:f>'Sta_Mo '!$AC$146:$AC$175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49-4DCE-A25B-551D16C6B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(%Cu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[2]Sta_Cu!$C$85:$C$114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'!$BM$114:$BM$143</c:f>
              <c:numCache>
                <c:formatCode>0.00E+00</c:formatCode>
                <c:ptCount val="30"/>
                <c:pt idx="0">
                  <c:v>0.22369927481793039</c:v>
                </c:pt>
                <c:pt idx="1">
                  <c:v>0.27850184219129326</c:v>
                </c:pt>
                <c:pt idx="2">
                  <c:v>0.34134840079558104</c:v>
                </c:pt>
                <c:pt idx="3">
                  <c:v>0.4118831041747838</c:v>
                </c:pt>
                <c:pt idx="4">
                  <c:v>0.48927878592015495</c:v>
                </c:pt>
                <c:pt idx="5">
                  <c:v>0.57219637131897516</c:v>
                </c:pt>
                <c:pt idx="6">
                  <c:v>0.65877956158714612</c:v>
                </c:pt>
                <c:pt idx="7">
                  <c:v>0.74669189746032927</c:v>
                </c:pt>
                <c:pt idx="8">
                  <c:v>0.83319962319645613</c:v>
                </c:pt>
                <c:pt idx="9">
                  <c:v>0.91529901571268391</c:v>
                </c:pt>
                <c:pt idx="10">
                  <c:v>0.98988155094253061</c:v>
                </c:pt>
                <c:pt idx="11">
                  <c:v>1.0539251521794268</c:v>
                </c:pt>
                <c:pt idx="12">
                  <c:v>1.1046955703481398</c:v>
                </c:pt>
                <c:pt idx="13">
                  <c:v>1.1399393887326112</c:v>
                </c:pt>
                <c:pt idx="14">
                  <c:v>1.1580497369177665</c:v>
                </c:pt>
                <c:pt idx="15">
                  <c:v>1.158187753739115</c:v>
                </c:pt>
                <c:pt idx="16">
                  <c:v>1.1403470125783903</c:v>
                </c:pt>
                <c:pt idx="17">
                  <c:v>1.1053540175317895</c:v>
                </c:pt>
                <c:pt idx="18">
                  <c:v>1.0548047170979475</c:v>
                </c:pt>
                <c:pt idx="19">
                  <c:v>0.99094382749161525</c:v>
                </c:pt>
                <c:pt idx="20">
                  <c:v>0.91649967366476714</c:v>
                </c:pt>
                <c:pt idx="21">
                  <c:v>0.83449146045742972</c:v>
                </c:pt>
                <c:pt idx="22">
                  <c:v>0.74802787715740471</c:v>
                </c:pt>
                <c:pt idx="23">
                  <c:v>0.66011556624241108</c:v>
                </c:pt>
                <c:pt idx="24">
                  <c:v>0.57349345921977768</c:v>
                </c:pt>
                <c:pt idx="25">
                  <c:v>0.49050480764448429</c:v>
                </c:pt>
                <c:pt idx="26">
                  <c:v>0.41301361851849616</c:v>
                </c:pt>
                <c:pt idx="27">
                  <c:v>0.34236690757932153</c:v>
                </c:pt>
                <c:pt idx="28">
                  <c:v>0.27939941495178144</c:v>
                </c:pt>
                <c:pt idx="29">
                  <c:v>0.2244737226831679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5-4DD0-8EB9-6ECD4342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575-4DD0-8EB9-6ECD4342C93A}"/>
              </c:ext>
            </c:extLst>
          </c:dPt>
          <c:cat>
            <c:numRef>
              <c:f>[2]Sta_Mo!$BM$85:$BM$114</c:f>
              <c:numCache>
                <c:formatCode>General</c:formatCode>
                <c:ptCount val="30"/>
                <c:pt idx="0">
                  <c:v>0.1</c:v>
                </c:pt>
                <c:pt idx="1">
                  <c:v>0.14300000000000002</c:v>
                </c:pt>
                <c:pt idx="2">
                  <c:v>0.186</c:v>
                </c:pt>
                <c:pt idx="3">
                  <c:v>0.22899999999999998</c:v>
                </c:pt>
                <c:pt idx="4">
                  <c:v>0.27199999999999996</c:v>
                </c:pt>
                <c:pt idx="5">
                  <c:v>0.31499999999999995</c:v>
                </c:pt>
                <c:pt idx="6">
                  <c:v>0.35799999999999993</c:v>
                </c:pt>
                <c:pt idx="7">
                  <c:v>0.40099999999999991</c:v>
                </c:pt>
                <c:pt idx="8">
                  <c:v>0.44399999999999989</c:v>
                </c:pt>
                <c:pt idx="9">
                  <c:v>0.48699999999999988</c:v>
                </c:pt>
                <c:pt idx="10">
                  <c:v>0.52999999999999992</c:v>
                </c:pt>
                <c:pt idx="11">
                  <c:v>0.57299999999999995</c:v>
                </c:pt>
                <c:pt idx="12">
                  <c:v>0.61599999999999999</c:v>
                </c:pt>
                <c:pt idx="13">
                  <c:v>0.65900000000000003</c:v>
                </c:pt>
                <c:pt idx="14">
                  <c:v>0.70200000000000007</c:v>
                </c:pt>
                <c:pt idx="15">
                  <c:v>0.74500000000000011</c:v>
                </c:pt>
                <c:pt idx="16">
                  <c:v>0.78800000000000014</c:v>
                </c:pt>
                <c:pt idx="17">
                  <c:v>0.83100000000000018</c:v>
                </c:pt>
                <c:pt idx="18">
                  <c:v>0.87400000000000022</c:v>
                </c:pt>
                <c:pt idx="19">
                  <c:v>0.91700000000000026</c:v>
                </c:pt>
                <c:pt idx="20">
                  <c:v>0.9600000000000003</c:v>
                </c:pt>
                <c:pt idx="21">
                  <c:v>1.0030000000000003</c:v>
                </c:pt>
                <c:pt idx="22">
                  <c:v>1.0460000000000003</c:v>
                </c:pt>
                <c:pt idx="23">
                  <c:v>1.0890000000000002</c:v>
                </c:pt>
                <c:pt idx="24">
                  <c:v>1.1320000000000001</c:v>
                </c:pt>
                <c:pt idx="25">
                  <c:v>1.175</c:v>
                </c:pt>
                <c:pt idx="26">
                  <c:v>1.218</c:v>
                </c:pt>
                <c:pt idx="27">
                  <c:v>1.2609999999999999</c:v>
                </c:pt>
                <c:pt idx="28">
                  <c:v>1.3039999999999998</c:v>
                </c:pt>
                <c:pt idx="29">
                  <c:v>1.3469999999999998</c:v>
                </c:pt>
              </c:numCache>
            </c:numRef>
          </c:cat>
          <c:val>
            <c:numRef>
              <c:f>'Sta_Mo '!$BM$146:$BM$175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75-4DD0-8EB9-6ECD4342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(%Cu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[2]Sta_Cu!$D$85:$D$114</c:f>
              <c:numCache>
                <c:formatCode>General</c:formatCode>
                <c:ptCount val="30"/>
                <c:pt idx="0">
                  <c:v>3.3000000000000002E-2</c:v>
                </c:pt>
                <c:pt idx="1">
                  <c:v>6.6000000000000003E-2</c:v>
                </c:pt>
                <c:pt idx="2">
                  <c:v>9.9000000000000005E-2</c:v>
                </c:pt>
                <c:pt idx="3">
                  <c:v>0.13200000000000001</c:v>
                </c:pt>
                <c:pt idx="4">
                  <c:v>0.16500000000000001</c:v>
                </c:pt>
                <c:pt idx="5">
                  <c:v>0.19800000000000001</c:v>
                </c:pt>
                <c:pt idx="6">
                  <c:v>0.23100000000000001</c:v>
                </c:pt>
                <c:pt idx="7">
                  <c:v>0.26400000000000001</c:v>
                </c:pt>
                <c:pt idx="8">
                  <c:v>0.29699999999999999</c:v>
                </c:pt>
                <c:pt idx="9">
                  <c:v>0.33</c:v>
                </c:pt>
                <c:pt idx="10">
                  <c:v>0.36299999999999999</c:v>
                </c:pt>
                <c:pt idx="11">
                  <c:v>0.39600000000000002</c:v>
                </c:pt>
                <c:pt idx="12">
                  <c:v>0.42899999999999999</c:v>
                </c:pt>
                <c:pt idx="13">
                  <c:v>0.46200000000000002</c:v>
                </c:pt>
                <c:pt idx="14">
                  <c:v>0.495</c:v>
                </c:pt>
                <c:pt idx="15">
                  <c:v>0.52800000000000002</c:v>
                </c:pt>
                <c:pt idx="16">
                  <c:v>0.56100000000000005</c:v>
                </c:pt>
                <c:pt idx="17">
                  <c:v>0.59399999999999997</c:v>
                </c:pt>
                <c:pt idx="18">
                  <c:v>0.627</c:v>
                </c:pt>
                <c:pt idx="19">
                  <c:v>0.66</c:v>
                </c:pt>
                <c:pt idx="20">
                  <c:v>0.69299999999999995</c:v>
                </c:pt>
                <c:pt idx="21">
                  <c:v>0.72599999999999998</c:v>
                </c:pt>
                <c:pt idx="22">
                  <c:v>0.75900000000000001</c:v>
                </c:pt>
                <c:pt idx="23">
                  <c:v>0.79200000000000004</c:v>
                </c:pt>
                <c:pt idx="24">
                  <c:v>0.82499999999999996</c:v>
                </c:pt>
                <c:pt idx="25">
                  <c:v>0.85799999999999998</c:v>
                </c:pt>
                <c:pt idx="26">
                  <c:v>0.89100000000000001</c:v>
                </c:pt>
                <c:pt idx="27">
                  <c:v>0.92400000000000004</c:v>
                </c:pt>
                <c:pt idx="28">
                  <c:v>0.95699999999999996</c:v>
                </c:pt>
                <c:pt idx="29">
                  <c:v>0.99</c:v>
                </c:pt>
              </c:numCache>
            </c:numRef>
          </c:cat>
          <c:val>
            <c:numRef>
              <c:f>'Sta_Mo '!$BN$114:$BN$143</c:f>
              <c:numCache>
                <c:formatCode>0.00E+00</c:formatCode>
                <c:ptCount val="30"/>
                <c:pt idx="0">
                  <c:v>3.5520990951008578E-4</c:v>
                </c:pt>
                <c:pt idx="1">
                  <c:v>1.3038462164826402E-3</c:v>
                </c:pt>
                <c:pt idx="2">
                  <c:v>4.3256924968361789E-3</c:v>
                </c:pt>
                <c:pt idx="3">
                  <c:v>1.2970982980714281E-2</c:v>
                </c:pt>
                <c:pt idx="4">
                  <c:v>3.5154272094835001E-2</c:v>
                </c:pt>
                <c:pt idx="5">
                  <c:v>8.6113512541354229E-2</c:v>
                </c:pt>
                <c:pt idx="6">
                  <c:v>0.19065687611443646</c:v>
                </c:pt>
                <c:pt idx="7">
                  <c:v>0.38152378289106015</c:v>
                </c:pt>
                <c:pt idx="8">
                  <c:v>0.69004709573054013</c:v>
                </c:pt>
                <c:pt idx="9">
                  <c:v>1.1280382424979776</c:v>
                </c:pt>
                <c:pt idx="10">
                  <c:v>1.6666979001210671</c:v>
                </c:pt>
                <c:pt idx="11">
                  <c:v>2.225757919687958</c:v>
                </c:pt>
                <c:pt idx="12">
                  <c:v>2.6865005917762792</c:v>
                </c:pt>
                <c:pt idx="13">
                  <c:v>2.9307847825175148</c:v>
                </c:pt>
                <c:pt idx="14">
                  <c:v>2.8898073366014372</c:v>
                </c:pt>
                <c:pt idx="15">
                  <c:v>2.5753830014431167</c:v>
                </c:pt>
                <c:pt idx="16">
                  <c:v>2.0744488674777424</c:v>
                </c:pt>
                <c:pt idx="17">
                  <c:v>1.5102596459903486</c:v>
                </c:pt>
                <c:pt idx="18">
                  <c:v>0.99377593570715783</c:v>
                </c:pt>
                <c:pt idx="19">
                  <c:v>0.5910351473780201</c:v>
                </c:pt>
                <c:pt idx="20">
                  <c:v>0.3177065101781103</c:v>
                </c:pt>
                <c:pt idx="21">
                  <c:v>0.15435720082253895</c:v>
                </c:pt>
                <c:pt idx="22">
                  <c:v>6.7782198126092527E-2</c:v>
                </c:pt>
                <c:pt idx="23">
                  <c:v>2.6902483701932593E-2</c:v>
                </c:pt>
                <c:pt idx="24">
                  <c:v>9.6506614241193885E-3</c:v>
                </c:pt>
                <c:pt idx="25">
                  <c:v>3.1290302091984846E-3</c:v>
                </c:pt>
                <c:pt idx="26">
                  <c:v>9.1696003305071394E-4</c:v>
                </c:pt>
                <c:pt idx="27">
                  <c:v>2.4287288494781128E-4</c:v>
                </c:pt>
                <c:pt idx="28">
                  <c:v>5.8142758245647409E-5</c:v>
                </c:pt>
                <c:pt idx="29">
                  <c:v>1.2580566668084479E-5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18-436A-80D5-1A3A19B1E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818-436A-80D5-1A3A19B1ED8C}"/>
              </c:ext>
            </c:extLst>
          </c:dPt>
          <c:cat>
            <c:numRef>
              <c:f>[2]Sta_Mo!$BN$85:$BN$114</c:f>
              <c:numCache>
                <c:formatCode>General</c:formatCode>
                <c:ptCount val="30"/>
                <c:pt idx="0">
                  <c:v>0.1</c:v>
                </c:pt>
                <c:pt idx="1">
                  <c:v>0.14300000000000002</c:v>
                </c:pt>
                <c:pt idx="2">
                  <c:v>0.186</c:v>
                </c:pt>
                <c:pt idx="3">
                  <c:v>0.22899999999999998</c:v>
                </c:pt>
                <c:pt idx="4">
                  <c:v>0.27199999999999996</c:v>
                </c:pt>
                <c:pt idx="5">
                  <c:v>0.31499999999999995</c:v>
                </c:pt>
                <c:pt idx="6">
                  <c:v>0.35799999999999993</c:v>
                </c:pt>
                <c:pt idx="7">
                  <c:v>0.40099999999999991</c:v>
                </c:pt>
                <c:pt idx="8">
                  <c:v>0.44399999999999989</c:v>
                </c:pt>
                <c:pt idx="9">
                  <c:v>0.48699999999999988</c:v>
                </c:pt>
                <c:pt idx="10">
                  <c:v>0.52999999999999992</c:v>
                </c:pt>
                <c:pt idx="11">
                  <c:v>0.57299999999999995</c:v>
                </c:pt>
                <c:pt idx="12">
                  <c:v>0.61599999999999999</c:v>
                </c:pt>
                <c:pt idx="13">
                  <c:v>0.65900000000000003</c:v>
                </c:pt>
                <c:pt idx="14">
                  <c:v>0.70200000000000007</c:v>
                </c:pt>
                <c:pt idx="15">
                  <c:v>0.74500000000000011</c:v>
                </c:pt>
                <c:pt idx="16">
                  <c:v>0.78800000000000014</c:v>
                </c:pt>
                <c:pt idx="17">
                  <c:v>0.83100000000000018</c:v>
                </c:pt>
                <c:pt idx="18">
                  <c:v>0.87400000000000022</c:v>
                </c:pt>
                <c:pt idx="19">
                  <c:v>0.91700000000000026</c:v>
                </c:pt>
                <c:pt idx="20">
                  <c:v>0.9600000000000003</c:v>
                </c:pt>
                <c:pt idx="21">
                  <c:v>1.0030000000000003</c:v>
                </c:pt>
                <c:pt idx="22">
                  <c:v>1.0460000000000003</c:v>
                </c:pt>
                <c:pt idx="23">
                  <c:v>1.0890000000000002</c:v>
                </c:pt>
                <c:pt idx="24">
                  <c:v>1.1320000000000001</c:v>
                </c:pt>
                <c:pt idx="25">
                  <c:v>1.175</c:v>
                </c:pt>
                <c:pt idx="26">
                  <c:v>1.218</c:v>
                </c:pt>
                <c:pt idx="27">
                  <c:v>1.2609999999999999</c:v>
                </c:pt>
                <c:pt idx="28">
                  <c:v>1.3039999999999998</c:v>
                </c:pt>
                <c:pt idx="29">
                  <c:v>1.3469999999999998</c:v>
                </c:pt>
              </c:numCache>
            </c:numRef>
          </c:cat>
          <c:val>
            <c:numRef>
              <c:f>'Sta_Mo '!$BN$146:$BN$175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18-436A-80D5-1A3A19B1E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(%Cu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[2]Sta_Cu!$E$85:$E$114</c:f>
              <c:numCache>
                <c:formatCode>General</c:formatCode>
                <c:ptCount val="30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</c:numCache>
            </c:numRef>
          </c:cat>
          <c:val>
            <c:numRef>
              <c:f>'Sta_Mo '!$BO$114:$BO$143</c:f>
              <c:numCache>
                <c:formatCode>0.00E+00</c:formatCode>
                <c:ptCount val="30"/>
                <c:pt idx="0">
                  <c:v>0.12187577641767115</c:v>
                </c:pt>
                <c:pt idx="1">
                  <c:v>0.15784276901671115</c:v>
                </c:pt>
                <c:pt idx="2">
                  <c:v>0.20117712734770629</c:v>
                </c:pt>
                <c:pt idx="3">
                  <c:v>0.25233595071426373</c:v>
                </c:pt>
                <c:pt idx="4">
                  <c:v>0.31147720745543911</c:v>
                </c:pt>
                <c:pt idx="5">
                  <c:v>0.37837290636382598</c:v>
                </c:pt>
                <c:pt idx="6">
                  <c:v>0.45233522081541216</c:v>
                </c:pt>
                <c:pt idx="7">
                  <c:v>0.5321663320759864</c:v>
                </c:pt>
                <c:pt idx="8">
                  <c:v>0.61614226502121883</c:v>
                </c:pt>
                <c:pt idx="9">
                  <c:v>0.70203897287494543</c:v>
                </c:pt>
                <c:pt idx="10">
                  <c:v>0.78720539035637571</c:v>
                </c:pt>
                <c:pt idx="11">
                  <c:v>0.86868337912303362</c:v>
                </c:pt>
                <c:pt idx="12">
                  <c:v>0.94336895604781101</c:v>
                </c:pt>
                <c:pt idx="13">
                  <c:v>1.0082036486964254</c:v>
                </c:pt>
                <c:pt idx="14">
                  <c:v>1.0603800901761919</c:v>
                </c:pt>
                <c:pt idx="15">
                  <c:v>1.0975428388158501</c:v>
                </c:pt>
                <c:pt idx="16">
                  <c:v>1.1179644966463096</c:v>
                </c:pt>
                <c:pt idx="17">
                  <c:v>1.1206788064444988</c:v>
                </c:pt>
                <c:pt idx="18">
                  <c:v>1.1055564475874038</c:v>
                </c:pt>
                <c:pt idx="19">
                  <c:v>1.0733152506139276</c:v>
                </c:pt>
                <c:pt idx="20">
                  <c:v>1.0254637069199179</c:v>
                </c:pt>
                <c:pt idx="21">
                  <c:v>0.96418396460531874</c:v>
                </c:pt>
                <c:pt idx="22">
                  <c:v>0.89216694830463472</c:v>
                </c:pt>
                <c:pt idx="23">
                  <c:v>0.81241694190303071</c:v>
                </c:pt>
                <c:pt idx="24">
                  <c:v>0.72804534359149664</c:v>
                </c:pt>
                <c:pt idx="25">
                  <c:v>0.64207313855834169</c:v>
                </c:pt>
                <c:pt idx="26">
                  <c:v>0.55725912654791121</c:v>
                </c:pt>
                <c:pt idx="27">
                  <c:v>0.47596661762843584</c:v>
                </c:pt>
                <c:pt idx="28">
                  <c:v>0.40007592136514308</c:v>
                </c:pt>
                <c:pt idx="29">
                  <c:v>0.33094433375885612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8-42B1-AED0-19D3450EC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B58-42B1-AED0-19D3450ECE37}"/>
              </c:ext>
            </c:extLst>
          </c:dPt>
          <c:cat>
            <c:numRef>
              <c:f>[2]Sta_Mo!$BO$85:$BO$114</c:f>
              <c:numCache>
                <c:formatCode>General</c:formatCode>
                <c:ptCount val="30"/>
                <c:pt idx="0">
                  <c:v>-0.7</c:v>
                </c:pt>
                <c:pt idx="1">
                  <c:v>-0.65499999999999992</c:v>
                </c:pt>
                <c:pt idx="2">
                  <c:v>-0.60999999999999988</c:v>
                </c:pt>
                <c:pt idx="3">
                  <c:v>-0.56499999999999984</c:v>
                </c:pt>
                <c:pt idx="4">
                  <c:v>-0.5199999999999998</c:v>
                </c:pt>
                <c:pt idx="5">
                  <c:v>-0.47499999999999981</c:v>
                </c:pt>
                <c:pt idx="6">
                  <c:v>-0.42999999999999983</c:v>
                </c:pt>
                <c:pt idx="7">
                  <c:v>-0.38499999999999984</c:v>
                </c:pt>
                <c:pt idx="8">
                  <c:v>-0.33999999999999986</c:v>
                </c:pt>
                <c:pt idx="9">
                  <c:v>-0.29499999999999987</c:v>
                </c:pt>
                <c:pt idx="10">
                  <c:v>-0.24999999999999989</c:v>
                </c:pt>
                <c:pt idx="11">
                  <c:v>-0.2049999999999999</c:v>
                </c:pt>
                <c:pt idx="12">
                  <c:v>-0.15999999999999992</c:v>
                </c:pt>
                <c:pt idx="13">
                  <c:v>-0.11499999999999992</c:v>
                </c:pt>
                <c:pt idx="14">
                  <c:v>-6.9999999999999923E-2</c:v>
                </c:pt>
                <c:pt idx="15">
                  <c:v>-2.4999999999999925E-2</c:v>
                </c:pt>
                <c:pt idx="16">
                  <c:v>2.0000000000000073E-2</c:v>
                </c:pt>
                <c:pt idx="17">
                  <c:v>6.5000000000000072E-2</c:v>
                </c:pt>
                <c:pt idx="18">
                  <c:v>0.11000000000000007</c:v>
                </c:pt>
                <c:pt idx="19">
                  <c:v>0.15500000000000008</c:v>
                </c:pt>
                <c:pt idx="20">
                  <c:v>0.20000000000000007</c:v>
                </c:pt>
                <c:pt idx="21">
                  <c:v>0.24500000000000005</c:v>
                </c:pt>
                <c:pt idx="22">
                  <c:v>0.29000000000000004</c:v>
                </c:pt>
                <c:pt idx="23">
                  <c:v>0.33500000000000002</c:v>
                </c:pt>
                <c:pt idx="24">
                  <c:v>0.38</c:v>
                </c:pt>
                <c:pt idx="25">
                  <c:v>0.42499999999999999</c:v>
                </c:pt>
                <c:pt idx="26">
                  <c:v>0.47</c:v>
                </c:pt>
                <c:pt idx="27">
                  <c:v>0.51500000000000001</c:v>
                </c:pt>
                <c:pt idx="28">
                  <c:v>0.56000000000000005</c:v>
                </c:pt>
                <c:pt idx="29">
                  <c:v>0.60500000000000009</c:v>
                </c:pt>
              </c:numCache>
            </c:numRef>
          </c:cat>
          <c:val>
            <c:numRef>
              <c:f>'Sta_Mo '!$BO$146:$BO$175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58-42B1-AED0-19D3450EC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tickMarkSkip val="1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(%Mo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'!$AE$114:$AE$143</c:f>
              <c:numCache>
                <c:formatCode>0.00E+00</c:formatCode>
                <c:ptCount val="30"/>
                <c:pt idx="0">
                  <c:v>1.052374041791823E-23</c:v>
                </c:pt>
                <c:pt idx="1">
                  <c:v>3.0437956446442297E-21</c:v>
                </c:pt>
                <c:pt idx="2">
                  <c:v>6.3463658174979049E-19</c:v>
                </c:pt>
                <c:pt idx="3">
                  <c:v>9.5389145769367377E-17</c:v>
                </c:pt>
                <c:pt idx="4">
                  <c:v>1.0335632615871164E-14</c:v>
                </c:pt>
                <c:pt idx="5">
                  <c:v>8.0730829451286434E-13</c:v>
                </c:pt>
                <c:pt idx="6">
                  <c:v>4.5457548633836344E-11</c:v>
                </c:pt>
                <c:pt idx="7">
                  <c:v>1.8451720020880913E-9</c:v>
                </c:pt>
                <c:pt idx="8">
                  <c:v>5.3992314760944779E-8</c:v>
                </c:pt>
                <c:pt idx="9">
                  <c:v>1.1389149254644316E-6</c:v>
                </c:pt>
                <c:pt idx="10">
                  <c:v>1.7318683220322107E-5</c:v>
                </c:pt>
                <c:pt idx="11">
                  <c:v>1.8984654562237193E-4</c:v>
                </c:pt>
                <c:pt idx="12">
                  <c:v>1.500219398253423E-3</c:v>
                </c:pt>
                <c:pt idx="13">
                  <c:v>8.5461616025619084E-3</c:v>
                </c:pt>
                <c:pt idx="14">
                  <c:v>3.5095519186162327E-2</c:v>
                </c:pt>
                <c:pt idx="15">
                  <c:v>0.10389544054348297</c:v>
                </c:pt>
                <c:pt idx="16">
                  <c:v>0.2217203487331684</c:v>
                </c:pt>
                <c:pt idx="17">
                  <c:v>0.34109775711807655</c:v>
                </c:pt>
                <c:pt idx="18">
                  <c:v>0.37828264855694865</c:v>
                </c:pt>
                <c:pt idx="19">
                  <c:v>0.30242537312197049</c:v>
                </c:pt>
                <c:pt idx="20">
                  <c:v>0.17429473799252604</c:v>
                </c:pt>
                <c:pt idx="21">
                  <c:v>7.2412672018831031E-2</c:v>
                </c:pt>
                <c:pt idx="22">
                  <c:v>2.1687481276984274E-2</c:v>
                </c:pt>
                <c:pt idx="23">
                  <c:v>4.6823934962220287E-3</c:v>
                </c:pt>
                <c:pt idx="24">
                  <c:v>7.2877076975494501E-4</c:v>
                </c:pt>
                <c:pt idx="25">
                  <c:v>8.1767031113502405E-5</c:v>
                </c:pt>
                <c:pt idx="26">
                  <c:v>6.6134756649925906E-6</c:v>
                </c:pt>
                <c:pt idx="27">
                  <c:v>3.856075576183926E-7</c:v>
                </c:pt>
                <c:pt idx="28">
                  <c:v>1.6207855687198606E-8</c:v>
                </c:pt>
                <c:pt idx="29">
                  <c:v>4.9109988423162923E-10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B-40F6-BA6C-DF77005C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A5B-40F6-BA6C-DF77005CAC33}"/>
              </c:ext>
            </c:extLst>
          </c:dPt>
          <c:cat>
            <c:numRef>
              <c:f>[2]Sta_Mo!$AE$85:$AE$114</c:f>
              <c:numCache>
                <c:formatCode>General</c:formatCode>
                <c:ptCount val="30"/>
                <c:pt idx="0">
                  <c:v>46</c:v>
                </c:pt>
                <c:pt idx="1">
                  <c:v>46.6</c:v>
                </c:pt>
                <c:pt idx="2">
                  <c:v>47.2</c:v>
                </c:pt>
                <c:pt idx="3">
                  <c:v>47.800000000000004</c:v>
                </c:pt>
                <c:pt idx="4">
                  <c:v>48.400000000000006</c:v>
                </c:pt>
                <c:pt idx="5">
                  <c:v>49.000000000000007</c:v>
                </c:pt>
                <c:pt idx="6">
                  <c:v>49.600000000000009</c:v>
                </c:pt>
                <c:pt idx="7">
                  <c:v>50.20000000000001</c:v>
                </c:pt>
                <c:pt idx="8">
                  <c:v>50.800000000000011</c:v>
                </c:pt>
                <c:pt idx="9">
                  <c:v>51.400000000000013</c:v>
                </c:pt>
                <c:pt idx="10">
                  <c:v>52.000000000000014</c:v>
                </c:pt>
                <c:pt idx="11">
                  <c:v>52.600000000000016</c:v>
                </c:pt>
                <c:pt idx="12">
                  <c:v>53.200000000000017</c:v>
                </c:pt>
                <c:pt idx="13">
                  <c:v>53.800000000000018</c:v>
                </c:pt>
                <c:pt idx="14">
                  <c:v>54.40000000000002</c:v>
                </c:pt>
                <c:pt idx="15">
                  <c:v>55.000000000000021</c:v>
                </c:pt>
                <c:pt idx="16">
                  <c:v>55.600000000000023</c:v>
                </c:pt>
                <c:pt idx="17">
                  <c:v>56.200000000000024</c:v>
                </c:pt>
                <c:pt idx="18">
                  <c:v>56.800000000000026</c:v>
                </c:pt>
                <c:pt idx="19">
                  <c:v>57.400000000000027</c:v>
                </c:pt>
                <c:pt idx="20">
                  <c:v>58.000000000000028</c:v>
                </c:pt>
                <c:pt idx="21">
                  <c:v>58.60000000000003</c:v>
                </c:pt>
                <c:pt idx="22">
                  <c:v>59.200000000000031</c:v>
                </c:pt>
                <c:pt idx="23">
                  <c:v>59.800000000000033</c:v>
                </c:pt>
                <c:pt idx="24">
                  <c:v>60.400000000000034</c:v>
                </c:pt>
                <c:pt idx="25">
                  <c:v>61.000000000000036</c:v>
                </c:pt>
                <c:pt idx="26">
                  <c:v>61.600000000000037</c:v>
                </c:pt>
                <c:pt idx="27">
                  <c:v>62.200000000000038</c:v>
                </c:pt>
                <c:pt idx="28">
                  <c:v>62.80000000000004</c:v>
                </c:pt>
                <c:pt idx="29">
                  <c:v>63.400000000000041</c:v>
                </c:pt>
              </c:numCache>
            </c:numRef>
          </c:cat>
          <c:val>
            <c:numRef>
              <c:f>'Sta_Mo '!$AE$146:$AE$175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8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5B-40F6-BA6C-DF77005C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(%Mo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'!$AF$114:$AF$143</c:f>
              <c:numCache>
                <c:formatCode>0.00E+00</c:formatCode>
                <c:ptCount val="30"/>
                <c:pt idx="0">
                  <c:v>1.5719514824467038E-38</c:v>
                </c:pt>
                <c:pt idx="1">
                  <c:v>4.1559955685324971E-34</c:v>
                </c:pt>
                <c:pt idx="2">
                  <c:v>5.8046770198368875E-30</c:v>
                </c:pt>
                <c:pt idx="3">
                  <c:v>4.2830001560871589E-26</c:v>
                </c:pt>
                <c:pt idx="4">
                  <c:v>1.6694951681231609E-22</c:v>
                </c:pt>
                <c:pt idx="5">
                  <c:v>3.4378687214751571E-19</c:v>
                </c:pt>
                <c:pt idx="6">
                  <c:v>3.739904021948595E-16</c:v>
                </c:pt>
                <c:pt idx="7">
                  <c:v>2.1493080792376519E-13</c:v>
                </c:pt>
                <c:pt idx="8">
                  <c:v>6.5253518120599129E-11</c:v>
                </c:pt>
                <c:pt idx="9">
                  <c:v>1.046589173304454E-8</c:v>
                </c:pt>
                <c:pt idx="10">
                  <c:v>8.867793881916951E-7</c:v>
                </c:pt>
                <c:pt idx="11">
                  <c:v>3.9693737047559372E-5</c:v>
                </c:pt>
                <c:pt idx="12">
                  <c:v>9.3863216538164198E-4</c:v>
                </c:pt>
                <c:pt idx="13">
                  <c:v>1.1725622900168688E-2</c:v>
                </c:pt>
                <c:pt idx="14">
                  <c:v>7.738262525739463E-2</c:v>
                </c:pt>
                <c:pt idx="15">
                  <c:v>0.26978515058851466</c:v>
                </c:pt>
                <c:pt idx="16">
                  <c:v>0.49688932897931343</c:v>
                </c:pt>
                <c:pt idx="17">
                  <c:v>0.48346867949129191</c:v>
                </c:pt>
                <c:pt idx="18">
                  <c:v>0.24851011187015937</c:v>
                </c:pt>
                <c:pt idx="19">
                  <c:v>6.7481826862839031E-2</c:v>
                </c:pt>
                <c:pt idx="20">
                  <c:v>9.6804744640153224E-3</c:v>
                </c:pt>
                <c:pt idx="21">
                  <c:v>7.3362395196984289E-4</c:v>
                </c:pt>
                <c:pt idx="22">
                  <c:v>2.9370910273782263E-5</c:v>
                </c:pt>
                <c:pt idx="23">
                  <c:v>6.2119558009189972E-7</c:v>
                </c:pt>
                <c:pt idx="24">
                  <c:v>6.9407492279560315E-9</c:v>
                </c:pt>
                <c:pt idx="25">
                  <c:v>4.0968625720328468E-11</c:v>
                </c:pt>
                <c:pt idx="26">
                  <c:v>1.2775075762954901E-13</c:v>
                </c:pt>
                <c:pt idx="27">
                  <c:v>2.1044694175803728E-16</c:v>
                </c:pt>
                <c:pt idx="28">
                  <c:v>1.8314235710884109E-19</c:v>
                </c:pt>
                <c:pt idx="29">
                  <c:v>8.4198048534394129E-23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0-418E-ADA3-2EF29540E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8A0-418E-ADA3-2EF29540EBE6}"/>
              </c:ext>
            </c:extLst>
          </c:dPt>
          <c:cat>
            <c:numRef>
              <c:f>[2]Sta_Mo!$AF$85:$AF$114</c:f>
              <c:numCache>
                <c:formatCode>General</c:formatCode>
                <c:ptCount val="30"/>
                <c:pt idx="0">
                  <c:v>46</c:v>
                </c:pt>
                <c:pt idx="1">
                  <c:v>46.6</c:v>
                </c:pt>
                <c:pt idx="2">
                  <c:v>47.2</c:v>
                </c:pt>
                <c:pt idx="3">
                  <c:v>47.800000000000004</c:v>
                </c:pt>
                <c:pt idx="4">
                  <c:v>48.400000000000006</c:v>
                </c:pt>
                <c:pt idx="5">
                  <c:v>49.000000000000007</c:v>
                </c:pt>
                <c:pt idx="6">
                  <c:v>49.600000000000009</c:v>
                </c:pt>
                <c:pt idx="7">
                  <c:v>50.20000000000001</c:v>
                </c:pt>
                <c:pt idx="8">
                  <c:v>50.800000000000011</c:v>
                </c:pt>
                <c:pt idx="9">
                  <c:v>51.400000000000013</c:v>
                </c:pt>
                <c:pt idx="10">
                  <c:v>52.000000000000014</c:v>
                </c:pt>
                <c:pt idx="11">
                  <c:v>52.600000000000016</c:v>
                </c:pt>
                <c:pt idx="12">
                  <c:v>53.200000000000017</c:v>
                </c:pt>
                <c:pt idx="13">
                  <c:v>53.800000000000018</c:v>
                </c:pt>
                <c:pt idx="14">
                  <c:v>54.40000000000002</c:v>
                </c:pt>
                <c:pt idx="15">
                  <c:v>55.000000000000021</c:v>
                </c:pt>
                <c:pt idx="16">
                  <c:v>55.600000000000023</c:v>
                </c:pt>
                <c:pt idx="17">
                  <c:v>56.200000000000024</c:v>
                </c:pt>
                <c:pt idx="18">
                  <c:v>56.800000000000026</c:v>
                </c:pt>
                <c:pt idx="19">
                  <c:v>57.400000000000027</c:v>
                </c:pt>
                <c:pt idx="20">
                  <c:v>58.000000000000028</c:v>
                </c:pt>
                <c:pt idx="21">
                  <c:v>58.60000000000003</c:v>
                </c:pt>
                <c:pt idx="22">
                  <c:v>59.200000000000031</c:v>
                </c:pt>
                <c:pt idx="23">
                  <c:v>59.800000000000033</c:v>
                </c:pt>
                <c:pt idx="24">
                  <c:v>60.400000000000034</c:v>
                </c:pt>
                <c:pt idx="25">
                  <c:v>61.000000000000036</c:v>
                </c:pt>
                <c:pt idx="26">
                  <c:v>61.600000000000037</c:v>
                </c:pt>
                <c:pt idx="27">
                  <c:v>62.200000000000038</c:v>
                </c:pt>
                <c:pt idx="28">
                  <c:v>62.80000000000004</c:v>
                </c:pt>
                <c:pt idx="29">
                  <c:v>63.400000000000041</c:v>
                </c:pt>
              </c:numCache>
            </c:numRef>
          </c:cat>
          <c:val>
            <c:numRef>
              <c:f>'Sta_Mo '!$AF$146:$AF$175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7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A0-418E-ADA3-2EF29540E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(%Mo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'Sta_Mo '!$AG$114:$AG$143</c:f>
              <c:numCache>
                <c:formatCode>0.00E+00</c:formatCode>
                <c:ptCount val="30"/>
                <c:pt idx="0">
                  <c:v>3.2957999111882825E-11</c:v>
                </c:pt>
                <c:pt idx="1">
                  <c:v>5.7449606783320338E-10</c:v>
                </c:pt>
                <c:pt idx="2">
                  <c:v>8.2903722034687071E-9</c:v>
                </c:pt>
                <c:pt idx="3">
                  <c:v>9.904253401590078E-8</c:v>
                </c:pt>
                <c:pt idx="4">
                  <c:v>9.7955810712954573E-7</c:v>
                </c:pt>
                <c:pt idx="5">
                  <c:v>8.0204624355725916E-6</c:v>
                </c:pt>
                <c:pt idx="6">
                  <c:v>5.4366247843180333E-5</c:v>
                </c:pt>
                <c:pt idx="7">
                  <c:v>3.050844398036423E-4</c:v>
                </c:pt>
                <c:pt idx="8">
                  <c:v>1.4173317009830038E-3</c:v>
                </c:pt>
                <c:pt idx="9">
                  <c:v>5.4510942329486873E-3</c:v>
                </c:pt>
                <c:pt idx="10">
                  <c:v>1.7356279060711747E-2</c:v>
                </c:pt>
                <c:pt idx="11">
                  <c:v>4.5749916372101511E-2</c:v>
                </c:pt>
                <c:pt idx="12">
                  <c:v>9.9835438678147231E-2</c:v>
                </c:pt>
                <c:pt idx="13">
                  <c:v>0.18035986532596776</c:v>
                </c:pt>
                <c:pt idx="14">
                  <c:v>0.2697465009437629</c:v>
                </c:pt>
                <c:pt idx="15">
                  <c:v>0.33398924585448581</c:v>
                </c:pt>
                <c:pt idx="16">
                  <c:v>0.34234965313651194</c:v>
                </c:pt>
                <c:pt idx="17">
                  <c:v>0.29051465614655808</c:v>
                </c:pt>
                <c:pt idx="18">
                  <c:v>0.20409245392272224</c:v>
                </c:pt>
                <c:pt idx="19">
                  <c:v>0.11869887252143213</c:v>
                </c:pt>
                <c:pt idx="20">
                  <c:v>5.715141477893184E-2</c:v>
                </c:pt>
                <c:pt idx="21">
                  <c:v>2.2780755534730336E-2</c:v>
                </c:pt>
                <c:pt idx="22">
                  <c:v>7.5174406335784495E-3</c:v>
                </c:pt>
                <c:pt idx="23">
                  <c:v>2.0536793505906343E-3</c:v>
                </c:pt>
                <c:pt idx="24">
                  <c:v>4.6446822801148393E-4</c:v>
                </c:pt>
                <c:pt idx="25">
                  <c:v>8.6964125112116809E-5</c:v>
                </c:pt>
                <c:pt idx="26">
                  <c:v>1.3479848112119317E-5</c:v>
                </c:pt>
                <c:pt idx="27">
                  <c:v>1.7297789626469816E-6</c:v>
                </c:pt>
                <c:pt idx="28">
                  <c:v>1.8376253317328312E-7</c:v>
                </c:pt>
                <c:pt idx="29">
                  <c:v>1.616158954316766E-8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6-41CA-B32F-B97B594DF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4A6-41CA-B32F-B97B594DFB7D}"/>
              </c:ext>
            </c:extLst>
          </c:dPt>
          <c:cat>
            <c:numRef>
              <c:f>[2]Sta_Mo!$AG$85:$AG$114</c:f>
              <c:numCache>
                <c:formatCode>General</c:formatCode>
                <c:ptCount val="30"/>
                <c:pt idx="0">
                  <c:v>-7</c:v>
                </c:pt>
                <c:pt idx="1">
                  <c:v>-6.5</c:v>
                </c:pt>
                <c:pt idx="2">
                  <c:v>-6</c:v>
                </c:pt>
                <c:pt idx="3">
                  <c:v>-5.5</c:v>
                </c:pt>
                <c:pt idx="4">
                  <c:v>-5</c:v>
                </c:pt>
                <c:pt idx="5">
                  <c:v>-4.5</c:v>
                </c:pt>
                <c:pt idx="6">
                  <c:v>-4</c:v>
                </c:pt>
                <c:pt idx="7">
                  <c:v>-3.5</c:v>
                </c:pt>
                <c:pt idx="8">
                  <c:v>-3</c:v>
                </c:pt>
                <c:pt idx="9">
                  <c:v>-2.5</c:v>
                </c:pt>
                <c:pt idx="10">
                  <c:v>-2</c:v>
                </c:pt>
                <c:pt idx="11">
                  <c:v>-1.5</c:v>
                </c:pt>
                <c:pt idx="12">
                  <c:v>-1</c:v>
                </c:pt>
                <c:pt idx="13">
                  <c:v>-0.5</c:v>
                </c:pt>
                <c:pt idx="14">
                  <c:v>0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>
                  <c:v>3.5</c:v>
                </c:pt>
                <c:pt idx="22">
                  <c:v>4</c:v>
                </c:pt>
                <c:pt idx="23">
                  <c:v>4.5</c:v>
                </c:pt>
                <c:pt idx="24">
                  <c:v>5</c:v>
                </c:pt>
                <c:pt idx="25">
                  <c:v>5.5</c:v>
                </c:pt>
                <c:pt idx="26">
                  <c:v>6</c:v>
                </c:pt>
                <c:pt idx="27">
                  <c:v>6.5</c:v>
                </c:pt>
                <c:pt idx="28">
                  <c:v>7</c:v>
                </c:pt>
                <c:pt idx="29">
                  <c:v>7.5</c:v>
                </c:pt>
              </c:numCache>
            </c:numRef>
          </c:cat>
          <c:val>
            <c:numRef>
              <c:f>'Sta_Mo '!$AG$146:$AG$175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6-41CA-B32F-B97B594DF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(%Mo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[2]Sta_Cu!$G$85:$G$114</c:f>
              <c:numCache>
                <c:formatCode>General</c:formatCode>
                <c:ptCount val="30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'!$BQ$114:$BQ$143</c:f>
              <c:numCache>
                <c:formatCode>0.00E+00</c:formatCode>
                <c:ptCount val="30"/>
                <c:pt idx="0">
                  <c:v>1.105134613435917E-15</c:v>
                </c:pt>
                <c:pt idx="1">
                  <c:v>4.5563525748250706E-14</c:v>
                </c:pt>
                <c:pt idx="2">
                  <c:v>1.5070417765759493E-12</c:v>
                </c:pt>
                <c:pt idx="3">
                  <c:v>3.9988865902574241E-11</c:v>
                </c:pt>
                <c:pt idx="4">
                  <c:v>8.5125310879388271E-10</c:v>
                </c:pt>
                <c:pt idx="5">
                  <c:v>1.4537313685624407E-8</c:v>
                </c:pt>
                <c:pt idx="6">
                  <c:v>1.9916610944021856E-7</c:v>
                </c:pt>
                <c:pt idx="7">
                  <c:v>2.1890341926577538E-6</c:v>
                </c:pt>
                <c:pt idx="8">
                  <c:v>1.9301696304701344E-5</c:v>
                </c:pt>
                <c:pt idx="9">
                  <c:v>1.3653507658095549E-4</c:v>
                </c:pt>
                <c:pt idx="10">
                  <c:v>7.7481643783544596E-4</c:v>
                </c:pt>
                <c:pt idx="11">
                  <c:v>3.5274367938627031E-3</c:v>
                </c:pt>
                <c:pt idx="12">
                  <c:v>1.2883251437357678E-2</c:v>
                </c:pt>
                <c:pt idx="13">
                  <c:v>3.774831342874492E-2</c:v>
                </c:pt>
                <c:pt idx="14">
                  <c:v>8.8731014965465302E-2</c:v>
                </c:pt>
                <c:pt idx="15">
                  <c:v>0.1673243603934913</c:v>
                </c:pt>
                <c:pt idx="16">
                  <c:v>0.25313297609429447</c:v>
                </c:pt>
                <c:pt idx="17">
                  <c:v>0.30721619373123393</c:v>
                </c:pt>
                <c:pt idx="18">
                  <c:v>0.29911990241171171</c:v>
                </c:pt>
                <c:pt idx="19">
                  <c:v>0.23364276873956535</c:v>
                </c:pt>
                <c:pt idx="20">
                  <c:v>0.14640813387827548</c:v>
                </c:pt>
                <c:pt idx="21">
                  <c:v>7.3601030245774843E-2</c:v>
                </c:pt>
                <c:pt idx="22">
                  <c:v>2.9683042180601256E-2</c:v>
                </c:pt>
                <c:pt idx="23">
                  <c:v>9.6037036967489119E-3</c:v>
                </c:pt>
                <c:pt idx="24">
                  <c:v>2.4927281762794858E-3</c:v>
                </c:pt>
                <c:pt idx="25">
                  <c:v>5.1905923279854855E-4</c:v>
                </c:pt>
                <c:pt idx="26">
                  <c:v>8.6709113404266947E-5</c:v>
                </c:pt>
                <c:pt idx="27">
                  <c:v>1.1620328301998509E-5</c:v>
                </c:pt>
                <c:pt idx="28">
                  <c:v>1.2493320400024134E-6</c:v>
                </c:pt>
                <c:pt idx="29">
                  <c:v>1.0775642762388286E-7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0-4903-9C9D-5AC7F67FD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480-4903-9C9D-5AC7F67FD88F}"/>
              </c:ext>
            </c:extLst>
          </c:dPt>
          <c:cat>
            <c:numRef>
              <c:f>[2]Sta_Mo!$BQ$85:$BQ$114</c:f>
              <c:numCache>
                <c:formatCode>General</c:formatCode>
                <c:ptCount val="30"/>
                <c:pt idx="0">
                  <c:v>46</c:v>
                </c:pt>
                <c:pt idx="1">
                  <c:v>46.6</c:v>
                </c:pt>
                <c:pt idx="2">
                  <c:v>47.2</c:v>
                </c:pt>
                <c:pt idx="3">
                  <c:v>47.800000000000004</c:v>
                </c:pt>
                <c:pt idx="4">
                  <c:v>48.400000000000006</c:v>
                </c:pt>
                <c:pt idx="5">
                  <c:v>49.000000000000007</c:v>
                </c:pt>
                <c:pt idx="6">
                  <c:v>49.600000000000009</c:v>
                </c:pt>
                <c:pt idx="7">
                  <c:v>50.20000000000001</c:v>
                </c:pt>
                <c:pt idx="8">
                  <c:v>50.800000000000011</c:v>
                </c:pt>
                <c:pt idx="9">
                  <c:v>51.400000000000013</c:v>
                </c:pt>
                <c:pt idx="10">
                  <c:v>52.000000000000014</c:v>
                </c:pt>
                <c:pt idx="11">
                  <c:v>52.600000000000016</c:v>
                </c:pt>
                <c:pt idx="12">
                  <c:v>53.200000000000017</c:v>
                </c:pt>
                <c:pt idx="13">
                  <c:v>53.800000000000018</c:v>
                </c:pt>
                <c:pt idx="14">
                  <c:v>54.40000000000002</c:v>
                </c:pt>
                <c:pt idx="15">
                  <c:v>55.000000000000021</c:v>
                </c:pt>
                <c:pt idx="16">
                  <c:v>55.600000000000023</c:v>
                </c:pt>
                <c:pt idx="17">
                  <c:v>56.200000000000024</c:v>
                </c:pt>
                <c:pt idx="18">
                  <c:v>56.800000000000026</c:v>
                </c:pt>
                <c:pt idx="19">
                  <c:v>57.400000000000027</c:v>
                </c:pt>
                <c:pt idx="20">
                  <c:v>58.000000000000028</c:v>
                </c:pt>
                <c:pt idx="21">
                  <c:v>58.60000000000003</c:v>
                </c:pt>
                <c:pt idx="22">
                  <c:v>59.200000000000031</c:v>
                </c:pt>
                <c:pt idx="23">
                  <c:v>59.800000000000033</c:v>
                </c:pt>
                <c:pt idx="24">
                  <c:v>60.400000000000034</c:v>
                </c:pt>
                <c:pt idx="25">
                  <c:v>61.000000000000036</c:v>
                </c:pt>
                <c:pt idx="26">
                  <c:v>61.600000000000037</c:v>
                </c:pt>
                <c:pt idx="27">
                  <c:v>62.200000000000038</c:v>
                </c:pt>
                <c:pt idx="28">
                  <c:v>62.80000000000004</c:v>
                </c:pt>
                <c:pt idx="29">
                  <c:v>63.400000000000041</c:v>
                </c:pt>
              </c:numCache>
            </c:numRef>
          </c:cat>
          <c:val>
            <c:numRef>
              <c:f>'Sta_Mo '!$BQ$146:$BQ$175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80-4903-9C9D-5AC7F67FD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 </a:t>
            </a:r>
            <a:r>
              <a:rPr lang="es-PE" sz="900" b="1" baseline="0">
                <a:solidFill>
                  <a:schemeClr val="tx1"/>
                </a:solidFill>
              </a:rPr>
              <a:t>- PLANTA DE MOLY (%Mo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[2]Sta_Cu!$H$85:$H$116</c:f>
              <c:numCache>
                <c:formatCode>General</c:formatCode>
                <c:ptCount val="32"/>
                <c:pt idx="0">
                  <c:v>1E-3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8.5000000000000006E-3</c:v>
                </c:pt>
                <c:pt idx="4">
                  <c:v>1.0999999999999999E-2</c:v>
                </c:pt>
                <c:pt idx="5">
                  <c:v>1.35E-2</c:v>
                </c:pt>
                <c:pt idx="6">
                  <c:v>1.6E-2</c:v>
                </c:pt>
                <c:pt idx="7">
                  <c:v>1.8499999999999999E-2</c:v>
                </c:pt>
                <c:pt idx="8">
                  <c:v>2.1000000000000001E-2</c:v>
                </c:pt>
                <c:pt idx="9">
                  <c:v>2.35E-2</c:v>
                </c:pt>
                <c:pt idx="10">
                  <c:v>2.5999999999999999E-2</c:v>
                </c:pt>
                <c:pt idx="11">
                  <c:v>2.8500000000000001E-2</c:v>
                </c:pt>
                <c:pt idx="12">
                  <c:v>3.1E-2</c:v>
                </c:pt>
                <c:pt idx="13">
                  <c:v>3.3500000000000002E-2</c:v>
                </c:pt>
                <c:pt idx="14">
                  <c:v>3.5999999999999997E-2</c:v>
                </c:pt>
                <c:pt idx="15">
                  <c:v>3.85E-2</c:v>
                </c:pt>
                <c:pt idx="16">
                  <c:v>4.1000000000000002E-2</c:v>
                </c:pt>
                <c:pt idx="17">
                  <c:v>4.3499999999999997E-2</c:v>
                </c:pt>
                <c:pt idx="18">
                  <c:v>4.5999999999999999E-2</c:v>
                </c:pt>
                <c:pt idx="19">
                  <c:v>4.8500000000000001E-2</c:v>
                </c:pt>
                <c:pt idx="20">
                  <c:v>5.0999999999999997E-2</c:v>
                </c:pt>
                <c:pt idx="21">
                  <c:v>5.3499999999999999E-2</c:v>
                </c:pt>
                <c:pt idx="22">
                  <c:v>5.6000000000000001E-2</c:v>
                </c:pt>
                <c:pt idx="23">
                  <c:v>5.8500000000000003E-2</c:v>
                </c:pt>
                <c:pt idx="24">
                  <c:v>6.0999999999999999E-2</c:v>
                </c:pt>
                <c:pt idx="25">
                  <c:v>6.3500000000000001E-2</c:v>
                </c:pt>
                <c:pt idx="26">
                  <c:v>6.6000000000000003E-2</c:v>
                </c:pt>
                <c:pt idx="27">
                  <c:v>6.8500000000000005E-2</c:v>
                </c:pt>
                <c:pt idx="28">
                  <c:v>7.0999999999999994E-2</c:v>
                </c:pt>
                <c:pt idx="29">
                  <c:v>7.3499999999999996E-2</c:v>
                </c:pt>
              </c:numCache>
            </c:numRef>
          </c:cat>
          <c:val>
            <c:numRef>
              <c:f>'Sta_Mo '!$BR$114:$BR$143</c:f>
              <c:numCache>
                <c:formatCode>0.00E+00</c:formatCode>
                <c:ptCount val="30"/>
                <c:pt idx="0">
                  <c:v>4.458793066437166E-29</c:v>
                </c:pt>
                <c:pt idx="1">
                  <c:v>7.6957135847062985E-26</c:v>
                </c:pt>
                <c:pt idx="2">
                  <c:v>8.404824404041461E-23</c:v>
                </c:pt>
                <c:pt idx="3">
                  <c:v>5.8084006132572492E-20</c:v>
                </c:pt>
                <c:pt idx="4">
                  <c:v>2.5399937640308048E-17</c:v>
                </c:pt>
                <c:pt idx="5">
                  <c:v>7.0284070838393315E-15</c:v>
                </c:pt>
                <c:pt idx="6">
                  <c:v>1.2306352049494442E-12</c:v>
                </c:pt>
                <c:pt idx="7">
                  <c:v>1.3634836406196163E-10</c:v>
                </c:pt>
                <c:pt idx="8">
                  <c:v>9.5591372639762451E-9</c:v>
                </c:pt>
                <c:pt idx="9">
                  <c:v>4.2406812874352891E-7</c:v>
                </c:pt>
                <c:pt idx="10">
                  <c:v>1.1904214382776913E-5</c:v>
                </c:pt>
                <c:pt idx="11">
                  <c:v>2.1145307966840817E-4</c:v>
                </c:pt>
                <c:pt idx="12">
                  <c:v>2.3767059839603323E-3</c:v>
                </c:pt>
                <c:pt idx="13">
                  <c:v>1.6903828355366267E-2</c:v>
                </c:pt>
                <c:pt idx="14">
                  <c:v>7.6075157180175476E-2</c:v>
                </c:pt>
                <c:pt idx="15">
                  <c:v>0.21664507075894263</c:v>
                </c:pt>
                <c:pt idx="16">
                  <c:v>0.39039382135738565</c:v>
                </c:pt>
                <c:pt idx="17">
                  <c:v>0.44514882226796487</c:v>
                </c:pt>
                <c:pt idx="18">
                  <c:v>0.32118532303731651</c:v>
                </c:pt>
                <c:pt idx="19">
                  <c:v>0.14664063203494956</c:v>
                </c:pt>
                <c:pt idx="20">
                  <c:v>4.2364406426190084E-2</c:v>
                </c:pt>
                <c:pt idx="21">
                  <c:v>7.744548386048742E-3</c:v>
                </c:pt>
                <c:pt idx="22">
                  <c:v>8.9585812889189339E-4</c:v>
                </c:pt>
                <c:pt idx="23">
                  <c:v>6.5573829889280984E-5</c:v>
                </c:pt>
                <c:pt idx="24">
                  <c:v>3.0371764957544805E-6</c:v>
                </c:pt>
                <c:pt idx="25">
                  <c:v>8.9013869487478532E-8</c:v>
                </c:pt>
                <c:pt idx="26">
                  <c:v>1.6507963514839033E-9</c:v>
                </c:pt>
                <c:pt idx="27">
                  <c:v>1.9372135131931319E-11</c:v>
                </c:pt>
                <c:pt idx="28">
                  <c:v>1.438499280408609E-13</c:v>
                </c:pt>
                <c:pt idx="29">
                  <c:v>6.7591172120353092E-16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A-4EEA-97FF-97562290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C4A-4EEA-97FF-9756229015EF}"/>
              </c:ext>
            </c:extLst>
          </c:dPt>
          <c:cat>
            <c:numRef>
              <c:f>[2]Sta_Mo!$BR$85:$BR$114</c:f>
              <c:numCache>
                <c:formatCode>General</c:formatCode>
                <c:ptCount val="30"/>
                <c:pt idx="0">
                  <c:v>46</c:v>
                </c:pt>
                <c:pt idx="1">
                  <c:v>46.6</c:v>
                </c:pt>
                <c:pt idx="2">
                  <c:v>47.2</c:v>
                </c:pt>
                <c:pt idx="3">
                  <c:v>47.800000000000004</c:v>
                </c:pt>
                <c:pt idx="4">
                  <c:v>48.400000000000006</c:v>
                </c:pt>
                <c:pt idx="5">
                  <c:v>49.000000000000007</c:v>
                </c:pt>
                <c:pt idx="6">
                  <c:v>49.600000000000009</c:v>
                </c:pt>
                <c:pt idx="7">
                  <c:v>50.20000000000001</c:v>
                </c:pt>
                <c:pt idx="8">
                  <c:v>50.800000000000011</c:v>
                </c:pt>
                <c:pt idx="9">
                  <c:v>51.400000000000013</c:v>
                </c:pt>
                <c:pt idx="10">
                  <c:v>52.000000000000014</c:v>
                </c:pt>
                <c:pt idx="11">
                  <c:v>52.600000000000016</c:v>
                </c:pt>
                <c:pt idx="12">
                  <c:v>53.200000000000017</c:v>
                </c:pt>
                <c:pt idx="13">
                  <c:v>53.800000000000018</c:v>
                </c:pt>
                <c:pt idx="14">
                  <c:v>54.40000000000002</c:v>
                </c:pt>
                <c:pt idx="15">
                  <c:v>55.000000000000021</c:v>
                </c:pt>
                <c:pt idx="16">
                  <c:v>55.600000000000023</c:v>
                </c:pt>
                <c:pt idx="17">
                  <c:v>56.200000000000024</c:v>
                </c:pt>
                <c:pt idx="18">
                  <c:v>56.800000000000026</c:v>
                </c:pt>
                <c:pt idx="19">
                  <c:v>57.400000000000027</c:v>
                </c:pt>
                <c:pt idx="20">
                  <c:v>58.000000000000028</c:v>
                </c:pt>
                <c:pt idx="21">
                  <c:v>58.60000000000003</c:v>
                </c:pt>
                <c:pt idx="22">
                  <c:v>59.200000000000031</c:v>
                </c:pt>
                <c:pt idx="23">
                  <c:v>59.800000000000033</c:v>
                </c:pt>
                <c:pt idx="24">
                  <c:v>60.400000000000034</c:v>
                </c:pt>
                <c:pt idx="25">
                  <c:v>61.000000000000036</c:v>
                </c:pt>
                <c:pt idx="26">
                  <c:v>61.600000000000037</c:v>
                </c:pt>
                <c:pt idx="27">
                  <c:v>62.200000000000038</c:v>
                </c:pt>
                <c:pt idx="28">
                  <c:v>62.80000000000004</c:v>
                </c:pt>
                <c:pt idx="29">
                  <c:v>63.400000000000041</c:v>
                </c:pt>
              </c:numCache>
            </c:numRef>
          </c:cat>
          <c:val>
            <c:numRef>
              <c:f>'Sta_Mo '!$BR$146:$BR$175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4</c:v>
                </c:pt>
                <c:pt idx="17">
                  <c:v>6</c:v>
                </c:pt>
                <c:pt idx="18">
                  <c:v>10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4A-4EEA-97FF-97562290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(%Mo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[2]Sta_Cu!$I$85:$I$116</c:f>
              <c:numCache>
                <c:formatCode>General</c:formatCode>
                <c:ptCount val="32"/>
                <c:pt idx="0">
                  <c:v>-0.04</c:v>
                </c:pt>
                <c:pt idx="1">
                  <c:v>-3.7499999999999999E-2</c:v>
                </c:pt>
                <c:pt idx="2">
                  <c:v>-3.4999999999999996E-2</c:v>
                </c:pt>
                <c:pt idx="3">
                  <c:v>-3.2499999999999994E-2</c:v>
                </c:pt>
                <c:pt idx="4">
                  <c:v>-2.9999999999999995E-2</c:v>
                </c:pt>
                <c:pt idx="5">
                  <c:v>-2.7499999999999997E-2</c:v>
                </c:pt>
                <c:pt idx="6">
                  <c:v>-2.4999999999999998E-2</c:v>
                </c:pt>
                <c:pt idx="7">
                  <c:v>-2.2499999999999999E-2</c:v>
                </c:pt>
                <c:pt idx="8">
                  <c:v>-0.02</c:v>
                </c:pt>
                <c:pt idx="9">
                  <c:v>-1.7500000000000002E-2</c:v>
                </c:pt>
                <c:pt idx="10">
                  <c:v>-1.5000000000000001E-2</c:v>
                </c:pt>
                <c:pt idx="11">
                  <c:v>-1.2500000000000001E-2</c:v>
                </c:pt>
                <c:pt idx="12">
                  <c:v>-0.01</c:v>
                </c:pt>
                <c:pt idx="13">
                  <c:v>-7.4999999999999997E-3</c:v>
                </c:pt>
                <c:pt idx="14">
                  <c:v>-4.9999999999999992E-3</c:v>
                </c:pt>
                <c:pt idx="15">
                  <c:v>-2.4999999999999992E-3</c:v>
                </c:pt>
                <c:pt idx="16">
                  <c:v>0</c:v>
                </c:pt>
                <c:pt idx="17">
                  <c:v>2.5000000000000001E-3</c:v>
                </c:pt>
                <c:pt idx="18">
                  <c:v>5.0000000000000001E-3</c:v>
                </c:pt>
                <c:pt idx="19">
                  <c:v>7.4999999999999997E-3</c:v>
                </c:pt>
                <c:pt idx="20">
                  <c:v>0.01</c:v>
                </c:pt>
                <c:pt idx="21">
                  <c:v>1.2500000000000001E-2</c:v>
                </c:pt>
                <c:pt idx="22">
                  <c:v>1.5000000000000001E-2</c:v>
                </c:pt>
                <c:pt idx="23">
                  <c:v>1.7500000000000002E-2</c:v>
                </c:pt>
                <c:pt idx="24">
                  <c:v>0.02</c:v>
                </c:pt>
                <c:pt idx="25">
                  <c:v>2.2499999999999999E-2</c:v>
                </c:pt>
                <c:pt idx="26">
                  <c:v>2.4999999999999998E-2</c:v>
                </c:pt>
                <c:pt idx="27">
                  <c:v>2.7499999999999997E-2</c:v>
                </c:pt>
                <c:pt idx="28">
                  <c:v>2.9999999999999995E-2</c:v>
                </c:pt>
                <c:pt idx="29">
                  <c:v>3.2499999999999994E-2</c:v>
                </c:pt>
              </c:numCache>
            </c:numRef>
          </c:cat>
          <c:val>
            <c:numRef>
              <c:f>'Sta_Mo '!$BS$114:$BS$143</c:f>
              <c:numCache>
                <c:formatCode>0.00E+00</c:formatCode>
                <c:ptCount val="30"/>
                <c:pt idx="0">
                  <c:v>3.4631004480365506E-6</c:v>
                </c:pt>
                <c:pt idx="1">
                  <c:v>1.5104619248087198E-5</c:v>
                </c:pt>
                <c:pt idx="2">
                  <c:v>5.9393922837194606E-5</c:v>
                </c:pt>
                <c:pt idx="3">
                  <c:v>2.1055316457521206E-4</c:v>
                </c:pt>
                <c:pt idx="4">
                  <c:v>6.7292873003467555E-4</c:v>
                </c:pt>
                <c:pt idx="5">
                  <c:v>1.9389379113653761E-3</c:v>
                </c:pt>
                <c:pt idx="6">
                  <c:v>5.0367021444273786E-3</c:v>
                </c:pt>
                <c:pt idx="7">
                  <c:v>1.1795494968437547E-2</c:v>
                </c:pt>
                <c:pt idx="8">
                  <c:v>2.4904257904701851E-2</c:v>
                </c:pt>
                <c:pt idx="9">
                  <c:v>4.740439139601936E-2</c:v>
                </c:pt>
                <c:pt idx="10">
                  <c:v>8.1348786684983326E-2</c:v>
                </c:pt>
                <c:pt idx="11">
                  <c:v>0.12585518691155165</c:v>
                </c:pt>
                <c:pt idx="12">
                  <c:v>0.17554105036611226</c:v>
                </c:pt>
                <c:pt idx="13">
                  <c:v>0.22073632150765524</c:v>
                </c:pt>
                <c:pt idx="14">
                  <c:v>0.25023983424087265</c:v>
                </c:pt>
                <c:pt idx="15">
                  <c:v>0.25575646526115364</c:v>
                </c:pt>
                <c:pt idx="16">
                  <c:v>0.23565916413021337</c:v>
                </c:pt>
                <c:pt idx="17">
                  <c:v>0.1957625346166447</c:v>
                </c:pt>
                <c:pt idx="18">
                  <c:v>0.146609583628074</c:v>
                </c:pt>
                <c:pt idx="19">
                  <c:v>9.8988028772082931E-2</c:v>
                </c:pt>
                <c:pt idx="20">
                  <c:v>6.0254644151983797E-2</c:v>
                </c:pt>
                <c:pt idx="21">
                  <c:v>3.3066323523168711E-2</c:v>
                </c:pt>
                <c:pt idx="22">
                  <c:v>1.6359454936541982E-2</c:v>
                </c:pt>
                <c:pt idx="23">
                  <c:v>7.2969149363622011E-3</c:v>
                </c:pt>
                <c:pt idx="24">
                  <c:v>2.9342510710470304E-3</c:v>
                </c:pt>
                <c:pt idx="25">
                  <c:v>1.0637578907167528E-3</c:v>
                </c:pt>
                <c:pt idx="26">
                  <c:v>3.4767691224291255E-4</c:v>
                </c:pt>
                <c:pt idx="27">
                  <c:v>1.024463391736045E-4</c:v>
                </c:pt>
                <c:pt idx="28">
                  <c:v>2.7214763861967779E-5</c:v>
                </c:pt>
                <c:pt idx="29">
                  <c:v>6.5177880157769722E-6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C-4818-AFB0-41BE7E58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0FC-4818-AFB0-41BE7E58D436}"/>
              </c:ext>
            </c:extLst>
          </c:dPt>
          <c:cat>
            <c:numRef>
              <c:f>[2]Sta_Mo!$BS$85:$BS$114</c:f>
              <c:numCache>
                <c:formatCode>General</c:formatCode>
                <c:ptCount val="30"/>
                <c:pt idx="0">
                  <c:v>-7</c:v>
                </c:pt>
                <c:pt idx="1">
                  <c:v>-6.5</c:v>
                </c:pt>
                <c:pt idx="2">
                  <c:v>-6</c:v>
                </c:pt>
                <c:pt idx="3">
                  <c:v>-5.5</c:v>
                </c:pt>
                <c:pt idx="4">
                  <c:v>-5</c:v>
                </c:pt>
                <c:pt idx="5">
                  <c:v>-4.5</c:v>
                </c:pt>
                <c:pt idx="6">
                  <c:v>-4</c:v>
                </c:pt>
                <c:pt idx="7">
                  <c:v>-3.5</c:v>
                </c:pt>
                <c:pt idx="8">
                  <c:v>-3</c:v>
                </c:pt>
                <c:pt idx="9">
                  <c:v>-2.5</c:v>
                </c:pt>
                <c:pt idx="10">
                  <c:v>-2</c:v>
                </c:pt>
                <c:pt idx="11">
                  <c:v>-1.5</c:v>
                </c:pt>
                <c:pt idx="12">
                  <c:v>-1</c:v>
                </c:pt>
                <c:pt idx="13">
                  <c:v>-0.5</c:v>
                </c:pt>
                <c:pt idx="14">
                  <c:v>0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>
                  <c:v>3.5</c:v>
                </c:pt>
                <c:pt idx="22">
                  <c:v>4</c:v>
                </c:pt>
                <c:pt idx="23">
                  <c:v>4.5</c:v>
                </c:pt>
                <c:pt idx="24">
                  <c:v>5</c:v>
                </c:pt>
                <c:pt idx="25">
                  <c:v>5.5</c:v>
                </c:pt>
                <c:pt idx="26">
                  <c:v>6</c:v>
                </c:pt>
                <c:pt idx="27">
                  <c:v>6.5</c:v>
                </c:pt>
                <c:pt idx="28">
                  <c:v>7</c:v>
                </c:pt>
                <c:pt idx="29">
                  <c:v>7.5</c:v>
                </c:pt>
              </c:numCache>
            </c:numRef>
          </c:cat>
          <c:val>
            <c:numRef>
              <c:f>'Sta_Mo '!$BS$146:$BS$175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7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C-4818-AFB0-41BE7E58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CONCENTRADO ULT. LIMP. - PLANTA DE MOLY (%Fe - Lab)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'!$AI$114:$AI$143</c:f>
              <c:numCache>
                <c:formatCode>0.00E+00</c:formatCode>
                <c:ptCount val="30"/>
                <c:pt idx="0">
                  <c:v>8.6638896210906702E-2</c:v>
                </c:pt>
                <c:pt idx="1">
                  <c:v>0.13517023642022888</c:v>
                </c:pt>
                <c:pt idx="2">
                  <c:v>0.1993381349899318</c:v>
                </c:pt>
                <c:pt idx="3">
                  <c:v>0.27786948908016423</c:v>
                </c:pt>
                <c:pt idx="4">
                  <c:v>0.36612761701434082</c:v>
                </c:pt>
                <c:pt idx="5">
                  <c:v>0.45600044865134665</c:v>
                </c:pt>
                <c:pt idx="6">
                  <c:v>0.53683300094187936</c:v>
                </c:pt>
                <c:pt idx="7">
                  <c:v>0.59738497546727209</c:v>
                </c:pt>
                <c:pt idx="8">
                  <c:v>0.62836290727457611</c:v>
                </c:pt>
                <c:pt idx="9">
                  <c:v>0.62475240941083166</c:v>
                </c:pt>
                <c:pt idx="10">
                  <c:v>0.58714652322869376</c:v>
                </c:pt>
                <c:pt idx="11">
                  <c:v>0.52158633161118773</c:v>
                </c:pt>
                <c:pt idx="12">
                  <c:v>0.43797272460388348</c:v>
                </c:pt>
                <c:pt idx="13">
                  <c:v>0.34762346375327013</c:v>
                </c:pt>
                <c:pt idx="14">
                  <c:v>0.26080280303952091</c:v>
                </c:pt>
                <c:pt idx="15">
                  <c:v>0.18495095642732373</c:v>
                </c:pt>
                <c:pt idx="16">
                  <c:v>0.1239772682659142</c:v>
                </c:pt>
                <c:pt idx="17">
                  <c:v>7.8554071321717933E-2</c:v>
                </c:pt>
                <c:pt idx="18">
                  <c:v>4.7047493307048542E-2</c:v>
                </c:pt>
                <c:pt idx="19">
                  <c:v>2.6634554326633787E-2</c:v>
                </c:pt>
                <c:pt idx="20">
                  <c:v>1.4252647158156419E-2</c:v>
                </c:pt>
                <c:pt idx="21">
                  <c:v>7.2091952511486685E-3</c:v>
                </c:pt>
                <c:pt idx="22">
                  <c:v>3.4468247020255503E-3</c:v>
                </c:pt>
                <c:pt idx="23">
                  <c:v>1.5577320661893837E-3</c:v>
                </c:pt>
                <c:pt idx="24">
                  <c:v>6.6543781641638443E-4</c:v>
                </c:pt>
                <c:pt idx="25">
                  <c:v>2.6869732965618406E-4</c:v>
                </c:pt>
                <c:pt idx="26">
                  <c:v>1.025558355845517E-4</c:v>
                </c:pt>
                <c:pt idx="27">
                  <c:v>3.6999730355008049E-5</c:v>
                </c:pt>
                <c:pt idx="28">
                  <c:v>1.2617633116007152E-5</c:v>
                </c:pt>
                <c:pt idx="29">
                  <c:v>4.0672267572740391E-6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4-48FB-8A62-036571096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BA4-48FB-8A62-0365710967F1}"/>
              </c:ext>
            </c:extLst>
          </c:dPt>
          <c:cat>
            <c:numRef>
              <c:f>[2]Sta_Mo!$AI$85:$AI$114</c:f>
              <c:numCache>
                <c:formatCode>General</c:formatCode>
                <c:ptCount val="30"/>
                <c:pt idx="0">
                  <c:v>-0.2</c:v>
                </c:pt>
                <c:pt idx="1">
                  <c:v>-5.0000000000000017E-2</c:v>
                </c:pt>
                <c:pt idx="2">
                  <c:v>9.9999999999999978E-2</c:v>
                </c:pt>
                <c:pt idx="3">
                  <c:v>0.24999999999999997</c:v>
                </c:pt>
                <c:pt idx="4">
                  <c:v>0.39999999999999997</c:v>
                </c:pt>
                <c:pt idx="5">
                  <c:v>0.54999999999999993</c:v>
                </c:pt>
                <c:pt idx="6">
                  <c:v>0.7</c:v>
                </c:pt>
                <c:pt idx="7">
                  <c:v>0.85</c:v>
                </c:pt>
                <c:pt idx="8">
                  <c:v>1</c:v>
                </c:pt>
                <c:pt idx="9">
                  <c:v>1.1499999999999999</c:v>
                </c:pt>
                <c:pt idx="10">
                  <c:v>1.2999999999999998</c:v>
                </c:pt>
                <c:pt idx="11">
                  <c:v>1.4499999999999997</c:v>
                </c:pt>
                <c:pt idx="12">
                  <c:v>1.5999999999999996</c:v>
                </c:pt>
                <c:pt idx="13">
                  <c:v>1.7499999999999996</c:v>
                </c:pt>
                <c:pt idx="14">
                  <c:v>1.8999999999999995</c:v>
                </c:pt>
                <c:pt idx="15">
                  <c:v>2.0499999999999994</c:v>
                </c:pt>
                <c:pt idx="16">
                  <c:v>2.1999999999999993</c:v>
                </c:pt>
                <c:pt idx="17">
                  <c:v>2.3499999999999992</c:v>
                </c:pt>
                <c:pt idx="18">
                  <c:v>2.4999999999999991</c:v>
                </c:pt>
                <c:pt idx="19">
                  <c:v>2.649999999999999</c:v>
                </c:pt>
                <c:pt idx="20">
                  <c:v>2.7999999999999989</c:v>
                </c:pt>
                <c:pt idx="21">
                  <c:v>2.9499999999999988</c:v>
                </c:pt>
                <c:pt idx="22">
                  <c:v>3.0999999999999988</c:v>
                </c:pt>
                <c:pt idx="23">
                  <c:v>3.2499999999999987</c:v>
                </c:pt>
                <c:pt idx="24">
                  <c:v>3.3999999999999986</c:v>
                </c:pt>
                <c:pt idx="25">
                  <c:v>3.5499999999999985</c:v>
                </c:pt>
                <c:pt idx="26">
                  <c:v>3.6999999999999984</c:v>
                </c:pt>
                <c:pt idx="27">
                  <c:v>3.8499999999999983</c:v>
                </c:pt>
                <c:pt idx="28">
                  <c:v>3.9999999999999982</c:v>
                </c:pt>
                <c:pt idx="29">
                  <c:v>4.1499999999999986</c:v>
                </c:pt>
              </c:numCache>
            </c:numRef>
          </c:cat>
          <c:val>
            <c:numRef>
              <c:f>'Sta_Mo '!$AI$146:$AI$175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A4-48FB-8A62-036571096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(%Fe - Courier)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'!$AJ$114:$AJ$143</c:f>
              <c:numCache>
                <c:formatCode>0.00E+00</c:formatCode>
                <c:ptCount val="30"/>
                <c:pt idx="0">
                  <c:v>3.2685338798624625E-7</c:v>
                </c:pt>
                <c:pt idx="1">
                  <c:v>1.3343471973222472E-5</c:v>
                </c:pt>
                <c:pt idx="2">
                  <c:v>3.2910518221100665E-4</c:v>
                </c:pt>
                <c:pt idx="3">
                  <c:v>4.9040016813496397E-3</c:v>
                </c:pt>
                <c:pt idx="4">
                  <c:v>4.4148557313463184E-2</c:v>
                </c:pt>
                <c:pt idx="5">
                  <c:v>0.24012226899293071</c:v>
                </c:pt>
                <c:pt idx="6">
                  <c:v>0.78903883170277178</c:v>
                </c:pt>
                <c:pt idx="7">
                  <c:v>1.5664420466843545</c:v>
                </c:pt>
                <c:pt idx="8">
                  <c:v>1.8787989262975984</c:v>
                </c:pt>
                <c:pt idx="9">
                  <c:v>1.3614330553302896</c:v>
                </c:pt>
                <c:pt idx="10">
                  <c:v>0.59602200625406832</c:v>
                </c:pt>
                <c:pt idx="11">
                  <c:v>0.15764431559369441</c:v>
                </c:pt>
                <c:pt idx="12">
                  <c:v>2.5190938760655857E-2</c:v>
                </c:pt>
                <c:pt idx="13">
                  <c:v>2.4319822743944538E-3</c:v>
                </c:pt>
                <c:pt idx="14">
                  <c:v>1.4184906409203839E-4</c:v>
                </c:pt>
                <c:pt idx="15">
                  <c:v>4.9985329642099729E-6</c:v>
                </c:pt>
                <c:pt idx="16">
                  <c:v>1.0641642445114151E-7</c:v>
                </c:pt>
                <c:pt idx="17">
                  <c:v>1.3687520456728262E-9</c:v>
                </c:pt>
                <c:pt idx="18">
                  <c:v>1.0636308276250502E-11</c:v>
                </c:pt>
                <c:pt idx="19">
                  <c:v>4.9935231479973109E-14</c:v>
                </c:pt>
                <c:pt idx="20">
                  <c:v>1.416358636422561E-16</c:v>
                </c:pt>
                <c:pt idx="21">
                  <c:v>2.4271097733342666E-19</c:v>
                </c:pt>
                <c:pt idx="22">
                  <c:v>2.5127866692797175E-22</c:v>
                </c:pt>
                <c:pt idx="23">
                  <c:v>1.5717079000145185E-25</c:v>
                </c:pt>
                <c:pt idx="24">
                  <c:v>5.9393383837487985E-29</c:v>
                </c:pt>
                <c:pt idx="25">
                  <c:v>1.3559832304290199E-32</c:v>
                </c:pt>
                <c:pt idx="26">
                  <c:v>1.8703400964747515E-36</c:v>
                </c:pt>
                <c:pt idx="27">
                  <c:v>1.558607876165179E-40</c:v>
                </c:pt>
                <c:pt idx="28">
                  <c:v>7.846991190666828E-45</c:v>
                </c:pt>
                <c:pt idx="29">
                  <c:v>2.3868189647559876E-49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B62-B4F2-F58D153B8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D24-4B62-B4F2-F58D153B8309}"/>
              </c:ext>
            </c:extLst>
          </c:dPt>
          <c:cat>
            <c:numRef>
              <c:f>[2]Sta_Mo!$AJ$85:$AJ$114</c:f>
              <c:numCache>
                <c:formatCode>General</c:formatCode>
                <c:ptCount val="30"/>
                <c:pt idx="0">
                  <c:v>-0.2</c:v>
                </c:pt>
                <c:pt idx="1">
                  <c:v>-5.0000000000000017E-2</c:v>
                </c:pt>
                <c:pt idx="2">
                  <c:v>9.9999999999999978E-2</c:v>
                </c:pt>
                <c:pt idx="3">
                  <c:v>0.24999999999999997</c:v>
                </c:pt>
                <c:pt idx="4">
                  <c:v>0.39999999999999997</c:v>
                </c:pt>
                <c:pt idx="5">
                  <c:v>0.54999999999999993</c:v>
                </c:pt>
                <c:pt idx="6">
                  <c:v>0.7</c:v>
                </c:pt>
                <c:pt idx="7">
                  <c:v>0.85</c:v>
                </c:pt>
                <c:pt idx="8">
                  <c:v>1</c:v>
                </c:pt>
                <c:pt idx="9">
                  <c:v>1.1499999999999999</c:v>
                </c:pt>
                <c:pt idx="10">
                  <c:v>1.2999999999999998</c:v>
                </c:pt>
                <c:pt idx="11">
                  <c:v>1.4499999999999997</c:v>
                </c:pt>
                <c:pt idx="12">
                  <c:v>1.5999999999999996</c:v>
                </c:pt>
                <c:pt idx="13">
                  <c:v>1.7499999999999996</c:v>
                </c:pt>
                <c:pt idx="14">
                  <c:v>1.8999999999999995</c:v>
                </c:pt>
                <c:pt idx="15">
                  <c:v>2.0499999999999994</c:v>
                </c:pt>
                <c:pt idx="16">
                  <c:v>2.1999999999999993</c:v>
                </c:pt>
                <c:pt idx="17">
                  <c:v>2.3499999999999992</c:v>
                </c:pt>
                <c:pt idx="18">
                  <c:v>2.4999999999999991</c:v>
                </c:pt>
                <c:pt idx="19">
                  <c:v>2.649999999999999</c:v>
                </c:pt>
                <c:pt idx="20">
                  <c:v>2.7999999999999989</c:v>
                </c:pt>
                <c:pt idx="21">
                  <c:v>2.9499999999999988</c:v>
                </c:pt>
                <c:pt idx="22">
                  <c:v>3.0999999999999988</c:v>
                </c:pt>
                <c:pt idx="23">
                  <c:v>3.2499999999999987</c:v>
                </c:pt>
                <c:pt idx="24">
                  <c:v>3.3999999999999986</c:v>
                </c:pt>
                <c:pt idx="25">
                  <c:v>3.5499999999999985</c:v>
                </c:pt>
                <c:pt idx="26">
                  <c:v>3.6999999999999984</c:v>
                </c:pt>
                <c:pt idx="27">
                  <c:v>3.8499999999999983</c:v>
                </c:pt>
                <c:pt idx="28">
                  <c:v>3.9999999999999982</c:v>
                </c:pt>
                <c:pt idx="29">
                  <c:v>4.1499999999999986</c:v>
                </c:pt>
              </c:numCache>
            </c:numRef>
          </c:cat>
          <c:val>
            <c:numRef>
              <c:f>'Sta_Mo '!$AJ$146:$AJ$175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24-4B62-B4F2-F58D153B8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(%Fe - Dif) - TA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'Sta_Mo '!$AK$114:$AK$143</c:f>
              <c:numCache>
                <c:formatCode>0.00E+00</c:formatCode>
                <c:ptCount val="30"/>
                <c:pt idx="0">
                  <c:v>4.512572036699216E-3</c:v>
                </c:pt>
                <c:pt idx="1">
                  <c:v>9.7109589647384406E-3</c:v>
                </c:pt>
                <c:pt idx="2">
                  <c:v>1.9576969903003723E-2</c:v>
                </c:pt>
                <c:pt idx="3">
                  <c:v>3.6972107786741662E-2</c:v>
                </c:pt>
                <c:pt idx="4">
                  <c:v>6.541062983444608E-2</c:v>
                </c:pt>
                <c:pt idx="5">
                  <c:v>0.10840962309459508</c:v>
                </c:pt>
                <c:pt idx="6">
                  <c:v>0.16831883680525198</c:v>
                </c:pt>
                <c:pt idx="7">
                  <c:v>0.24481780006514256</c:v>
                </c:pt>
                <c:pt idx="8">
                  <c:v>0.33357895511509084</c:v>
                </c:pt>
                <c:pt idx="9">
                  <c:v>0.42579413989776327</c:v>
                </c:pt>
                <c:pt idx="10">
                  <c:v>0.50915041166016328</c:v>
                </c:pt>
                <c:pt idx="11">
                  <c:v>0.57034534532074688</c:v>
                </c:pt>
                <c:pt idx="12">
                  <c:v>0.59851506588019077</c:v>
                </c:pt>
                <c:pt idx="13">
                  <c:v>0.58837966619520332</c:v>
                </c:pt>
                <c:pt idx="14">
                  <c:v>0.54185814664233156</c:v>
                </c:pt>
                <c:pt idx="15">
                  <c:v>0.46747559388192228</c:v>
                </c:pt>
                <c:pt idx="16">
                  <c:v>0.37781366346009004</c:v>
                </c:pt>
                <c:pt idx="17">
                  <c:v>0.28604987411406574</c:v>
                </c:pt>
                <c:pt idx="18">
                  <c:v>0.20288561003485611</c:v>
                </c:pt>
                <c:pt idx="19">
                  <c:v>0.13480503466572905</c:v>
                </c:pt>
                <c:pt idx="20">
                  <c:v>8.3908578324174157E-2</c:v>
                </c:pt>
                <c:pt idx="21">
                  <c:v>4.892738404566286E-2</c:v>
                </c:pt>
                <c:pt idx="22">
                  <c:v>2.6726556868003341E-2</c:v>
                </c:pt>
                <c:pt idx="23">
                  <c:v>1.3676639916001702E-2</c:v>
                </c:pt>
                <c:pt idx="24">
                  <c:v>6.5563359009730236E-3</c:v>
                </c:pt>
                <c:pt idx="25">
                  <c:v>2.9443427298019766E-3</c:v>
                </c:pt>
                <c:pt idx="26">
                  <c:v>1.2386850923126681E-3</c:v>
                </c:pt>
                <c:pt idx="27">
                  <c:v>4.8817871862416536E-4</c:v>
                </c:pt>
                <c:pt idx="28">
                  <c:v>1.8023625648798844E-4</c:v>
                </c:pt>
                <c:pt idx="29">
                  <c:v>6.2337711830290224E-5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E4-470B-8FD6-B26D9A120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5E4-470B-8FD6-B26D9A1201C8}"/>
              </c:ext>
            </c:extLst>
          </c:dPt>
          <c:cat>
            <c:numRef>
              <c:f>[2]Sta_Mo!$AK$85:$AK$114</c:f>
              <c:numCache>
                <c:formatCode>General</c:formatCode>
                <c:ptCount val="30"/>
                <c:pt idx="0">
                  <c:v>-2</c:v>
                </c:pt>
                <c:pt idx="1">
                  <c:v>-1.83</c:v>
                </c:pt>
                <c:pt idx="2">
                  <c:v>-1.6600000000000001</c:v>
                </c:pt>
                <c:pt idx="3">
                  <c:v>-1.4900000000000002</c:v>
                </c:pt>
                <c:pt idx="4">
                  <c:v>-1.3200000000000003</c:v>
                </c:pt>
                <c:pt idx="5">
                  <c:v>-1.1500000000000004</c:v>
                </c:pt>
                <c:pt idx="6">
                  <c:v>-0.98000000000000032</c:v>
                </c:pt>
                <c:pt idx="7">
                  <c:v>-0.81000000000000028</c:v>
                </c:pt>
                <c:pt idx="8">
                  <c:v>-0.64000000000000024</c:v>
                </c:pt>
                <c:pt idx="9">
                  <c:v>-0.4700000000000002</c:v>
                </c:pt>
                <c:pt idx="10">
                  <c:v>-0.30000000000000016</c:v>
                </c:pt>
                <c:pt idx="11">
                  <c:v>-0.13000000000000014</c:v>
                </c:pt>
                <c:pt idx="12">
                  <c:v>3.9999999999999869E-2</c:v>
                </c:pt>
                <c:pt idx="13">
                  <c:v>0.20999999999999988</c:v>
                </c:pt>
                <c:pt idx="14">
                  <c:v>0.37999999999999989</c:v>
                </c:pt>
                <c:pt idx="15">
                  <c:v>0.54999999999999993</c:v>
                </c:pt>
                <c:pt idx="16">
                  <c:v>0.72</c:v>
                </c:pt>
                <c:pt idx="17">
                  <c:v>0.89</c:v>
                </c:pt>
                <c:pt idx="18">
                  <c:v>1.06</c:v>
                </c:pt>
                <c:pt idx="19">
                  <c:v>1.23</c:v>
                </c:pt>
                <c:pt idx="20">
                  <c:v>1.4</c:v>
                </c:pt>
                <c:pt idx="21">
                  <c:v>1.5699999999999998</c:v>
                </c:pt>
                <c:pt idx="22">
                  <c:v>1.7399999999999998</c:v>
                </c:pt>
                <c:pt idx="23">
                  <c:v>1.9099999999999997</c:v>
                </c:pt>
                <c:pt idx="24">
                  <c:v>2.0799999999999996</c:v>
                </c:pt>
                <c:pt idx="25">
                  <c:v>2.2499999999999996</c:v>
                </c:pt>
                <c:pt idx="26">
                  <c:v>2.4199999999999995</c:v>
                </c:pt>
                <c:pt idx="27">
                  <c:v>2.5899999999999994</c:v>
                </c:pt>
                <c:pt idx="28">
                  <c:v>2.7599999999999993</c:v>
                </c:pt>
                <c:pt idx="29">
                  <c:v>2.9299999999999993</c:v>
                </c:pt>
              </c:numCache>
            </c:numRef>
          </c:cat>
          <c:val>
            <c:numRef>
              <c:f>'Sta_Mo '!$AK$146:$AK$175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E4-470B-8FD6-B26D9A120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 baseline="0">
                <a:solidFill>
                  <a:schemeClr val="tx1"/>
                </a:solidFill>
              </a:rPr>
              <a:t>CONCENTRADO ULT. LIMP. - PLANTA DE MOLY (%Fe - Lab)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[2]Sta_Cu!$K$85:$K$114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'!$BU$114:$BU$143</c:f>
              <c:numCache>
                <c:formatCode>0.00E+00</c:formatCode>
                <c:ptCount val="30"/>
                <c:pt idx="0">
                  <c:v>9.8022673985816294E-2</c:v>
                </c:pt>
                <c:pt idx="1">
                  <c:v>0.13698515394444058</c:v>
                </c:pt>
                <c:pt idx="2">
                  <c:v>0.18436638638092723</c:v>
                </c:pt>
                <c:pt idx="3">
                  <c:v>0.23897433938003609</c:v>
                </c:pt>
                <c:pt idx="4">
                  <c:v>0.29831980107427836</c:v>
                </c:pt>
                <c:pt idx="5">
                  <c:v>0.35865275945578279</c:v>
                </c:pt>
                <c:pt idx="6">
                  <c:v>0.41526713089535033</c:v>
                </c:pt>
                <c:pt idx="7">
                  <c:v>0.46306528365834287</c:v>
                </c:pt>
                <c:pt idx="8">
                  <c:v>0.49729967246132983</c:v>
                </c:pt>
                <c:pt idx="9">
                  <c:v>0.51434604931014882</c:v>
                </c:pt>
                <c:pt idx="10">
                  <c:v>0.51233488533195048</c:v>
                </c:pt>
                <c:pt idx="11">
                  <c:v>0.49148892175916276</c:v>
                </c:pt>
                <c:pt idx="12">
                  <c:v>0.45408256067701386</c:v>
                </c:pt>
                <c:pt idx="13">
                  <c:v>0.40403333412522685</c:v>
                </c:pt>
                <c:pt idx="14">
                  <c:v>0.34622693941736116</c:v>
                </c:pt>
                <c:pt idx="15">
                  <c:v>0.28573655269529746</c:v>
                </c:pt>
                <c:pt idx="16">
                  <c:v>0.22710778928632183</c:v>
                </c:pt>
                <c:pt idx="17">
                  <c:v>0.17384393492596434</c:v>
                </c:pt>
                <c:pt idx="18">
                  <c:v>0.12815877342264728</c:v>
                </c:pt>
                <c:pt idx="19">
                  <c:v>9.0990997421321843E-2</c:v>
                </c:pt>
                <c:pt idx="20">
                  <c:v>6.2217104243344333E-2</c:v>
                </c:pt>
                <c:pt idx="21">
                  <c:v>4.0971554997365198E-2</c:v>
                </c:pt>
                <c:pt idx="22">
                  <c:v>2.5984620895073786E-2</c:v>
                </c:pt>
                <c:pt idx="23">
                  <c:v>1.5871267366104815E-2</c:v>
                </c:pt>
                <c:pt idx="24">
                  <c:v>9.3361563346705326E-3</c:v>
                </c:pt>
                <c:pt idx="25">
                  <c:v>5.2891502929868946E-3</c:v>
                </c:pt>
                <c:pt idx="26">
                  <c:v>2.8857917338421246E-3</c:v>
                </c:pt>
                <c:pt idx="27">
                  <c:v>1.5163705706394042E-3</c:v>
                </c:pt>
                <c:pt idx="28">
                  <c:v>7.6737384737255647E-4</c:v>
                </c:pt>
                <c:pt idx="29">
                  <c:v>3.7399855633973595E-4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2-4020-A21B-D776C973D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AD2-4020-A21B-D776C973D801}"/>
              </c:ext>
            </c:extLst>
          </c:dPt>
          <c:cat>
            <c:numRef>
              <c:f>[2]Sta_Mo!$BU$85:$BU$114</c:f>
              <c:numCache>
                <c:formatCode>General</c:formatCode>
                <c:ptCount val="30"/>
                <c:pt idx="0">
                  <c:v>-0.2</c:v>
                </c:pt>
                <c:pt idx="1">
                  <c:v>-5.0000000000000017E-2</c:v>
                </c:pt>
                <c:pt idx="2">
                  <c:v>9.9999999999999978E-2</c:v>
                </c:pt>
                <c:pt idx="3">
                  <c:v>0.24999999999999997</c:v>
                </c:pt>
                <c:pt idx="4">
                  <c:v>0.39999999999999997</c:v>
                </c:pt>
                <c:pt idx="5">
                  <c:v>0.54999999999999993</c:v>
                </c:pt>
                <c:pt idx="6">
                  <c:v>0.7</c:v>
                </c:pt>
                <c:pt idx="7">
                  <c:v>0.85</c:v>
                </c:pt>
                <c:pt idx="8">
                  <c:v>1</c:v>
                </c:pt>
                <c:pt idx="9">
                  <c:v>1.1499999999999999</c:v>
                </c:pt>
                <c:pt idx="10">
                  <c:v>1.2999999999999998</c:v>
                </c:pt>
                <c:pt idx="11">
                  <c:v>1.4499999999999997</c:v>
                </c:pt>
                <c:pt idx="12">
                  <c:v>1.5999999999999996</c:v>
                </c:pt>
                <c:pt idx="13">
                  <c:v>1.7499999999999996</c:v>
                </c:pt>
                <c:pt idx="14">
                  <c:v>1.8999999999999995</c:v>
                </c:pt>
                <c:pt idx="15">
                  <c:v>2.0499999999999994</c:v>
                </c:pt>
                <c:pt idx="16">
                  <c:v>2.1999999999999993</c:v>
                </c:pt>
                <c:pt idx="17">
                  <c:v>2.3499999999999992</c:v>
                </c:pt>
                <c:pt idx="18">
                  <c:v>2.4999999999999991</c:v>
                </c:pt>
                <c:pt idx="19">
                  <c:v>2.649999999999999</c:v>
                </c:pt>
                <c:pt idx="20">
                  <c:v>2.7999999999999989</c:v>
                </c:pt>
                <c:pt idx="21">
                  <c:v>2.9499999999999988</c:v>
                </c:pt>
                <c:pt idx="22">
                  <c:v>3.0999999999999988</c:v>
                </c:pt>
                <c:pt idx="23">
                  <c:v>3.2499999999999987</c:v>
                </c:pt>
                <c:pt idx="24">
                  <c:v>3.3999999999999986</c:v>
                </c:pt>
                <c:pt idx="25">
                  <c:v>3.5499999999999985</c:v>
                </c:pt>
                <c:pt idx="26">
                  <c:v>3.6999999999999984</c:v>
                </c:pt>
                <c:pt idx="27">
                  <c:v>3.8499999999999983</c:v>
                </c:pt>
                <c:pt idx="28">
                  <c:v>3.9999999999999982</c:v>
                </c:pt>
                <c:pt idx="29">
                  <c:v>4.1499999999999986</c:v>
                </c:pt>
              </c:numCache>
            </c:numRef>
          </c:cat>
          <c:val>
            <c:numRef>
              <c:f>'Sta_Mo '!$BU$146:$BU$175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D2-4020-A21B-D776C973D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(%Fe - Courier)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[2]Sta_Cu!$L$85:$L$114</c:f>
              <c:numCache>
                <c:formatCode>General</c:formatCode>
                <c:ptCount val="3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</c:numCache>
            </c:numRef>
          </c:cat>
          <c:val>
            <c:numRef>
              <c:f>'Sta_Mo '!$BV$114:$BV$143</c:f>
              <c:numCache>
                <c:formatCode>0.00E+00</c:formatCode>
                <c:ptCount val="30"/>
                <c:pt idx="0">
                  <c:v>4.3880517103654659E-4</c:v>
                </c:pt>
                <c:pt idx="1">
                  <c:v>3.0094921404641129E-3</c:v>
                </c:pt>
                <c:pt idx="2">
                  <c:v>1.5865828040261216E-2</c:v>
                </c:pt>
                <c:pt idx="3">
                  <c:v>6.429546257477968E-2</c:v>
                </c:pt>
                <c:pt idx="4">
                  <c:v>0.20028386345030352</c:v>
                </c:pt>
                <c:pt idx="5">
                  <c:v>0.47957843727608779</c:v>
                </c:pt>
                <c:pt idx="6">
                  <c:v>0.88271679324491203</c:v>
                </c:pt>
                <c:pt idx="7">
                  <c:v>1.2489101133420291</c:v>
                </c:pt>
                <c:pt idx="8">
                  <c:v>1.3582791329980919</c:v>
                </c:pt>
                <c:pt idx="9">
                  <c:v>1.1355203660828457</c:v>
                </c:pt>
                <c:pt idx="10">
                  <c:v>0.72970761737851375</c:v>
                </c:pt>
                <c:pt idx="11">
                  <c:v>0.36045485928906684</c:v>
                </c:pt>
                <c:pt idx="12">
                  <c:v>0.13686769149195155</c:v>
                </c:pt>
                <c:pt idx="13">
                  <c:v>3.994836898335364E-2</c:v>
                </c:pt>
                <c:pt idx="14">
                  <c:v>8.9628311690491437E-3</c:v>
                </c:pt>
                <c:pt idx="15">
                  <c:v>1.5457506286581072E-3</c:v>
                </c:pt>
                <c:pt idx="16">
                  <c:v>2.0491875122530083E-4</c:v>
                </c:pt>
                <c:pt idx="17">
                  <c:v>2.0881996674148756E-5</c:v>
                </c:pt>
                <c:pt idx="18">
                  <c:v>1.6357253967024216E-6</c:v>
                </c:pt>
                <c:pt idx="19">
                  <c:v>9.8491062820261748E-8</c:v>
                </c:pt>
                <c:pt idx="20">
                  <c:v>4.5585980881777045E-9</c:v>
                </c:pt>
                <c:pt idx="21">
                  <c:v>1.6218617701228414E-10</c:v>
                </c:pt>
                <c:pt idx="22">
                  <c:v>4.4355187821511414E-12</c:v>
                </c:pt>
                <c:pt idx="23">
                  <c:v>9.3244464917934371E-14</c:v>
                </c:pt>
                <c:pt idx="24">
                  <c:v>1.5067796717357147E-15</c:v>
                </c:pt>
                <c:pt idx="25">
                  <c:v>1.8716493878297061E-17</c:v>
                </c:pt>
                <c:pt idx="26">
                  <c:v>1.7870935751819757E-19</c:v>
                </c:pt>
                <c:pt idx="27">
                  <c:v>1.3116505425530187E-21</c:v>
                </c:pt>
                <c:pt idx="28">
                  <c:v>7.4000907519324563E-24</c:v>
                </c:pt>
                <c:pt idx="29">
                  <c:v>3.2092533347923536E-26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1-4ABD-A9B8-2DCE764D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B1-4ABD-A9B8-2DCE764D1617}"/>
              </c:ext>
            </c:extLst>
          </c:dPt>
          <c:cat>
            <c:numRef>
              <c:f>[2]Sta_Mo!$BV$85:$BV$114</c:f>
              <c:numCache>
                <c:formatCode>General</c:formatCode>
                <c:ptCount val="30"/>
                <c:pt idx="0">
                  <c:v>-0.2</c:v>
                </c:pt>
                <c:pt idx="1">
                  <c:v>-5.0000000000000017E-2</c:v>
                </c:pt>
                <c:pt idx="2">
                  <c:v>9.9999999999999978E-2</c:v>
                </c:pt>
                <c:pt idx="3">
                  <c:v>0.24999999999999997</c:v>
                </c:pt>
                <c:pt idx="4">
                  <c:v>0.39999999999999997</c:v>
                </c:pt>
                <c:pt idx="5">
                  <c:v>0.54999999999999993</c:v>
                </c:pt>
                <c:pt idx="6">
                  <c:v>0.7</c:v>
                </c:pt>
                <c:pt idx="7">
                  <c:v>0.85</c:v>
                </c:pt>
                <c:pt idx="8">
                  <c:v>1</c:v>
                </c:pt>
                <c:pt idx="9">
                  <c:v>1.1499999999999999</c:v>
                </c:pt>
                <c:pt idx="10">
                  <c:v>1.2999999999999998</c:v>
                </c:pt>
                <c:pt idx="11">
                  <c:v>1.4499999999999997</c:v>
                </c:pt>
                <c:pt idx="12">
                  <c:v>1.5999999999999996</c:v>
                </c:pt>
                <c:pt idx="13">
                  <c:v>1.7499999999999996</c:v>
                </c:pt>
                <c:pt idx="14">
                  <c:v>1.8999999999999995</c:v>
                </c:pt>
                <c:pt idx="15">
                  <c:v>2.0499999999999994</c:v>
                </c:pt>
                <c:pt idx="16">
                  <c:v>2.1999999999999993</c:v>
                </c:pt>
                <c:pt idx="17">
                  <c:v>2.3499999999999992</c:v>
                </c:pt>
                <c:pt idx="18">
                  <c:v>2.4999999999999991</c:v>
                </c:pt>
                <c:pt idx="19">
                  <c:v>2.649999999999999</c:v>
                </c:pt>
                <c:pt idx="20">
                  <c:v>2.7999999999999989</c:v>
                </c:pt>
                <c:pt idx="21">
                  <c:v>2.9499999999999988</c:v>
                </c:pt>
                <c:pt idx="22">
                  <c:v>3.0999999999999988</c:v>
                </c:pt>
                <c:pt idx="23">
                  <c:v>3.2499999999999987</c:v>
                </c:pt>
                <c:pt idx="24">
                  <c:v>3.3999999999999986</c:v>
                </c:pt>
                <c:pt idx="25">
                  <c:v>3.5499999999999985</c:v>
                </c:pt>
                <c:pt idx="26">
                  <c:v>3.6999999999999984</c:v>
                </c:pt>
                <c:pt idx="27">
                  <c:v>3.8499999999999983</c:v>
                </c:pt>
                <c:pt idx="28">
                  <c:v>3.9999999999999982</c:v>
                </c:pt>
                <c:pt idx="29">
                  <c:v>4.1499999999999986</c:v>
                </c:pt>
              </c:numCache>
            </c:numRef>
          </c:cat>
          <c:val>
            <c:numRef>
              <c:f>'Sta_Mo '!$BV$146:$BV$175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11</c:v>
                </c:pt>
                <c:pt idx="8">
                  <c:v>6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1-4ABD-A9B8-2DCE764D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</a:rPr>
              <a:t>CONCENTRADO ULT. LIMP. </a:t>
            </a:r>
            <a:r>
              <a:rPr lang="es-PE" sz="900" b="1" baseline="0">
                <a:solidFill>
                  <a:schemeClr val="tx1"/>
                </a:solidFill>
              </a:rPr>
              <a:t>- PLANTA DE MOLY (%Fe - Dif) - TB</a:t>
            </a:r>
            <a:endParaRPr lang="es-PE" sz="9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[2]Sta_Cu!$M$85:$M$114</c:f>
              <c:numCache>
                <c:formatCode>General</c:formatCode>
                <c:ptCount val="30"/>
                <c:pt idx="0">
                  <c:v>-0.8</c:v>
                </c:pt>
                <c:pt idx="1">
                  <c:v>-0.73</c:v>
                </c:pt>
                <c:pt idx="2">
                  <c:v>-0.65999999999999992</c:v>
                </c:pt>
                <c:pt idx="3">
                  <c:v>-0.58999999999999986</c:v>
                </c:pt>
                <c:pt idx="4">
                  <c:v>-0.5199999999999998</c:v>
                </c:pt>
                <c:pt idx="5">
                  <c:v>-0.44999999999999979</c:v>
                </c:pt>
                <c:pt idx="6">
                  <c:v>-0.37999999999999978</c:v>
                </c:pt>
                <c:pt idx="7">
                  <c:v>-0.30999999999999978</c:v>
                </c:pt>
                <c:pt idx="8">
                  <c:v>-0.23999999999999977</c:v>
                </c:pt>
                <c:pt idx="9">
                  <c:v>-0.16999999999999976</c:v>
                </c:pt>
                <c:pt idx="10">
                  <c:v>-9.9999999999999756E-2</c:v>
                </c:pt>
                <c:pt idx="11">
                  <c:v>-2.9999999999999749E-2</c:v>
                </c:pt>
                <c:pt idx="12">
                  <c:v>4.0000000000000258E-2</c:v>
                </c:pt>
                <c:pt idx="13">
                  <c:v>0.11000000000000026</c:v>
                </c:pt>
                <c:pt idx="14">
                  <c:v>0.18000000000000027</c:v>
                </c:pt>
                <c:pt idx="15">
                  <c:v>0.25000000000000028</c:v>
                </c:pt>
                <c:pt idx="16">
                  <c:v>0.32000000000000028</c:v>
                </c:pt>
                <c:pt idx="17">
                  <c:v>0.39000000000000029</c:v>
                </c:pt>
                <c:pt idx="18">
                  <c:v>0.4600000000000003</c:v>
                </c:pt>
                <c:pt idx="19">
                  <c:v>0.53000000000000025</c:v>
                </c:pt>
                <c:pt idx="20">
                  <c:v>0.60000000000000031</c:v>
                </c:pt>
                <c:pt idx="21">
                  <c:v>0.67000000000000037</c:v>
                </c:pt>
                <c:pt idx="22">
                  <c:v>0.74000000000000044</c:v>
                </c:pt>
                <c:pt idx="23">
                  <c:v>0.8100000000000005</c:v>
                </c:pt>
                <c:pt idx="24">
                  <c:v>0.88000000000000056</c:v>
                </c:pt>
                <c:pt idx="25">
                  <c:v>0.95000000000000062</c:v>
                </c:pt>
                <c:pt idx="26">
                  <c:v>1.0200000000000007</c:v>
                </c:pt>
                <c:pt idx="27">
                  <c:v>1.0900000000000007</c:v>
                </c:pt>
                <c:pt idx="28">
                  <c:v>1.1600000000000008</c:v>
                </c:pt>
                <c:pt idx="29">
                  <c:v>1.2300000000000009</c:v>
                </c:pt>
              </c:numCache>
            </c:numRef>
          </c:cat>
          <c:val>
            <c:numRef>
              <c:f>'Sta_Mo '!$BW$114:$BW$143</c:f>
              <c:numCache>
                <c:formatCode>0.00E+00</c:formatCode>
                <c:ptCount val="30"/>
                <c:pt idx="0">
                  <c:v>1.4507009096625305E-2</c:v>
                </c:pt>
                <c:pt idx="1">
                  <c:v>2.4129933181059351E-2</c:v>
                </c:pt>
                <c:pt idx="2">
                  <c:v>3.8554400533286189E-2</c:v>
                </c:pt>
                <c:pt idx="3">
                  <c:v>5.9174063037168628E-2</c:v>
                </c:pt>
                <c:pt idx="4">
                  <c:v>8.7242564830930097E-2</c:v>
                </c:pt>
                <c:pt idx="5">
                  <c:v>0.12355634688688341</c:v>
                </c:pt>
                <c:pt idx="6">
                  <c:v>0.16808977404815559</c:v>
                </c:pt>
                <c:pt idx="7">
                  <c:v>0.21966310951829873</c:v>
                </c:pt>
                <c:pt idx="8">
                  <c:v>0.27574812018443157</c:v>
                </c:pt>
                <c:pt idx="9">
                  <c:v>0.33251220696764955</c:v>
                </c:pt>
                <c:pt idx="10">
                  <c:v>0.38516092948120734</c:v>
                </c:pt>
                <c:pt idx="11">
                  <c:v>0.42856476129645349</c:v>
                </c:pt>
                <c:pt idx="12">
                  <c:v>0.45806835504178151</c:v>
                </c:pt>
                <c:pt idx="13">
                  <c:v>0.47030946795740614</c:v>
                </c:pt>
                <c:pt idx="14">
                  <c:v>0.46384913699999714</c:v>
                </c:pt>
                <c:pt idx="15">
                  <c:v>0.43944991389624111</c:v>
                </c:pt>
                <c:pt idx="16">
                  <c:v>0.39992781845740255</c:v>
                </c:pt>
                <c:pt idx="17">
                  <c:v>0.34961772638531463</c:v>
                </c:pt>
                <c:pt idx="18">
                  <c:v>0.29359244377571264</c:v>
                </c:pt>
                <c:pt idx="19">
                  <c:v>0.23682955733343311</c:v>
                </c:pt>
                <c:pt idx="20">
                  <c:v>0.18351287206551115</c:v>
                </c:pt>
                <c:pt idx="21">
                  <c:v>0.13659561593196087</c:v>
                </c:pt>
                <c:pt idx="22">
                  <c:v>9.7666716902371956E-2</c:v>
                </c:pt>
                <c:pt idx="23">
                  <c:v>6.7080457650846248E-2</c:v>
                </c:pt>
                <c:pt idx="24">
                  <c:v>4.4257313139243457E-2</c:v>
                </c:pt>
                <c:pt idx="25">
                  <c:v>2.8048760329581417E-2</c:v>
                </c:pt>
                <c:pt idx="26">
                  <c:v>1.7075832979744288E-2</c:v>
                </c:pt>
                <c:pt idx="27">
                  <c:v>9.9859577599101419E-3</c:v>
                </c:pt>
                <c:pt idx="28">
                  <c:v>5.6096678938369017E-3</c:v>
                </c:pt>
                <c:pt idx="29">
                  <c:v>3.0270819355410904E-3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5FE-8F58-DB8AEBB41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262575"/>
        <c:axId val="1537724223"/>
      </c:areaChart>
      <c:barChart>
        <c:barDir val="col"/>
        <c:grouping val="clustered"/>
        <c:varyColors val="0"/>
        <c:ser>
          <c:idx val="1"/>
          <c:order val="1"/>
          <c:spPr>
            <a:solidFill>
              <a:srgbClr val="0000FF"/>
            </a:solidFill>
            <a:ln w="6350">
              <a:solidFill>
                <a:srgbClr val="0000FF"/>
              </a:solidFill>
            </a:ln>
            <a:effectLst/>
          </c:spPr>
          <c:invertIfNegative val="0"/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08B-45FE-8F58-DB8AEBB41AD9}"/>
              </c:ext>
            </c:extLst>
          </c:dPt>
          <c:cat>
            <c:numRef>
              <c:f>[2]Sta_Mo!$BW$85:$BW$114</c:f>
              <c:numCache>
                <c:formatCode>General</c:formatCode>
                <c:ptCount val="30"/>
                <c:pt idx="0">
                  <c:v>-2</c:v>
                </c:pt>
                <c:pt idx="1">
                  <c:v>-1.83</c:v>
                </c:pt>
                <c:pt idx="2">
                  <c:v>-1.6600000000000001</c:v>
                </c:pt>
                <c:pt idx="3">
                  <c:v>-1.4900000000000002</c:v>
                </c:pt>
                <c:pt idx="4">
                  <c:v>-1.3200000000000003</c:v>
                </c:pt>
                <c:pt idx="5">
                  <c:v>-1.1500000000000004</c:v>
                </c:pt>
                <c:pt idx="6">
                  <c:v>-0.98000000000000032</c:v>
                </c:pt>
                <c:pt idx="7">
                  <c:v>-0.81000000000000028</c:v>
                </c:pt>
                <c:pt idx="8">
                  <c:v>-0.64000000000000024</c:v>
                </c:pt>
                <c:pt idx="9">
                  <c:v>-0.4700000000000002</c:v>
                </c:pt>
                <c:pt idx="10">
                  <c:v>-0.30000000000000016</c:v>
                </c:pt>
                <c:pt idx="11">
                  <c:v>-0.13000000000000014</c:v>
                </c:pt>
                <c:pt idx="12">
                  <c:v>3.9999999999999869E-2</c:v>
                </c:pt>
                <c:pt idx="13">
                  <c:v>0.20999999999999988</c:v>
                </c:pt>
                <c:pt idx="14">
                  <c:v>0.37999999999999989</c:v>
                </c:pt>
                <c:pt idx="15">
                  <c:v>0.54999999999999993</c:v>
                </c:pt>
                <c:pt idx="16">
                  <c:v>0.72</c:v>
                </c:pt>
                <c:pt idx="17">
                  <c:v>0.89</c:v>
                </c:pt>
                <c:pt idx="18">
                  <c:v>1.06</c:v>
                </c:pt>
                <c:pt idx="19">
                  <c:v>1.23</c:v>
                </c:pt>
                <c:pt idx="20">
                  <c:v>1.4</c:v>
                </c:pt>
                <c:pt idx="21">
                  <c:v>1.5699999999999998</c:v>
                </c:pt>
                <c:pt idx="22">
                  <c:v>1.7399999999999998</c:v>
                </c:pt>
                <c:pt idx="23">
                  <c:v>1.9099999999999997</c:v>
                </c:pt>
                <c:pt idx="24">
                  <c:v>2.0799999999999996</c:v>
                </c:pt>
                <c:pt idx="25">
                  <c:v>2.2499999999999996</c:v>
                </c:pt>
                <c:pt idx="26">
                  <c:v>2.4199999999999995</c:v>
                </c:pt>
                <c:pt idx="27">
                  <c:v>2.5899999999999994</c:v>
                </c:pt>
                <c:pt idx="28">
                  <c:v>2.7599999999999993</c:v>
                </c:pt>
                <c:pt idx="29">
                  <c:v>2.9299999999999993</c:v>
                </c:pt>
              </c:numCache>
            </c:numRef>
          </c:cat>
          <c:val>
            <c:numRef>
              <c:f>'Sta_Mo '!$BW$146:$BW$175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8B-45FE-8F58-DB8AEBB41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4056351"/>
        <c:axId val="1537716735"/>
      </c:barChart>
      <c:catAx>
        <c:axId val="7940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37716735"/>
        <c:crosses val="autoZero"/>
        <c:auto val="1"/>
        <c:lblAlgn val="ctr"/>
        <c:lblOffset val="100"/>
        <c:noMultiLvlLbl val="0"/>
      </c:catAx>
      <c:valAx>
        <c:axId val="153771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94056351"/>
        <c:crosses val="autoZero"/>
        <c:crossBetween val="between"/>
      </c:valAx>
      <c:valAx>
        <c:axId val="153772422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7262575"/>
        <c:crosses val="max"/>
        <c:crossBetween val="between"/>
      </c:valAx>
      <c:catAx>
        <c:axId val="1607262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7724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sz="9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ALIMENTACION ROUGHER - PLANTA DE COBRE (%Cu)</a:t>
            </a:r>
          </a:p>
        </c:rich>
      </c:tx>
      <c:layout>
        <c:manualLayout>
          <c:xMode val="edge"/>
          <c:yMode val="edge"/>
          <c:x val="0.30406310177285278"/>
          <c:y val="3.1746153682009261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811327492299807E-2"/>
          <c:y val="0.1534395498500275"/>
          <c:w val="0.88466635906421442"/>
          <c:h val="0.64021329420183892"/>
        </c:manualLayout>
      </c:layout>
      <c:lineChart>
        <c:grouping val="standard"/>
        <c:varyColors val="0"/>
        <c:ser>
          <c:idx val="0"/>
          <c:order val="0"/>
          <c:tx>
            <c:strRef>
              <c:f>TABLA!$D$3</c:f>
              <c:strCache>
                <c:ptCount val="1"/>
                <c:pt idx="0">
                  <c:v>H COUR</c:v>
                </c:pt>
              </c:strCache>
            </c:strRef>
          </c:tx>
          <c:spPr>
            <a:ln w="25400" cap="rnd">
              <a:solidFill>
                <a:srgbClr val="1531FF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3F56FF"/>
              </a:solidFill>
              <a:ln w="9525">
                <a:solidFill>
                  <a:srgbClr val="3F56FF"/>
                </a:solidFill>
              </a:ln>
              <a:effectLst/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TABLA!$D$4:$D$65</c:f>
              <c:numCache>
                <c:formatCode>0.000</c:formatCode>
                <c:ptCount val="62"/>
                <c:pt idx="0">
                  <c:v>0.46027767658233643</c:v>
                </c:pt>
                <c:pt idx="1">
                  <c:v>0.46027767658233643</c:v>
                </c:pt>
                <c:pt idx="2">
                  <c:v>0.35865437984466553</c:v>
                </c:pt>
                <c:pt idx="3">
                  <c:v>0.35865437984466553</c:v>
                </c:pt>
                <c:pt idx="4">
                  <c:v>0.44376808404922485</c:v>
                </c:pt>
                <c:pt idx="5">
                  <c:v>0.57219672203063965</c:v>
                </c:pt>
                <c:pt idx="6">
                  <c:v>0.48242056369781494</c:v>
                </c:pt>
                <c:pt idx="7">
                  <c:v>0.51555341482162476</c:v>
                </c:pt>
                <c:pt idx="8">
                  <c:v>0.57536685466766357</c:v>
                </c:pt>
                <c:pt idx="9">
                  <c:v>0.44503811001777649</c:v>
                </c:pt>
                <c:pt idx="10">
                  <c:v>0.3785417377948761</c:v>
                </c:pt>
                <c:pt idx="11">
                  <c:v>0.33931806683540344</c:v>
                </c:pt>
                <c:pt idx="12">
                  <c:v>0.41729328036308289</c:v>
                </c:pt>
                <c:pt idx="13">
                  <c:v>0.33648413419723511</c:v>
                </c:pt>
                <c:pt idx="14">
                  <c:v>0.35056298971176147</c:v>
                </c:pt>
                <c:pt idx="15">
                  <c:v>0.40267342329025269</c:v>
                </c:pt>
                <c:pt idx="16">
                  <c:v>0.50069797039031982</c:v>
                </c:pt>
                <c:pt idx="17">
                  <c:v>0.50069797039031982</c:v>
                </c:pt>
                <c:pt idx="18">
                  <c:v>0.50124430656433105</c:v>
                </c:pt>
                <c:pt idx="19">
                  <c:v>0.54401510953903198</c:v>
                </c:pt>
                <c:pt idx="20">
                  <c:v>0.55490684509277344</c:v>
                </c:pt>
                <c:pt idx="21">
                  <c:v>0.66688883304595947</c:v>
                </c:pt>
                <c:pt idx="22">
                  <c:v>0.54411017894744873</c:v>
                </c:pt>
                <c:pt idx="23">
                  <c:v>0.50224167108535767</c:v>
                </c:pt>
                <c:pt idx="24">
                  <c:v>0.52994060516357422</c:v>
                </c:pt>
                <c:pt idx="25">
                  <c:v>0.51611995697021484</c:v>
                </c:pt>
                <c:pt idx="26">
                  <c:v>0.51611995697021484</c:v>
                </c:pt>
                <c:pt idx="27">
                  <c:v>0.50301653146743774</c:v>
                </c:pt>
                <c:pt idx="28">
                  <c:v>0.52647554874420166</c:v>
                </c:pt>
                <c:pt idx="29">
                  <c:v>0.48370522260665894</c:v>
                </c:pt>
                <c:pt idx="30">
                  <c:v>0.4848606288433075</c:v>
                </c:pt>
                <c:pt idx="31">
                  <c:v>0.54607230424880981</c:v>
                </c:pt>
                <c:pt idx="32">
                  <c:v>0.59998983144760132</c:v>
                </c:pt>
                <c:pt idx="33">
                  <c:v>0.50283354520797729</c:v>
                </c:pt>
                <c:pt idx="34">
                  <c:v>0.50231575965881348</c:v>
                </c:pt>
                <c:pt idx="35">
                  <c:v>0.40348759293556213</c:v>
                </c:pt>
                <c:pt idx="36">
                  <c:v>0.3736254870891571</c:v>
                </c:pt>
                <c:pt idx="37">
                  <c:v>0.44212466478347778</c:v>
                </c:pt>
                <c:pt idx="38">
                  <c:v>0.39033800363540649</c:v>
                </c:pt>
                <c:pt idx="39">
                  <c:v>0.40830069780349731</c:v>
                </c:pt>
                <c:pt idx="40">
                  <c:v>0.31929829716682434</c:v>
                </c:pt>
                <c:pt idx="41">
                  <c:v>0.43038392066955566</c:v>
                </c:pt>
                <c:pt idx="42">
                  <c:v>0.37649604678153992</c:v>
                </c:pt>
                <c:pt idx="43">
                  <c:v>0.37649604678153992</c:v>
                </c:pt>
                <c:pt idx="44">
                  <c:v>0.39491033554077148</c:v>
                </c:pt>
                <c:pt idx="45">
                  <c:v>0.39302888512611389</c:v>
                </c:pt>
                <c:pt idx="46">
                  <c:v>0.47926869988441467</c:v>
                </c:pt>
                <c:pt idx="47">
                  <c:v>0.44328445196151733</c:v>
                </c:pt>
                <c:pt idx="48">
                  <c:v>0.58981031179428101</c:v>
                </c:pt>
                <c:pt idx="49">
                  <c:v>0.49795740842819214</c:v>
                </c:pt>
                <c:pt idx="50">
                  <c:v>0.49200034141540527</c:v>
                </c:pt>
                <c:pt idx="51">
                  <c:v>0.49363160133361816</c:v>
                </c:pt>
                <c:pt idx="52">
                  <c:v>0.50143665075302124</c:v>
                </c:pt>
                <c:pt idx="53">
                  <c:v>0.48742231726646423</c:v>
                </c:pt>
                <c:pt idx="54">
                  <c:v>4.8636035919189453</c:v>
                </c:pt>
                <c:pt idx="55">
                  <c:v>4.8636035919189453</c:v>
                </c:pt>
                <c:pt idx="56">
                  <c:v>0.40904650092124939</c:v>
                </c:pt>
                <c:pt idx="57">
                  <c:v>0.41063079237937927</c:v>
                </c:pt>
                <c:pt idx="58">
                  <c:v>0.4107077419757843</c:v>
                </c:pt>
                <c:pt idx="59">
                  <c:v>0.44501632452011108</c:v>
                </c:pt>
                <c:pt idx="60">
                  <c:v>0.4757004976272583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CA1-4B52-9467-CA8BD8B80E59}"/>
            </c:ext>
          </c:extLst>
        </c:ser>
        <c:ser>
          <c:idx val="1"/>
          <c:order val="1"/>
          <c:tx>
            <c:strRef>
              <c:f>TABLA!$E$3</c:f>
              <c:strCache>
                <c:ptCount val="1"/>
                <c:pt idx="0">
                  <c:v>H LABO</c:v>
                </c:pt>
              </c:strCache>
            </c:strRef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TABLA!$E$4:$E$65</c:f>
              <c:numCache>
                <c:formatCode>0.000</c:formatCode>
                <c:ptCount val="62"/>
                <c:pt idx="0">
                  <c:v>0.60799999999999998</c:v>
                </c:pt>
                <c:pt idx="1">
                  <c:v>0.44500000000000001</c:v>
                </c:pt>
                <c:pt idx="2">
                  <c:v>0.50600000000000001</c:v>
                </c:pt>
                <c:pt idx="3">
                  <c:v>0.57799999999999996</c:v>
                </c:pt>
                <c:pt idx="4">
                  <c:v>0.53600000000000003</c:v>
                </c:pt>
                <c:pt idx="5">
                  <c:v>0.56499999999999995</c:v>
                </c:pt>
                <c:pt idx="6">
                  <c:v>0.52200000000000002</c:v>
                </c:pt>
                <c:pt idx="7">
                  <c:v>0.56799999999999995</c:v>
                </c:pt>
                <c:pt idx="8">
                  <c:v>0.501</c:v>
                </c:pt>
                <c:pt idx="9">
                  <c:v>0.40200000000000002</c:v>
                </c:pt>
                <c:pt idx="10">
                  <c:v>0.38200000000000001</c:v>
                </c:pt>
                <c:pt idx="11">
                  <c:v>0.35699999999999998</c:v>
                </c:pt>
                <c:pt idx="12">
                  <c:v>0.34200000000000003</c:v>
                </c:pt>
                <c:pt idx="13">
                  <c:v>0.36399999999999999</c:v>
                </c:pt>
                <c:pt idx="14">
                  <c:v>0.34599999999999997</c:v>
                </c:pt>
                <c:pt idx="15">
                  <c:v>0.39</c:v>
                </c:pt>
                <c:pt idx="16">
                  <c:v>0.504</c:v>
                </c:pt>
                <c:pt idx="17">
                  <c:v>0.55000000000000004</c:v>
                </c:pt>
                <c:pt idx="18">
                  <c:v>0.52200000000000002</c:v>
                </c:pt>
                <c:pt idx="19">
                  <c:v>0.624</c:v>
                </c:pt>
                <c:pt idx="20">
                  <c:v>0.58299999999999996</c:v>
                </c:pt>
                <c:pt idx="21">
                  <c:v>0.65100000000000002</c:v>
                </c:pt>
                <c:pt idx="22">
                  <c:v>0.54</c:v>
                </c:pt>
                <c:pt idx="23">
                  <c:v>0.58199999999999996</c:v>
                </c:pt>
                <c:pt idx="24">
                  <c:v>0.48499999999999999</c:v>
                </c:pt>
                <c:pt idx="25">
                  <c:v>0.56399999999999995</c:v>
                </c:pt>
                <c:pt idx="26">
                  <c:v>0.54</c:v>
                </c:pt>
                <c:pt idx="27">
                  <c:v>0.54500000000000004</c:v>
                </c:pt>
                <c:pt idx="28">
                  <c:v>0.52</c:v>
                </c:pt>
                <c:pt idx="29">
                  <c:v>0.46200000000000002</c:v>
                </c:pt>
                <c:pt idx="30">
                  <c:v>0.41799999999999998</c:v>
                </c:pt>
                <c:pt idx="31">
                  <c:v>0.45700000000000002</c:v>
                </c:pt>
                <c:pt idx="32">
                  <c:v>0.56200000000000006</c:v>
                </c:pt>
                <c:pt idx="33">
                  <c:v>0.46200000000000002</c:v>
                </c:pt>
                <c:pt idx="34">
                  <c:v>0.55000000000000004</c:v>
                </c:pt>
                <c:pt idx="35">
                  <c:v>0</c:v>
                </c:pt>
                <c:pt idx="36">
                  <c:v>0.441</c:v>
                </c:pt>
                <c:pt idx="37">
                  <c:v>0.48299999999999998</c:v>
                </c:pt>
                <c:pt idx="38">
                  <c:v>0.47599999999999998</c:v>
                </c:pt>
                <c:pt idx="39">
                  <c:v>0.46500000000000002</c:v>
                </c:pt>
                <c:pt idx="40">
                  <c:v>0.44400000000000001</c:v>
                </c:pt>
                <c:pt idx="41">
                  <c:v>0.48099999999999998</c:v>
                </c:pt>
                <c:pt idx="42">
                  <c:v>0.44600000000000001</c:v>
                </c:pt>
                <c:pt idx="43">
                  <c:v>0.40699999999999997</c:v>
                </c:pt>
                <c:pt idx="44">
                  <c:v>0.40600000000000003</c:v>
                </c:pt>
                <c:pt idx="45">
                  <c:v>0.441</c:v>
                </c:pt>
                <c:pt idx="46">
                  <c:v>0.505</c:v>
                </c:pt>
                <c:pt idx="47">
                  <c:v>0.47799999999999998</c:v>
                </c:pt>
                <c:pt idx="48">
                  <c:v>0.60599999999999998</c:v>
                </c:pt>
                <c:pt idx="49">
                  <c:v>0.52500000000000002</c:v>
                </c:pt>
                <c:pt idx="50">
                  <c:v>0.55600000000000005</c:v>
                </c:pt>
                <c:pt idx="51">
                  <c:v>0.54500000000000004</c:v>
                </c:pt>
                <c:pt idx="52">
                  <c:v>0.48</c:v>
                </c:pt>
                <c:pt idx="53">
                  <c:v>0.501</c:v>
                </c:pt>
                <c:pt idx="54">
                  <c:v>0.48299999999999998</c:v>
                </c:pt>
                <c:pt idx="55">
                  <c:v>0.46600000000000003</c:v>
                </c:pt>
                <c:pt idx="56">
                  <c:v>0.42899999999999999</c:v>
                </c:pt>
                <c:pt idx="57">
                  <c:v>0.443</c:v>
                </c:pt>
                <c:pt idx="58">
                  <c:v>0.40300000000000002</c:v>
                </c:pt>
                <c:pt idx="59">
                  <c:v>0.41899999999999998</c:v>
                </c:pt>
                <c:pt idx="60">
                  <c:v>0.47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CA1-4B52-9467-CA8BD8B80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8016"/>
        <c:axId val="347964680"/>
      </c:lineChart>
      <c:catAx>
        <c:axId val="347958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114053302083973"/>
              <c:y val="0.933864811613995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@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964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964680"/>
        <c:scaling>
          <c:orientation val="minMax"/>
          <c:max val="0.9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66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1.1795536001863997E-2"/>
              <c:y val="0.43650897296374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958016"/>
        <c:crosses val="autoZero"/>
        <c:crossBetween val="between"/>
        <c:majorUnit val="0.1"/>
        <c:minorUnit val="5.2502941589355499E-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75457054106768762"/>
          <c:y val="2.3884514435695538E-2"/>
          <c:w val="0.21834102065759134"/>
          <c:h val="6.0834729677829769E-2"/>
        </c:manualLayout>
      </c:layout>
      <c:overlay val="0"/>
      <c:spPr>
        <a:noFill/>
        <a:ln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 orientation="landscape" useFirstPageNumber="1"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ALIMENTACION ROUGHER - PLANTA DE COBRE (%Mo)</a:t>
            </a:r>
          </a:p>
        </c:rich>
      </c:tx>
      <c:layout>
        <c:manualLayout>
          <c:xMode val="edge"/>
          <c:yMode val="edge"/>
          <c:x val="0.26857892763404573"/>
          <c:y val="2.90237639214017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34419817470665E-2"/>
          <c:y val="0.16095007543246442"/>
          <c:w val="0.90221642764015642"/>
          <c:h val="0.63060767259604922"/>
        </c:manualLayout>
      </c:layout>
      <c:lineChart>
        <c:grouping val="standard"/>
        <c:varyColors val="0"/>
        <c:ser>
          <c:idx val="0"/>
          <c:order val="0"/>
          <c:tx>
            <c:strRef>
              <c:f>TABLA!$K$3</c:f>
              <c:strCache>
                <c:ptCount val="1"/>
                <c:pt idx="0">
                  <c:v>H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TABLA!$K$4:$K$65</c:f>
              <c:numCache>
                <c:formatCode>0.000</c:formatCode>
                <c:ptCount val="62"/>
                <c:pt idx="0">
                  <c:v>3.4962505102157593E-2</c:v>
                </c:pt>
                <c:pt idx="1">
                  <c:v>3.4962505102157593E-2</c:v>
                </c:pt>
                <c:pt idx="2">
                  <c:v>6.1913244426250458E-2</c:v>
                </c:pt>
                <c:pt idx="3">
                  <c:v>6.1913244426250458E-2</c:v>
                </c:pt>
                <c:pt idx="4">
                  <c:v>6.0916222631931305E-2</c:v>
                </c:pt>
                <c:pt idx="5">
                  <c:v>8.1276476383209229E-2</c:v>
                </c:pt>
                <c:pt idx="6">
                  <c:v>4.7046452760696411E-2</c:v>
                </c:pt>
                <c:pt idx="7">
                  <c:v>5.2778400480747223E-2</c:v>
                </c:pt>
                <c:pt idx="8">
                  <c:v>5.9039212763309479E-2</c:v>
                </c:pt>
                <c:pt idx="9">
                  <c:v>3.0947951599955559E-2</c:v>
                </c:pt>
                <c:pt idx="10">
                  <c:v>1.2126695364713669E-2</c:v>
                </c:pt>
                <c:pt idx="11">
                  <c:v>1.7472758889198303E-2</c:v>
                </c:pt>
                <c:pt idx="12">
                  <c:v>2.1746393293142319E-2</c:v>
                </c:pt>
                <c:pt idx="13">
                  <c:v>2.0116547122597694E-2</c:v>
                </c:pt>
                <c:pt idx="14">
                  <c:v>1.5217055566608906E-2</c:v>
                </c:pt>
                <c:pt idx="15">
                  <c:v>2.2319607436656952E-2</c:v>
                </c:pt>
                <c:pt idx="16">
                  <c:v>3.0464477837085724E-2</c:v>
                </c:pt>
                <c:pt idx="17">
                  <c:v>3.0464477837085724E-2</c:v>
                </c:pt>
                <c:pt idx="18">
                  <c:v>3.4926913678646088E-2</c:v>
                </c:pt>
                <c:pt idx="19">
                  <c:v>3.6339662969112396E-2</c:v>
                </c:pt>
                <c:pt idx="20">
                  <c:v>5.6744497269392014E-2</c:v>
                </c:pt>
                <c:pt idx="21">
                  <c:v>5.4548941552639008E-2</c:v>
                </c:pt>
                <c:pt idx="22">
                  <c:v>3.8658805191516876E-2</c:v>
                </c:pt>
                <c:pt idx="23">
                  <c:v>3.7576079368591309E-2</c:v>
                </c:pt>
                <c:pt idx="24">
                  <c:v>3.7001386284828186E-2</c:v>
                </c:pt>
                <c:pt idx="25">
                  <c:v>5.4881107062101364E-2</c:v>
                </c:pt>
                <c:pt idx="26">
                  <c:v>5.4881107062101364E-2</c:v>
                </c:pt>
                <c:pt idx="27">
                  <c:v>4.8253592103719711E-2</c:v>
                </c:pt>
                <c:pt idx="28">
                  <c:v>4.111630842089653E-2</c:v>
                </c:pt>
                <c:pt idx="29">
                  <c:v>4.466625303030014E-2</c:v>
                </c:pt>
                <c:pt idx="30">
                  <c:v>3.0782792717218399E-2</c:v>
                </c:pt>
                <c:pt idx="31">
                  <c:v>2.9813330620527267E-2</c:v>
                </c:pt>
                <c:pt idx="32">
                  <c:v>3.8391932845115662E-2</c:v>
                </c:pt>
                <c:pt idx="33">
                  <c:v>3.5930391401052475E-2</c:v>
                </c:pt>
                <c:pt idx="34">
                  <c:v>3.7116792052984238E-2</c:v>
                </c:pt>
                <c:pt idx="35">
                  <c:v>3.650277853012085E-2</c:v>
                </c:pt>
                <c:pt idx="36">
                  <c:v>4.6092774718999863E-2</c:v>
                </c:pt>
                <c:pt idx="37">
                  <c:v>5.0596009939908981E-2</c:v>
                </c:pt>
                <c:pt idx="38">
                  <c:v>3.931552916765213E-2</c:v>
                </c:pt>
                <c:pt idx="39">
                  <c:v>3.9904758334159851E-2</c:v>
                </c:pt>
                <c:pt idx="40">
                  <c:v>4.4588696211576462E-2</c:v>
                </c:pt>
                <c:pt idx="41">
                  <c:v>2.9418226331472397E-2</c:v>
                </c:pt>
                <c:pt idx="42">
                  <c:v>2.215956337749958E-2</c:v>
                </c:pt>
                <c:pt idx="43">
                  <c:v>2.215956337749958E-2</c:v>
                </c:pt>
                <c:pt idx="44">
                  <c:v>2.992715872824192E-2</c:v>
                </c:pt>
                <c:pt idx="45">
                  <c:v>2.2792842239141464E-2</c:v>
                </c:pt>
                <c:pt idx="46">
                  <c:v>5.4245349019765854E-2</c:v>
                </c:pt>
                <c:pt idx="47">
                  <c:v>4.9659151583909988E-2</c:v>
                </c:pt>
                <c:pt idx="48">
                  <c:v>6.5878219902515411E-2</c:v>
                </c:pt>
                <c:pt idx="49">
                  <c:v>4.901445284485817E-2</c:v>
                </c:pt>
                <c:pt idx="50">
                  <c:v>6.7074969410896301E-2</c:v>
                </c:pt>
                <c:pt idx="51">
                  <c:v>6.4989484846591949E-2</c:v>
                </c:pt>
                <c:pt idx="52">
                  <c:v>8.5331402719020844E-2</c:v>
                </c:pt>
                <c:pt idx="53">
                  <c:v>6.0495689511299133E-2</c:v>
                </c:pt>
                <c:pt idx="54">
                  <c:v>4.7902833670377731E-2</c:v>
                </c:pt>
                <c:pt idx="55">
                  <c:v>0.10000000149011612</c:v>
                </c:pt>
                <c:pt idx="56">
                  <c:v>4.8910781741142273E-2</c:v>
                </c:pt>
                <c:pt idx="57">
                  <c:v>4.5976787805557251E-2</c:v>
                </c:pt>
                <c:pt idx="58">
                  <c:v>5.1853619515895844E-2</c:v>
                </c:pt>
                <c:pt idx="59">
                  <c:v>3.6647330969572067E-2</c:v>
                </c:pt>
                <c:pt idx="60">
                  <c:v>2.761489525437355E-2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CF-4ABD-B7DF-DE54078F8102}"/>
            </c:ext>
          </c:extLst>
        </c:ser>
        <c:ser>
          <c:idx val="1"/>
          <c:order val="1"/>
          <c:tx>
            <c:strRef>
              <c:f>TABLA!$L$3</c:f>
              <c:strCache>
                <c:ptCount val="1"/>
                <c:pt idx="0">
                  <c:v>H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TABLA!$L$4:$L$65</c:f>
              <c:numCache>
                <c:formatCode>0.000</c:formatCode>
                <c:ptCount val="62"/>
                <c:pt idx="0">
                  <c:v>5.0999999999999997E-2</c:v>
                </c:pt>
                <c:pt idx="1">
                  <c:v>4.2999999999999997E-2</c:v>
                </c:pt>
                <c:pt idx="2">
                  <c:v>0.06</c:v>
                </c:pt>
                <c:pt idx="3">
                  <c:v>7.6999999999999999E-2</c:v>
                </c:pt>
                <c:pt idx="4">
                  <c:v>8.2000000000000003E-2</c:v>
                </c:pt>
                <c:pt idx="5">
                  <c:v>7.6999999999999999E-2</c:v>
                </c:pt>
                <c:pt idx="6">
                  <c:v>4.5999999999999999E-2</c:v>
                </c:pt>
                <c:pt idx="7">
                  <c:v>5.7000000000000002E-2</c:v>
                </c:pt>
                <c:pt idx="8">
                  <c:v>5.1999999999999998E-2</c:v>
                </c:pt>
                <c:pt idx="9">
                  <c:v>3.1E-2</c:v>
                </c:pt>
                <c:pt idx="10">
                  <c:v>1.4999999999999999E-2</c:v>
                </c:pt>
                <c:pt idx="11">
                  <c:v>1.0999999999999999E-2</c:v>
                </c:pt>
                <c:pt idx="12">
                  <c:v>1.2999999999999999E-2</c:v>
                </c:pt>
                <c:pt idx="13">
                  <c:v>1.2999999999999999E-2</c:v>
                </c:pt>
                <c:pt idx="14">
                  <c:v>0.01</c:v>
                </c:pt>
                <c:pt idx="15">
                  <c:v>1.4E-2</c:v>
                </c:pt>
                <c:pt idx="16">
                  <c:v>3.4000000000000002E-2</c:v>
                </c:pt>
                <c:pt idx="17">
                  <c:v>3.7999999999999999E-2</c:v>
                </c:pt>
                <c:pt idx="18">
                  <c:v>4.2999999999999997E-2</c:v>
                </c:pt>
                <c:pt idx="19">
                  <c:v>4.7E-2</c:v>
                </c:pt>
                <c:pt idx="20">
                  <c:v>6.7000000000000004E-2</c:v>
                </c:pt>
                <c:pt idx="21">
                  <c:v>5.3999999999999999E-2</c:v>
                </c:pt>
                <c:pt idx="22">
                  <c:v>4.2000000000000003E-2</c:v>
                </c:pt>
                <c:pt idx="23">
                  <c:v>4.3999999999999997E-2</c:v>
                </c:pt>
                <c:pt idx="24">
                  <c:v>4.4999999999999998E-2</c:v>
                </c:pt>
                <c:pt idx="25">
                  <c:v>0.06</c:v>
                </c:pt>
                <c:pt idx="26">
                  <c:v>4.1000000000000002E-2</c:v>
                </c:pt>
                <c:pt idx="27">
                  <c:v>0.05</c:v>
                </c:pt>
                <c:pt idx="28">
                  <c:v>4.5999999999999999E-2</c:v>
                </c:pt>
                <c:pt idx="29">
                  <c:v>3.5999999999999997E-2</c:v>
                </c:pt>
                <c:pt idx="30">
                  <c:v>2.7E-2</c:v>
                </c:pt>
                <c:pt idx="31">
                  <c:v>2.5999999999999999E-2</c:v>
                </c:pt>
                <c:pt idx="32">
                  <c:v>3.2000000000000001E-2</c:v>
                </c:pt>
                <c:pt idx="33">
                  <c:v>4.2000000000000003E-2</c:v>
                </c:pt>
                <c:pt idx="34">
                  <c:v>3.5999999999999997E-2</c:v>
                </c:pt>
                <c:pt idx="35">
                  <c:v>0</c:v>
                </c:pt>
                <c:pt idx="36">
                  <c:v>0.05</c:v>
                </c:pt>
                <c:pt idx="37">
                  <c:v>5.7000000000000002E-2</c:v>
                </c:pt>
                <c:pt idx="38">
                  <c:v>4.3999999999999997E-2</c:v>
                </c:pt>
                <c:pt idx="39">
                  <c:v>3.6999999999999998E-2</c:v>
                </c:pt>
                <c:pt idx="40">
                  <c:v>3.5999999999999997E-2</c:v>
                </c:pt>
                <c:pt idx="41">
                  <c:v>3.5000000000000003E-2</c:v>
                </c:pt>
                <c:pt idx="42">
                  <c:v>2.7E-2</c:v>
                </c:pt>
                <c:pt idx="43">
                  <c:v>3.5999999999999997E-2</c:v>
                </c:pt>
                <c:pt idx="44">
                  <c:v>3.3000000000000002E-2</c:v>
                </c:pt>
                <c:pt idx="45">
                  <c:v>4.2000000000000003E-2</c:v>
                </c:pt>
                <c:pt idx="46">
                  <c:v>6.3E-2</c:v>
                </c:pt>
                <c:pt idx="47">
                  <c:v>5.0999999999999997E-2</c:v>
                </c:pt>
                <c:pt idx="48">
                  <c:v>6.3E-2</c:v>
                </c:pt>
                <c:pt idx="49">
                  <c:v>3.9E-2</c:v>
                </c:pt>
                <c:pt idx="50">
                  <c:v>7.6999999999999999E-2</c:v>
                </c:pt>
                <c:pt idx="51">
                  <c:v>6.9000000000000006E-2</c:v>
                </c:pt>
                <c:pt idx="52">
                  <c:v>0.08</c:v>
                </c:pt>
                <c:pt idx="53">
                  <c:v>5.3999999999999999E-2</c:v>
                </c:pt>
                <c:pt idx="54">
                  <c:v>5.7000000000000002E-2</c:v>
                </c:pt>
                <c:pt idx="55">
                  <c:v>3.6999999999999998E-2</c:v>
                </c:pt>
                <c:pt idx="56">
                  <c:v>5.2999999999999999E-2</c:v>
                </c:pt>
                <c:pt idx="57">
                  <c:v>4.4999999999999998E-2</c:v>
                </c:pt>
                <c:pt idx="58">
                  <c:v>5.7000000000000002E-2</c:v>
                </c:pt>
                <c:pt idx="59">
                  <c:v>4.2000000000000003E-2</c:v>
                </c:pt>
                <c:pt idx="60">
                  <c:v>3.4000000000000002E-2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CF-4ABD-B7DF-DE54078F8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1352"/>
        <c:axId val="347950960"/>
      </c:lineChart>
      <c:catAx>
        <c:axId val="347951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368974332753858"/>
              <c:y val="0.93403816414840035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09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950960"/>
        <c:scaling>
          <c:orientation val="minMax"/>
          <c:max val="8.0000000000000016E-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6.5188669598118419E-3"/>
              <c:y val="0.4353567425693409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1352"/>
        <c:crosses val="autoZero"/>
        <c:crossBetween val="between"/>
        <c:majorUnit val="0.02"/>
        <c:minorUnit val="8.9999999999999993E-3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2204574428196477"/>
          <c:y val="2.3746612754486772E-2"/>
          <c:w val="0.23989569485632478"/>
          <c:h val="5.54089522593459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1200" verticalDpi="1200"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COLA FINAL - PLANTA DE COBRE (%Cu)</a:t>
            </a:r>
          </a:p>
        </c:rich>
      </c:tx>
      <c:layout>
        <c:manualLayout>
          <c:xMode val="edge"/>
          <c:yMode val="edge"/>
          <c:x val="0.35471205603862754"/>
          <c:y val="3.14960629921259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51832460732987E-2"/>
          <c:y val="8.3989716591096081E-2"/>
          <c:w val="0.89005235602094246"/>
          <c:h val="0.72966066288514719"/>
        </c:manualLayout>
      </c:layout>
      <c:lineChart>
        <c:grouping val="standard"/>
        <c:varyColors val="0"/>
        <c:ser>
          <c:idx val="0"/>
          <c:order val="0"/>
          <c:tx>
            <c:strRef>
              <c:f>TABLA!$AD$3</c:f>
              <c:strCache>
                <c:ptCount val="1"/>
                <c:pt idx="0">
                  <c:v>T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TABLA!$AD$4:$AD$65</c:f>
              <c:numCache>
                <c:formatCode>0.000</c:formatCode>
                <c:ptCount val="62"/>
                <c:pt idx="0">
                  <c:v>4.5330308377742767E-2</c:v>
                </c:pt>
                <c:pt idx="1">
                  <c:v>4.9011528491973877E-2</c:v>
                </c:pt>
                <c:pt idx="2">
                  <c:v>3.435400128364563E-2</c:v>
                </c:pt>
                <c:pt idx="3">
                  <c:v>3.435400128364563E-2</c:v>
                </c:pt>
                <c:pt idx="4">
                  <c:v>4.1274219751358032E-2</c:v>
                </c:pt>
                <c:pt idx="5">
                  <c:v>4.2272794991731644E-2</c:v>
                </c:pt>
                <c:pt idx="6">
                  <c:v>4.3797757476568222E-2</c:v>
                </c:pt>
                <c:pt idx="7">
                  <c:v>6.2635160982608795E-2</c:v>
                </c:pt>
                <c:pt idx="8">
                  <c:v>6.6029533743858337E-2</c:v>
                </c:pt>
                <c:pt idx="9">
                  <c:v>4.7765485942363739E-2</c:v>
                </c:pt>
                <c:pt idx="10">
                  <c:v>3.6522500216960907E-2</c:v>
                </c:pt>
                <c:pt idx="11">
                  <c:v>2.6393812149763107E-2</c:v>
                </c:pt>
                <c:pt idx="12">
                  <c:v>2.9643239453434944E-2</c:v>
                </c:pt>
                <c:pt idx="13">
                  <c:v>3.2213561236858368E-2</c:v>
                </c:pt>
                <c:pt idx="14">
                  <c:v>3.4870393574237823E-2</c:v>
                </c:pt>
                <c:pt idx="15">
                  <c:v>3.715331107378006E-2</c:v>
                </c:pt>
                <c:pt idx="16">
                  <c:v>5.3573578596115112E-2</c:v>
                </c:pt>
                <c:pt idx="17">
                  <c:v>5.3573578596115112E-2</c:v>
                </c:pt>
                <c:pt idx="18">
                  <c:v>5.818692222237587E-2</c:v>
                </c:pt>
                <c:pt idx="19">
                  <c:v>5.7170253247022629E-2</c:v>
                </c:pt>
                <c:pt idx="20">
                  <c:v>5.6438181549310684E-2</c:v>
                </c:pt>
                <c:pt idx="21">
                  <c:v>5.5715203285217285E-2</c:v>
                </c:pt>
                <c:pt idx="22">
                  <c:v>5.8153107762336731E-2</c:v>
                </c:pt>
                <c:pt idx="23">
                  <c:v>4.7265607863664627E-2</c:v>
                </c:pt>
                <c:pt idx="24">
                  <c:v>3.9520304650068283E-2</c:v>
                </c:pt>
                <c:pt idx="25">
                  <c:v>4.3544553220272064E-2</c:v>
                </c:pt>
                <c:pt idx="26">
                  <c:v>4.3544553220272064E-2</c:v>
                </c:pt>
                <c:pt idx="27">
                  <c:v>4.91303950548172E-2</c:v>
                </c:pt>
                <c:pt idx="28">
                  <c:v>5.4201267659664154E-2</c:v>
                </c:pt>
                <c:pt idx="29">
                  <c:v>4.2360253632068634E-2</c:v>
                </c:pt>
                <c:pt idx="30">
                  <c:v>3.6531712859869003E-2</c:v>
                </c:pt>
                <c:pt idx="31">
                  <c:v>4.2536173015832901E-2</c:v>
                </c:pt>
                <c:pt idx="32">
                  <c:v>5.7420451194047928E-2</c:v>
                </c:pt>
                <c:pt idx="33">
                  <c:v>5.4978996515274048E-2</c:v>
                </c:pt>
                <c:pt idx="34">
                  <c:v>5.5254612118005753E-2</c:v>
                </c:pt>
                <c:pt idx="35">
                  <c:v>4.4345006346702576E-2</c:v>
                </c:pt>
                <c:pt idx="36">
                  <c:v>4.000009223818779E-2</c:v>
                </c:pt>
                <c:pt idx="37">
                  <c:v>4.8696577548980713E-2</c:v>
                </c:pt>
                <c:pt idx="38">
                  <c:v>4.5061357319355011E-2</c:v>
                </c:pt>
                <c:pt idx="39">
                  <c:v>3.5695921629667282E-2</c:v>
                </c:pt>
                <c:pt idx="40">
                  <c:v>4.8773180693387985E-2</c:v>
                </c:pt>
                <c:pt idx="41">
                  <c:v>5.5096399039030075E-2</c:v>
                </c:pt>
                <c:pt idx="42">
                  <c:v>4.8279803246259689E-2</c:v>
                </c:pt>
                <c:pt idx="43">
                  <c:v>4.8279803246259689E-2</c:v>
                </c:pt>
                <c:pt idx="44">
                  <c:v>4.9260232597589493E-2</c:v>
                </c:pt>
                <c:pt idx="45">
                  <c:v>4.7958869487047195E-2</c:v>
                </c:pt>
                <c:pt idx="46">
                  <c:v>5.2695110440254211E-2</c:v>
                </c:pt>
                <c:pt idx="47">
                  <c:v>5.2739962935447693E-2</c:v>
                </c:pt>
                <c:pt idx="48">
                  <c:v>5.8412514626979828E-2</c:v>
                </c:pt>
                <c:pt idx="49">
                  <c:v>6.5444730222225189E-2</c:v>
                </c:pt>
                <c:pt idx="50">
                  <c:v>6.17174431681633E-2</c:v>
                </c:pt>
                <c:pt idx="51">
                  <c:v>6.17174431681633E-2</c:v>
                </c:pt>
                <c:pt idx="52">
                  <c:v>6.17174431681633E-2</c:v>
                </c:pt>
                <c:pt idx="53">
                  <c:v>6.17174431681633E-2</c:v>
                </c:pt>
                <c:pt idx="54">
                  <c:v>6.17174431681633E-2</c:v>
                </c:pt>
                <c:pt idx="55">
                  <c:v>6.17174431681633E-2</c:v>
                </c:pt>
                <c:pt idx="56">
                  <c:v>6.17174431681633E-2</c:v>
                </c:pt>
                <c:pt idx="57">
                  <c:v>6.17174431681633E-2</c:v>
                </c:pt>
                <c:pt idx="58">
                  <c:v>6.17174431681633E-2</c:v>
                </c:pt>
                <c:pt idx="59">
                  <c:v>4.5126523822546005E-2</c:v>
                </c:pt>
                <c:pt idx="60">
                  <c:v>4.7551747411489487E-2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B-421A-B6B3-5DBE1470F048}"/>
            </c:ext>
          </c:extLst>
        </c:ser>
        <c:ser>
          <c:idx val="1"/>
          <c:order val="1"/>
          <c:tx>
            <c:strRef>
              <c:f>TABLA!$AE$3</c:f>
              <c:strCache>
                <c:ptCount val="1"/>
                <c:pt idx="0">
                  <c:v>T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TABLA!$AE$4:$AE$65</c:f>
              <c:numCache>
                <c:formatCode>0.000</c:formatCode>
                <c:ptCount val="62"/>
                <c:pt idx="0">
                  <c:v>4.4999999999999998E-2</c:v>
                </c:pt>
                <c:pt idx="1">
                  <c:v>4.2999999999999997E-2</c:v>
                </c:pt>
                <c:pt idx="2">
                  <c:v>3.2000000000000001E-2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4.1000000000000002E-2</c:v>
                </c:pt>
                <c:pt idx="6">
                  <c:v>4.2000000000000003E-2</c:v>
                </c:pt>
                <c:pt idx="7">
                  <c:v>4.9000000000000002E-2</c:v>
                </c:pt>
                <c:pt idx="8">
                  <c:v>6.6000000000000003E-2</c:v>
                </c:pt>
                <c:pt idx="9">
                  <c:v>0.04</c:v>
                </c:pt>
                <c:pt idx="10">
                  <c:v>0.03</c:v>
                </c:pt>
                <c:pt idx="11">
                  <c:v>2.7E-2</c:v>
                </c:pt>
                <c:pt idx="12">
                  <c:v>3.5000000000000003E-2</c:v>
                </c:pt>
                <c:pt idx="13">
                  <c:v>4.5999999999999999E-2</c:v>
                </c:pt>
                <c:pt idx="14">
                  <c:v>3.5999999999999997E-2</c:v>
                </c:pt>
                <c:pt idx="15">
                  <c:v>3.4000000000000002E-2</c:v>
                </c:pt>
                <c:pt idx="16">
                  <c:v>3.4000000000000002E-2</c:v>
                </c:pt>
                <c:pt idx="17">
                  <c:v>4.1000000000000002E-2</c:v>
                </c:pt>
                <c:pt idx="18">
                  <c:v>3.6999999999999998E-2</c:v>
                </c:pt>
                <c:pt idx="19">
                  <c:v>4.7E-2</c:v>
                </c:pt>
                <c:pt idx="20">
                  <c:v>2.9000000000000001E-2</c:v>
                </c:pt>
                <c:pt idx="21">
                  <c:v>4.8000000000000001E-2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0.04</c:v>
                </c:pt>
                <c:pt idx="25">
                  <c:v>3.6999999999999998E-2</c:v>
                </c:pt>
                <c:pt idx="26">
                  <c:v>4.9000000000000002E-2</c:v>
                </c:pt>
                <c:pt idx="27">
                  <c:v>4.9000000000000002E-2</c:v>
                </c:pt>
                <c:pt idx="28">
                  <c:v>3.9E-2</c:v>
                </c:pt>
                <c:pt idx="29">
                  <c:v>2.7E-2</c:v>
                </c:pt>
                <c:pt idx="30">
                  <c:v>2.3E-2</c:v>
                </c:pt>
                <c:pt idx="31">
                  <c:v>3.9E-2</c:v>
                </c:pt>
                <c:pt idx="32">
                  <c:v>4.4999999999999998E-2</c:v>
                </c:pt>
                <c:pt idx="33">
                  <c:v>4.9000000000000002E-2</c:v>
                </c:pt>
                <c:pt idx="34">
                  <c:v>0.04</c:v>
                </c:pt>
                <c:pt idx="35">
                  <c:v>0</c:v>
                </c:pt>
                <c:pt idx="36">
                  <c:v>5.5E-2</c:v>
                </c:pt>
                <c:pt idx="37">
                  <c:v>5.8999999999999997E-2</c:v>
                </c:pt>
                <c:pt idx="38">
                  <c:v>5.0999999999999997E-2</c:v>
                </c:pt>
                <c:pt idx="39">
                  <c:v>3.1E-2</c:v>
                </c:pt>
                <c:pt idx="40">
                  <c:v>0.05</c:v>
                </c:pt>
                <c:pt idx="41">
                  <c:v>5.5E-2</c:v>
                </c:pt>
                <c:pt idx="42">
                  <c:v>4.5999999999999999E-2</c:v>
                </c:pt>
                <c:pt idx="43">
                  <c:v>3.9E-2</c:v>
                </c:pt>
                <c:pt idx="44">
                  <c:v>3.6999999999999998E-2</c:v>
                </c:pt>
                <c:pt idx="45">
                  <c:v>5.3999999999999999E-2</c:v>
                </c:pt>
                <c:pt idx="46">
                  <c:v>4.8000000000000001E-2</c:v>
                </c:pt>
                <c:pt idx="47">
                  <c:v>5.1999999999999998E-2</c:v>
                </c:pt>
                <c:pt idx="48">
                  <c:v>5.8999999999999997E-2</c:v>
                </c:pt>
                <c:pt idx="49">
                  <c:v>5.0999999999999997E-2</c:v>
                </c:pt>
                <c:pt idx="50">
                  <c:v>5.3999999999999999E-2</c:v>
                </c:pt>
                <c:pt idx="51">
                  <c:v>5.1999999999999998E-2</c:v>
                </c:pt>
                <c:pt idx="52">
                  <c:v>3.5999999999999997E-2</c:v>
                </c:pt>
                <c:pt idx="53">
                  <c:v>5.2999999999999999E-2</c:v>
                </c:pt>
                <c:pt idx="54">
                  <c:v>4.4999999999999998E-2</c:v>
                </c:pt>
                <c:pt idx="55">
                  <c:v>6.3E-2</c:v>
                </c:pt>
                <c:pt idx="56">
                  <c:v>5.2999999999999999E-2</c:v>
                </c:pt>
                <c:pt idx="57">
                  <c:v>6.2E-2</c:v>
                </c:pt>
                <c:pt idx="58">
                  <c:v>5.1999999999999998E-2</c:v>
                </c:pt>
                <c:pt idx="59">
                  <c:v>4.9000000000000002E-2</c:v>
                </c:pt>
                <c:pt idx="60">
                  <c:v>5.8000000000000003E-2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6B-421A-B6B3-5DBE1470F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0568"/>
        <c:axId val="347965856"/>
      </c:lineChart>
      <c:catAx>
        <c:axId val="347950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0785341532438821"/>
              <c:y val="0.93438574210481762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6585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965856"/>
        <c:scaling>
          <c:orientation val="minMax"/>
          <c:max val="0.1600000000000000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6.5445013636659171E-3"/>
              <c:y val="0.412074619704794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0568"/>
        <c:crosses val="autoZero"/>
        <c:crossBetween val="between"/>
        <c:majorUnit val="0.02"/>
        <c:minorUnit val="7.0000000000000001E-3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25131148045868"/>
          <c:y val="2.0997375328083989E-2"/>
          <c:w val="0.24083770493486234"/>
          <c:h val="5.5118392459007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COLA FINAL - PLANTA DE COBRE (%Mo)</a:t>
            </a:r>
          </a:p>
        </c:rich>
      </c:tx>
      <c:layout>
        <c:manualLayout>
          <c:xMode val="edge"/>
          <c:yMode val="edge"/>
          <c:x val="0.35424882436570426"/>
          <c:y val="3.14135934080625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353046304440236E-2"/>
          <c:y val="8.6387544977535202E-2"/>
          <c:w val="0.8993475532929347"/>
          <c:h val="0.73036742571916125"/>
        </c:manualLayout>
      </c:layout>
      <c:lineChart>
        <c:grouping val="standard"/>
        <c:varyColors val="0"/>
        <c:ser>
          <c:idx val="0"/>
          <c:order val="0"/>
          <c:tx>
            <c:strRef>
              <c:f>TABLA!$AK$3</c:f>
              <c:strCache>
                <c:ptCount val="1"/>
                <c:pt idx="0">
                  <c:v>T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TABLA!$AK$4:$AK$65</c:f>
              <c:numCache>
                <c:formatCode>0.000</c:formatCode>
                <c:ptCount val="62"/>
                <c:pt idx="0">
                  <c:v>6.6227056086063385E-3</c:v>
                </c:pt>
                <c:pt idx="1">
                  <c:v>6.8858852609992027E-3</c:v>
                </c:pt>
                <c:pt idx="2">
                  <c:v>3.438678802922368E-3</c:v>
                </c:pt>
                <c:pt idx="3">
                  <c:v>3.438678802922368E-3</c:v>
                </c:pt>
                <c:pt idx="4">
                  <c:v>3.662097966298461E-3</c:v>
                </c:pt>
                <c:pt idx="5">
                  <c:v>7.5074052438139915E-3</c:v>
                </c:pt>
                <c:pt idx="6">
                  <c:v>7.7576441690325737E-3</c:v>
                </c:pt>
                <c:pt idx="7">
                  <c:v>8.3280261605978012E-3</c:v>
                </c:pt>
                <c:pt idx="8">
                  <c:v>9.1239567846059799E-3</c:v>
                </c:pt>
                <c:pt idx="9">
                  <c:v>7.0773507468402386E-3</c:v>
                </c:pt>
                <c:pt idx="10">
                  <c:v>4.9933972768485546E-3</c:v>
                </c:pt>
                <c:pt idx="11">
                  <c:v>4.9688247963786125E-3</c:v>
                </c:pt>
                <c:pt idx="12">
                  <c:v>4.8410291783511639E-3</c:v>
                </c:pt>
                <c:pt idx="13">
                  <c:v>4.6929623931646347E-3</c:v>
                </c:pt>
                <c:pt idx="14">
                  <c:v>5.1071378402411938E-3</c:v>
                </c:pt>
                <c:pt idx="15">
                  <c:v>5.7759997434914112E-3</c:v>
                </c:pt>
                <c:pt idx="16">
                  <c:v>6.0481196269392967E-3</c:v>
                </c:pt>
                <c:pt idx="17">
                  <c:v>6.0481196269392967E-3</c:v>
                </c:pt>
                <c:pt idx="18">
                  <c:v>6.0471352189779282E-3</c:v>
                </c:pt>
                <c:pt idx="19">
                  <c:v>6.0328668914735317E-3</c:v>
                </c:pt>
                <c:pt idx="20">
                  <c:v>6.1585265211760998E-3</c:v>
                </c:pt>
                <c:pt idx="21">
                  <c:v>6.0805738903582096E-3</c:v>
                </c:pt>
                <c:pt idx="22">
                  <c:v>5.8166664093732834E-3</c:v>
                </c:pt>
                <c:pt idx="23">
                  <c:v>5.8533637784421444E-3</c:v>
                </c:pt>
                <c:pt idx="24">
                  <c:v>5.8762929402291775E-3</c:v>
                </c:pt>
                <c:pt idx="25">
                  <c:v>5.9555773623287678E-3</c:v>
                </c:pt>
                <c:pt idx="26">
                  <c:v>5.9555773623287678E-3</c:v>
                </c:pt>
                <c:pt idx="27">
                  <c:v>7.0704706013202667E-3</c:v>
                </c:pt>
                <c:pt idx="28">
                  <c:v>6.2847882509231567E-3</c:v>
                </c:pt>
                <c:pt idx="29">
                  <c:v>5.8496575802564621E-3</c:v>
                </c:pt>
                <c:pt idx="30">
                  <c:v>4.6094655990600586E-3</c:v>
                </c:pt>
                <c:pt idx="31">
                  <c:v>4.3897973373532295E-3</c:v>
                </c:pt>
                <c:pt idx="32">
                  <c:v>5.1697702147066593E-3</c:v>
                </c:pt>
                <c:pt idx="33">
                  <c:v>5.4571120999753475E-3</c:v>
                </c:pt>
                <c:pt idx="34">
                  <c:v>5.1274113357067108E-3</c:v>
                </c:pt>
                <c:pt idx="35">
                  <c:v>4.8520802520215511E-3</c:v>
                </c:pt>
                <c:pt idx="36">
                  <c:v>4.4990410096943378E-3</c:v>
                </c:pt>
                <c:pt idx="37">
                  <c:v>5.2151018753647804E-3</c:v>
                </c:pt>
                <c:pt idx="38">
                  <c:v>5.0686276517808437E-3</c:v>
                </c:pt>
                <c:pt idx="39">
                  <c:v>4.6232151798903942E-3</c:v>
                </c:pt>
                <c:pt idx="40">
                  <c:v>4.381291102617979E-3</c:v>
                </c:pt>
                <c:pt idx="41">
                  <c:v>4.7700437717139721E-3</c:v>
                </c:pt>
                <c:pt idx="42">
                  <c:v>3.8191855419427156E-3</c:v>
                </c:pt>
                <c:pt idx="43">
                  <c:v>3.8191855419427156E-3</c:v>
                </c:pt>
                <c:pt idx="44">
                  <c:v>4.5977793633937836E-3</c:v>
                </c:pt>
                <c:pt idx="45">
                  <c:v>6.5962597727775574E-3</c:v>
                </c:pt>
                <c:pt idx="46">
                  <c:v>7.822331041097641E-3</c:v>
                </c:pt>
                <c:pt idx="47">
                  <c:v>7.6515157707035542E-3</c:v>
                </c:pt>
                <c:pt idx="48">
                  <c:v>8.9856330305337906E-3</c:v>
                </c:pt>
                <c:pt idx="49">
                  <c:v>1.1116042733192444E-2</c:v>
                </c:pt>
                <c:pt idx="50">
                  <c:v>1.0092724114656448E-2</c:v>
                </c:pt>
                <c:pt idx="51">
                  <c:v>1.0092724114656448E-2</c:v>
                </c:pt>
                <c:pt idx="52">
                  <c:v>1.0092724114656448E-2</c:v>
                </c:pt>
                <c:pt idx="53">
                  <c:v>1.0092724114656448E-2</c:v>
                </c:pt>
                <c:pt idx="54">
                  <c:v>1.0092724114656448E-2</c:v>
                </c:pt>
                <c:pt idx="55">
                  <c:v>1.0092724114656448E-2</c:v>
                </c:pt>
                <c:pt idx="56">
                  <c:v>1.0092724114656448E-2</c:v>
                </c:pt>
                <c:pt idx="57">
                  <c:v>1.0092724114656448E-2</c:v>
                </c:pt>
                <c:pt idx="58">
                  <c:v>1.0092724114656448E-2</c:v>
                </c:pt>
                <c:pt idx="59">
                  <c:v>1.0805998928844929E-2</c:v>
                </c:pt>
                <c:pt idx="60">
                  <c:v>1.1307978071272373E-2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A-44B4-9B6D-017E219B075B}"/>
            </c:ext>
          </c:extLst>
        </c:ser>
        <c:ser>
          <c:idx val="1"/>
          <c:order val="1"/>
          <c:tx>
            <c:strRef>
              <c:f>TABLA!$AL$3</c:f>
              <c:strCache>
                <c:ptCount val="1"/>
                <c:pt idx="0">
                  <c:v>T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TABLA!$AL$4:$AL$65</c:f>
              <c:numCache>
                <c:formatCode>0.000</c:formatCode>
                <c:ptCount val="62"/>
                <c:pt idx="0">
                  <c:v>7.0000000000000001E-3</c:v>
                </c:pt>
                <c:pt idx="1">
                  <c:v>6.0000000000000001E-3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1.2999999999999999E-2</c:v>
                </c:pt>
                <c:pt idx="5">
                  <c:v>1.2E-2</c:v>
                </c:pt>
                <c:pt idx="6">
                  <c:v>8.0000000000000002E-3</c:v>
                </c:pt>
                <c:pt idx="7">
                  <c:v>1.0999999999999999E-2</c:v>
                </c:pt>
                <c:pt idx="8">
                  <c:v>1.2999999999999999E-2</c:v>
                </c:pt>
                <c:pt idx="9">
                  <c:v>7.0000000000000001E-3</c:v>
                </c:pt>
                <c:pt idx="10">
                  <c:v>4.0000000000000001E-3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2E-3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7.0000000000000001E-3</c:v>
                </c:pt>
                <c:pt idx="19">
                  <c:v>7.0000000000000001E-3</c:v>
                </c:pt>
                <c:pt idx="20">
                  <c:v>6.0000000000000001E-3</c:v>
                </c:pt>
                <c:pt idx="21">
                  <c:v>7.0000000000000001E-3</c:v>
                </c:pt>
                <c:pt idx="22">
                  <c:v>7.0000000000000001E-3</c:v>
                </c:pt>
                <c:pt idx="23">
                  <c:v>6.0000000000000001E-3</c:v>
                </c:pt>
                <c:pt idx="24">
                  <c:v>7.0000000000000001E-3</c:v>
                </c:pt>
                <c:pt idx="25">
                  <c:v>7.0000000000000001E-3</c:v>
                </c:pt>
                <c:pt idx="26">
                  <c:v>7.0000000000000001E-3</c:v>
                </c:pt>
                <c:pt idx="27">
                  <c:v>7.0000000000000001E-3</c:v>
                </c:pt>
                <c:pt idx="28">
                  <c:v>5.0000000000000001E-3</c:v>
                </c:pt>
                <c:pt idx="29">
                  <c:v>4.0000000000000001E-3</c:v>
                </c:pt>
                <c:pt idx="30">
                  <c:v>3.0000000000000001E-3</c:v>
                </c:pt>
                <c:pt idx="31">
                  <c:v>4.0000000000000001E-3</c:v>
                </c:pt>
                <c:pt idx="32">
                  <c:v>4.0000000000000001E-3</c:v>
                </c:pt>
                <c:pt idx="33">
                  <c:v>7.0000000000000001E-3</c:v>
                </c:pt>
                <c:pt idx="34">
                  <c:v>6.0000000000000001E-3</c:v>
                </c:pt>
                <c:pt idx="35">
                  <c:v>0</c:v>
                </c:pt>
                <c:pt idx="36">
                  <c:v>8.0000000000000002E-3</c:v>
                </c:pt>
                <c:pt idx="37">
                  <c:v>1.2E-2</c:v>
                </c:pt>
                <c:pt idx="38">
                  <c:v>8.0000000000000002E-3</c:v>
                </c:pt>
                <c:pt idx="39">
                  <c:v>5.0000000000000001E-3</c:v>
                </c:pt>
                <c:pt idx="40">
                  <c:v>6.0000000000000001E-3</c:v>
                </c:pt>
                <c:pt idx="41">
                  <c:v>7.0000000000000001E-3</c:v>
                </c:pt>
                <c:pt idx="42">
                  <c:v>5.0000000000000001E-3</c:v>
                </c:pt>
                <c:pt idx="43">
                  <c:v>7.0000000000000001E-3</c:v>
                </c:pt>
                <c:pt idx="44">
                  <c:v>4.0000000000000001E-3</c:v>
                </c:pt>
                <c:pt idx="45">
                  <c:v>1.0999999999999999E-2</c:v>
                </c:pt>
                <c:pt idx="46">
                  <c:v>1.2E-2</c:v>
                </c:pt>
                <c:pt idx="47">
                  <c:v>1.0999999999999999E-2</c:v>
                </c:pt>
                <c:pt idx="48">
                  <c:v>1.9E-2</c:v>
                </c:pt>
                <c:pt idx="49">
                  <c:v>8.9999999999999993E-3</c:v>
                </c:pt>
                <c:pt idx="50">
                  <c:v>1.4E-2</c:v>
                </c:pt>
                <c:pt idx="51">
                  <c:v>1.4E-2</c:v>
                </c:pt>
                <c:pt idx="52">
                  <c:v>1.4999999999999999E-2</c:v>
                </c:pt>
                <c:pt idx="53">
                  <c:v>8.9999999999999993E-3</c:v>
                </c:pt>
                <c:pt idx="54">
                  <c:v>1.2E-2</c:v>
                </c:pt>
                <c:pt idx="55">
                  <c:v>1.0999999999999999E-2</c:v>
                </c:pt>
                <c:pt idx="56">
                  <c:v>1.7000000000000001E-2</c:v>
                </c:pt>
                <c:pt idx="57">
                  <c:v>1.4E-2</c:v>
                </c:pt>
                <c:pt idx="58">
                  <c:v>1.4E-2</c:v>
                </c:pt>
                <c:pt idx="59">
                  <c:v>1.4999999999999999E-2</c:v>
                </c:pt>
                <c:pt idx="60">
                  <c:v>7.0000000000000001E-3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6A-44B4-9B6D-017E219B0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7624"/>
        <c:axId val="347961936"/>
      </c:lineChart>
      <c:catAx>
        <c:axId val="347957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372621391076112"/>
              <c:y val="0.93455602232026636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619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961936"/>
        <c:scaling>
          <c:orientation val="minMax"/>
          <c:max val="3.0000000000000006E-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6.5359798775153112E-3"/>
              <c:y val="0.41099519396536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7624"/>
        <c:crosses val="autoZero"/>
        <c:crossBetween val="between"/>
        <c:majorUnit val="5.0000000000000001E-3"/>
        <c:minorUnit val="2E-3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117741141732285"/>
          <c:y val="2.3560124689507644E-2"/>
          <c:w val="0.24052315726159224"/>
          <c:h val="5.4973718097570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CONCENTRADO FINAL - PLANTA DE COBRE (%Cu)</a:t>
            </a:r>
          </a:p>
        </c:rich>
      </c:tx>
      <c:layout>
        <c:manualLayout>
          <c:xMode val="edge"/>
          <c:yMode val="edge"/>
          <c:x val="0.31806287577807663"/>
          <c:y val="3.14960629921259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05235602094238E-2"/>
          <c:y val="0.11023650302581361"/>
          <c:w val="0.88743455497382195"/>
          <c:h val="0.70603855509390145"/>
        </c:manualLayout>
      </c:layout>
      <c:lineChart>
        <c:grouping val="standard"/>
        <c:varyColors val="0"/>
        <c:ser>
          <c:idx val="0"/>
          <c:order val="0"/>
          <c:tx>
            <c:strRef>
              <c:f>TABLA!$AW$3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TABLA!$AW$4:$AW$65</c:f>
              <c:numCache>
                <c:formatCode>0.000</c:formatCode>
                <c:ptCount val="62"/>
                <c:pt idx="0">
                  <c:v>21.580696105957031</c:v>
                </c:pt>
                <c:pt idx="1">
                  <c:v>23.905122756958008</c:v>
                </c:pt>
                <c:pt idx="2">
                  <c:v>23.07972526550293</c:v>
                </c:pt>
                <c:pt idx="3">
                  <c:v>23.07972526550293</c:v>
                </c:pt>
                <c:pt idx="4">
                  <c:v>22.874965667724609</c:v>
                </c:pt>
                <c:pt idx="5">
                  <c:v>24.080657958984375</c:v>
                </c:pt>
                <c:pt idx="6">
                  <c:v>23.181087493896484</c:v>
                </c:pt>
                <c:pt idx="7">
                  <c:v>19.589813232421875</c:v>
                </c:pt>
                <c:pt idx="8">
                  <c:v>24.089685440063477</c:v>
                </c:pt>
                <c:pt idx="9">
                  <c:v>24.968690872192383</c:v>
                </c:pt>
                <c:pt idx="10">
                  <c:v>22.765670776367188</c:v>
                </c:pt>
                <c:pt idx="11">
                  <c:v>21.698329925537109</c:v>
                </c:pt>
                <c:pt idx="12">
                  <c:v>22.739021301269531</c:v>
                </c:pt>
                <c:pt idx="13">
                  <c:v>23.446987152099609</c:v>
                </c:pt>
                <c:pt idx="14">
                  <c:v>22.019834518432617</c:v>
                </c:pt>
                <c:pt idx="15">
                  <c:v>22.019834518432617</c:v>
                </c:pt>
                <c:pt idx="16">
                  <c:v>22.019834518432617</c:v>
                </c:pt>
                <c:pt idx="17">
                  <c:v>22.019834518432617</c:v>
                </c:pt>
                <c:pt idx="18">
                  <c:v>23.598623275756836</c:v>
                </c:pt>
                <c:pt idx="19">
                  <c:v>23.708185195922852</c:v>
                </c:pt>
                <c:pt idx="20">
                  <c:v>22.722810745239258</c:v>
                </c:pt>
                <c:pt idx="21">
                  <c:v>24.091524124145508</c:v>
                </c:pt>
                <c:pt idx="22">
                  <c:v>22.786581039428711</c:v>
                </c:pt>
                <c:pt idx="23">
                  <c:v>24.452625274658203</c:v>
                </c:pt>
                <c:pt idx="24">
                  <c:v>23.015262603759766</c:v>
                </c:pt>
                <c:pt idx="25">
                  <c:v>23.015262603759766</c:v>
                </c:pt>
                <c:pt idx="26">
                  <c:v>23.015262603759766</c:v>
                </c:pt>
                <c:pt idx="27">
                  <c:v>23.015262603759766</c:v>
                </c:pt>
                <c:pt idx="28">
                  <c:v>23.015262603759766</c:v>
                </c:pt>
                <c:pt idx="29">
                  <c:v>23.015262603759766</c:v>
                </c:pt>
                <c:pt idx="30">
                  <c:v>23.015262603759766</c:v>
                </c:pt>
                <c:pt idx="31">
                  <c:v>23.015262603759766</c:v>
                </c:pt>
                <c:pt idx="32">
                  <c:v>23.015262603759766</c:v>
                </c:pt>
                <c:pt idx="33">
                  <c:v>26.153593063354492</c:v>
                </c:pt>
                <c:pt idx="34">
                  <c:v>25.166622161865234</c:v>
                </c:pt>
                <c:pt idx="35">
                  <c:v>23.135202407836914</c:v>
                </c:pt>
                <c:pt idx="36">
                  <c:v>23.102602005004883</c:v>
                </c:pt>
                <c:pt idx="37">
                  <c:v>24.377904891967773</c:v>
                </c:pt>
                <c:pt idx="38">
                  <c:v>25.557792663574219</c:v>
                </c:pt>
                <c:pt idx="39">
                  <c:v>23.321441650390625</c:v>
                </c:pt>
                <c:pt idx="40">
                  <c:v>21.977792739868164</c:v>
                </c:pt>
                <c:pt idx="41">
                  <c:v>23.486249923706055</c:v>
                </c:pt>
                <c:pt idx="42">
                  <c:v>20.749732971191406</c:v>
                </c:pt>
                <c:pt idx="43">
                  <c:v>20.749732971191406</c:v>
                </c:pt>
                <c:pt idx="44">
                  <c:v>19.81092643737793</c:v>
                </c:pt>
                <c:pt idx="45">
                  <c:v>22.557380676269531</c:v>
                </c:pt>
                <c:pt idx="46">
                  <c:v>20.495904922485352</c:v>
                </c:pt>
                <c:pt idx="47">
                  <c:v>21.923906326293945</c:v>
                </c:pt>
                <c:pt idx="48">
                  <c:v>25.237625122070313</c:v>
                </c:pt>
                <c:pt idx="49">
                  <c:v>24.58636474609375</c:v>
                </c:pt>
                <c:pt idx="50">
                  <c:v>22.322566986083984</c:v>
                </c:pt>
                <c:pt idx="51">
                  <c:v>23.369316101074219</c:v>
                </c:pt>
                <c:pt idx="52">
                  <c:v>23.859102249145508</c:v>
                </c:pt>
                <c:pt idx="53">
                  <c:v>24.94134521484375</c:v>
                </c:pt>
                <c:pt idx="54">
                  <c:v>27.135526657104492</c:v>
                </c:pt>
                <c:pt idx="55">
                  <c:v>26.558300018310547</c:v>
                </c:pt>
                <c:pt idx="56">
                  <c:v>25.224943161010742</c:v>
                </c:pt>
                <c:pt idx="57">
                  <c:v>24.710926055908203</c:v>
                </c:pt>
                <c:pt idx="58">
                  <c:v>23.989170074462891</c:v>
                </c:pt>
                <c:pt idx="59">
                  <c:v>24.021186828613281</c:v>
                </c:pt>
                <c:pt idx="60">
                  <c:v>22.85106086730957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36-404D-9C69-B353A60E6C9F}"/>
            </c:ext>
          </c:extLst>
        </c:ser>
        <c:ser>
          <c:idx val="1"/>
          <c:order val="1"/>
          <c:tx>
            <c:strRef>
              <c:f>TABLA!$AX$3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TABLA!$AX$4:$AX$65</c:f>
              <c:numCache>
                <c:formatCode>0.000</c:formatCode>
                <c:ptCount val="62"/>
                <c:pt idx="0">
                  <c:v>26.169</c:v>
                </c:pt>
                <c:pt idx="1">
                  <c:v>21.931999999999999</c:v>
                </c:pt>
                <c:pt idx="2">
                  <c:v>25.474</c:v>
                </c:pt>
                <c:pt idx="3">
                  <c:v>24.879000000000001</c:v>
                </c:pt>
                <c:pt idx="4">
                  <c:v>21.806000000000001</c:v>
                </c:pt>
                <c:pt idx="5">
                  <c:v>22.686</c:v>
                </c:pt>
                <c:pt idx="6">
                  <c:v>23.88</c:v>
                </c:pt>
                <c:pt idx="7">
                  <c:v>25.175999999999998</c:v>
                </c:pt>
                <c:pt idx="8">
                  <c:v>24.532</c:v>
                </c:pt>
                <c:pt idx="9">
                  <c:v>22.896999999999998</c:v>
                </c:pt>
                <c:pt idx="10">
                  <c:v>24.384</c:v>
                </c:pt>
                <c:pt idx="11">
                  <c:v>23.292999999999999</c:v>
                </c:pt>
                <c:pt idx="12">
                  <c:v>24.228000000000002</c:v>
                </c:pt>
                <c:pt idx="13">
                  <c:v>22.599</c:v>
                </c:pt>
                <c:pt idx="14">
                  <c:v>22.984999999999999</c:v>
                </c:pt>
                <c:pt idx="15">
                  <c:v>23.789000000000001</c:v>
                </c:pt>
                <c:pt idx="16">
                  <c:v>24.324000000000002</c:v>
                </c:pt>
                <c:pt idx="17">
                  <c:v>24.975000000000001</c:v>
                </c:pt>
                <c:pt idx="18">
                  <c:v>22.885000000000002</c:v>
                </c:pt>
                <c:pt idx="19">
                  <c:v>24.776</c:v>
                </c:pt>
                <c:pt idx="20">
                  <c:v>21.143999999999998</c:v>
                </c:pt>
                <c:pt idx="21">
                  <c:v>24.331</c:v>
                </c:pt>
                <c:pt idx="22">
                  <c:v>23.065000000000001</c:v>
                </c:pt>
                <c:pt idx="23">
                  <c:v>24.725999999999999</c:v>
                </c:pt>
                <c:pt idx="24">
                  <c:v>18.288</c:v>
                </c:pt>
                <c:pt idx="25">
                  <c:v>26.913</c:v>
                </c:pt>
                <c:pt idx="26">
                  <c:v>21.335999999999999</c:v>
                </c:pt>
                <c:pt idx="27">
                  <c:v>26.716000000000001</c:v>
                </c:pt>
                <c:pt idx="28">
                  <c:v>21.856000000000002</c:v>
                </c:pt>
                <c:pt idx="29">
                  <c:v>23.388000000000002</c:v>
                </c:pt>
                <c:pt idx="30">
                  <c:v>23.382999999999999</c:v>
                </c:pt>
                <c:pt idx="31">
                  <c:v>21.791</c:v>
                </c:pt>
                <c:pt idx="32">
                  <c:v>24.725999999999999</c:v>
                </c:pt>
                <c:pt idx="33">
                  <c:v>23.681000000000001</c:v>
                </c:pt>
                <c:pt idx="34">
                  <c:v>23.864000000000001</c:v>
                </c:pt>
                <c:pt idx="35">
                  <c:v>0</c:v>
                </c:pt>
                <c:pt idx="36">
                  <c:v>23.084</c:v>
                </c:pt>
                <c:pt idx="37">
                  <c:v>24.762</c:v>
                </c:pt>
                <c:pt idx="38">
                  <c:v>24.184999999999999</c:v>
                </c:pt>
                <c:pt idx="39">
                  <c:v>25.35</c:v>
                </c:pt>
                <c:pt idx="40">
                  <c:v>25.373000000000001</c:v>
                </c:pt>
                <c:pt idx="41">
                  <c:v>19.899999999999999</c:v>
                </c:pt>
                <c:pt idx="42">
                  <c:v>20.795999999999999</c:v>
                </c:pt>
                <c:pt idx="43">
                  <c:v>20.297999999999998</c:v>
                </c:pt>
                <c:pt idx="44">
                  <c:v>22.686</c:v>
                </c:pt>
                <c:pt idx="45">
                  <c:v>21.774000000000001</c:v>
                </c:pt>
                <c:pt idx="46">
                  <c:v>22.885000000000002</c:v>
                </c:pt>
                <c:pt idx="47">
                  <c:v>22.972000000000001</c:v>
                </c:pt>
                <c:pt idx="48">
                  <c:v>24.975000000000001</c:v>
                </c:pt>
                <c:pt idx="49">
                  <c:v>25.276</c:v>
                </c:pt>
                <c:pt idx="50">
                  <c:v>23.321999999999999</c:v>
                </c:pt>
                <c:pt idx="51">
                  <c:v>26.672000000000001</c:v>
                </c:pt>
                <c:pt idx="52">
                  <c:v>23.248999999999999</c:v>
                </c:pt>
                <c:pt idx="53">
                  <c:v>26.018999999999998</c:v>
                </c:pt>
                <c:pt idx="54">
                  <c:v>28.291</c:v>
                </c:pt>
                <c:pt idx="55">
                  <c:v>26.468</c:v>
                </c:pt>
                <c:pt idx="56">
                  <c:v>24.695</c:v>
                </c:pt>
                <c:pt idx="57">
                  <c:v>25.768999999999998</c:v>
                </c:pt>
                <c:pt idx="58">
                  <c:v>24.577000000000002</c:v>
                </c:pt>
                <c:pt idx="59">
                  <c:v>24.97</c:v>
                </c:pt>
                <c:pt idx="60">
                  <c:v>23.077999999999999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6-404D-9C69-B353A60E6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2920"/>
        <c:axId val="347956448"/>
      </c:lineChart>
      <c:catAx>
        <c:axId val="347952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439791668805412"/>
              <c:y val="0.93438573529515256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64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956448"/>
        <c:scaling>
          <c:orientation val="minMax"/>
          <c:max val="30"/>
          <c:min val="1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6.5445013636659171E-3"/>
              <c:y val="0.425197976258329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2920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392663922224845"/>
          <c:y val="3.4120734908136482E-2"/>
          <c:w val="0.24083770493486234"/>
          <c:h val="5.511839170237768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CONCENTRADO FINAL - PLANTA DE COBRE (%Mo)</a:t>
            </a:r>
          </a:p>
        </c:rich>
      </c:tx>
      <c:layout>
        <c:manualLayout>
          <c:xMode val="edge"/>
          <c:yMode val="edge"/>
          <c:x val="0.31764750109361328"/>
          <c:y val="3.14135332013979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353046304440236E-2"/>
          <c:y val="8.9005349370793838E-2"/>
          <c:w val="0.89150440602584513"/>
          <c:h val="0.7277496213259026"/>
        </c:manualLayout>
      </c:layout>
      <c:lineChart>
        <c:grouping val="standard"/>
        <c:varyColors val="0"/>
        <c:ser>
          <c:idx val="0"/>
          <c:order val="0"/>
          <c:tx>
            <c:strRef>
              <c:f>TABLA!$BD$3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TABLA!$BD$4:$BD$65</c:f>
              <c:numCache>
                <c:formatCode>0.000</c:formatCode>
                <c:ptCount val="62"/>
                <c:pt idx="0">
                  <c:v>1.0875203609466553</c:v>
                </c:pt>
                <c:pt idx="1">
                  <c:v>1.8896942138671875</c:v>
                </c:pt>
                <c:pt idx="2">
                  <c:v>3.2183988094329834</c:v>
                </c:pt>
                <c:pt idx="3">
                  <c:v>3.2183988094329834</c:v>
                </c:pt>
                <c:pt idx="4">
                  <c:v>2.5889632701873779</c:v>
                </c:pt>
                <c:pt idx="5">
                  <c:v>3.0138378143310547</c:v>
                </c:pt>
                <c:pt idx="6">
                  <c:v>1.770626425743103</c:v>
                </c:pt>
                <c:pt idx="7">
                  <c:v>1.9188697338104248</c:v>
                </c:pt>
                <c:pt idx="8">
                  <c:v>2.4945509433746338</c:v>
                </c:pt>
                <c:pt idx="9">
                  <c:v>1.9619637727737427</c:v>
                </c:pt>
                <c:pt idx="10">
                  <c:v>0.81273084878921509</c:v>
                </c:pt>
                <c:pt idx="11">
                  <c:v>0.56563651561737061</c:v>
                </c:pt>
                <c:pt idx="12">
                  <c:v>0.65406531095504761</c:v>
                </c:pt>
                <c:pt idx="13">
                  <c:v>0.85263621807098389</c:v>
                </c:pt>
                <c:pt idx="14">
                  <c:v>0.6122165322303772</c:v>
                </c:pt>
                <c:pt idx="15">
                  <c:v>0.6122165322303772</c:v>
                </c:pt>
                <c:pt idx="16">
                  <c:v>0.6122165322303772</c:v>
                </c:pt>
                <c:pt idx="17">
                  <c:v>0.6122165322303772</c:v>
                </c:pt>
                <c:pt idx="18">
                  <c:v>1.9800312519073486</c:v>
                </c:pt>
                <c:pt idx="19">
                  <c:v>1.8469420671463013</c:v>
                </c:pt>
                <c:pt idx="20">
                  <c:v>2.5230238437652588</c:v>
                </c:pt>
                <c:pt idx="21">
                  <c:v>2.1168584823608398</c:v>
                </c:pt>
                <c:pt idx="22">
                  <c:v>1.7113618850708008</c:v>
                </c:pt>
                <c:pt idx="23">
                  <c:v>1.4849699735641479</c:v>
                </c:pt>
                <c:pt idx="24">
                  <c:v>1.4501559734344482</c:v>
                </c:pt>
                <c:pt idx="25">
                  <c:v>1.4501559734344482</c:v>
                </c:pt>
                <c:pt idx="26">
                  <c:v>1.4501559734344482</c:v>
                </c:pt>
                <c:pt idx="27">
                  <c:v>1.4501559734344482</c:v>
                </c:pt>
                <c:pt idx="28">
                  <c:v>1.4501559734344482</c:v>
                </c:pt>
                <c:pt idx="29">
                  <c:v>1.4501559734344482</c:v>
                </c:pt>
                <c:pt idx="30">
                  <c:v>1.4501559734344482</c:v>
                </c:pt>
                <c:pt idx="31">
                  <c:v>1.4501559734344482</c:v>
                </c:pt>
                <c:pt idx="32">
                  <c:v>1.4501559734344482</c:v>
                </c:pt>
                <c:pt idx="33">
                  <c:v>1.8572525978088379</c:v>
                </c:pt>
                <c:pt idx="34">
                  <c:v>1.893884539604187</c:v>
                </c:pt>
                <c:pt idx="35">
                  <c:v>1.7489078044891357</c:v>
                </c:pt>
                <c:pt idx="36">
                  <c:v>2.3694190979003906</c:v>
                </c:pt>
                <c:pt idx="37">
                  <c:v>2.65802001953125</c:v>
                </c:pt>
                <c:pt idx="38">
                  <c:v>2.3231534957885742</c:v>
                </c:pt>
                <c:pt idx="39">
                  <c:v>1.7807154655456543</c:v>
                </c:pt>
                <c:pt idx="40">
                  <c:v>1.8171306848526001</c:v>
                </c:pt>
                <c:pt idx="41">
                  <c:v>1.6388206481933594</c:v>
                </c:pt>
                <c:pt idx="42">
                  <c:v>1.2933531999588013</c:v>
                </c:pt>
                <c:pt idx="43">
                  <c:v>1.2933531999588013</c:v>
                </c:pt>
                <c:pt idx="44">
                  <c:v>1.9880478382110596</c:v>
                </c:pt>
                <c:pt idx="45">
                  <c:v>1.7497682571411133</c:v>
                </c:pt>
                <c:pt idx="46">
                  <c:v>3.0950853824615479</c:v>
                </c:pt>
                <c:pt idx="47">
                  <c:v>2.9916768074035645</c:v>
                </c:pt>
                <c:pt idx="48">
                  <c:v>3.0219612121582031</c:v>
                </c:pt>
                <c:pt idx="49">
                  <c:v>2.3146829605102539</c:v>
                </c:pt>
                <c:pt idx="50">
                  <c:v>3.0827581882476807</c:v>
                </c:pt>
                <c:pt idx="51">
                  <c:v>3.2293510437011719</c:v>
                </c:pt>
                <c:pt idx="52">
                  <c:v>4.3261613845825195</c:v>
                </c:pt>
                <c:pt idx="53">
                  <c:v>2.7876472473144531</c:v>
                </c:pt>
                <c:pt idx="54">
                  <c:v>2.0547170639038086</c:v>
                </c:pt>
                <c:pt idx="55">
                  <c:v>1.9102345705032349</c:v>
                </c:pt>
                <c:pt idx="56">
                  <c:v>1.9583030939102173</c:v>
                </c:pt>
                <c:pt idx="57">
                  <c:v>2.5906531810760498</c:v>
                </c:pt>
                <c:pt idx="58">
                  <c:v>3.0815331935882568</c:v>
                </c:pt>
                <c:pt idx="59">
                  <c:v>2.2631101608276367</c:v>
                </c:pt>
                <c:pt idx="60">
                  <c:v>1.6234313249588013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C-4EA6-B2A1-5CAB83F973E1}"/>
            </c:ext>
          </c:extLst>
        </c:ser>
        <c:ser>
          <c:idx val="1"/>
          <c:order val="1"/>
          <c:tx>
            <c:strRef>
              <c:f>TABLA!$BE$3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TABLA!$BE$4:$BE$65</c:f>
              <c:numCache>
                <c:formatCode>0.000</c:formatCode>
                <c:ptCount val="62"/>
                <c:pt idx="0">
                  <c:v>1.706</c:v>
                </c:pt>
                <c:pt idx="1">
                  <c:v>1.631</c:v>
                </c:pt>
                <c:pt idx="2">
                  <c:v>2.851</c:v>
                </c:pt>
                <c:pt idx="3">
                  <c:v>2.198</c:v>
                </c:pt>
                <c:pt idx="4">
                  <c:v>3.4420000000000002</c:v>
                </c:pt>
                <c:pt idx="5">
                  <c:v>3.9129999999999998</c:v>
                </c:pt>
                <c:pt idx="6">
                  <c:v>2.1230000000000002</c:v>
                </c:pt>
                <c:pt idx="7">
                  <c:v>2.1680000000000001</c:v>
                </c:pt>
                <c:pt idx="8">
                  <c:v>2.1459999999999999</c:v>
                </c:pt>
                <c:pt idx="9">
                  <c:v>1.8540000000000001</c:v>
                </c:pt>
                <c:pt idx="10">
                  <c:v>0.754</c:v>
                </c:pt>
                <c:pt idx="11">
                  <c:v>0.68600000000000005</c:v>
                </c:pt>
                <c:pt idx="12">
                  <c:v>0.67800000000000005</c:v>
                </c:pt>
                <c:pt idx="13">
                  <c:v>0.97499999999999998</c:v>
                </c:pt>
                <c:pt idx="14">
                  <c:v>0.69499999999999995</c:v>
                </c:pt>
                <c:pt idx="15">
                  <c:v>0.746</c:v>
                </c:pt>
                <c:pt idx="16">
                  <c:v>1.4670000000000001</c:v>
                </c:pt>
                <c:pt idx="17">
                  <c:v>1.4730000000000001</c:v>
                </c:pt>
                <c:pt idx="18">
                  <c:v>2.68</c:v>
                </c:pt>
                <c:pt idx="19">
                  <c:v>1.6240000000000001</c:v>
                </c:pt>
                <c:pt idx="20">
                  <c:v>2.9460000000000002</c:v>
                </c:pt>
                <c:pt idx="21">
                  <c:v>1.764</c:v>
                </c:pt>
                <c:pt idx="22">
                  <c:v>1.617</c:v>
                </c:pt>
                <c:pt idx="23">
                  <c:v>1.4370000000000001</c:v>
                </c:pt>
                <c:pt idx="24">
                  <c:v>1.5609999999999999</c:v>
                </c:pt>
                <c:pt idx="25">
                  <c:v>2.29</c:v>
                </c:pt>
                <c:pt idx="26">
                  <c:v>1.7749999999999999</c:v>
                </c:pt>
                <c:pt idx="27">
                  <c:v>1.6779999999999999</c:v>
                </c:pt>
                <c:pt idx="28">
                  <c:v>2.3109999999999999</c:v>
                </c:pt>
                <c:pt idx="29">
                  <c:v>1.841</c:v>
                </c:pt>
                <c:pt idx="30">
                  <c:v>0.89400000000000002</c:v>
                </c:pt>
                <c:pt idx="31">
                  <c:v>1.2869999999999999</c:v>
                </c:pt>
                <c:pt idx="32">
                  <c:v>1.101</c:v>
                </c:pt>
                <c:pt idx="33">
                  <c:v>1.9059999999999999</c:v>
                </c:pt>
                <c:pt idx="34">
                  <c:v>1.8069999999999999</c:v>
                </c:pt>
                <c:pt idx="35">
                  <c:v>0</c:v>
                </c:pt>
                <c:pt idx="36">
                  <c:v>1.97</c:v>
                </c:pt>
                <c:pt idx="37">
                  <c:v>2.9470000000000001</c:v>
                </c:pt>
                <c:pt idx="38">
                  <c:v>2.61</c:v>
                </c:pt>
                <c:pt idx="39">
                  <c:v>1.585</c:v>
                </c:pt>
                <c:pt idx="40">
                  <c:v>1.788</c:v>
                </c:pt>
                <c:pt idx="41">
                  <c:v>1.83</c:v>
                </c:pt>
                <c:pt idx="42">
                  <c:v>1.59</c:v>
                </c:pt>
                <c:pt idx="43">
                  <c:v>1.8759999999999999</c:v>
                </c:pt>
                <c:pt idx="44">
                  <c:v>1.7490000000000001</c:v>
                </c:pt>
                <c:pt idx="45">
                  <c:v>2.16</c:v>
                </c:pt>
                <c:pt idx="46">
                  <c:v>2.927</c:v>
                </c:pt>
                <c:pt idx="47">
                  <c:v>2.488</c:v>
                </c:pt>
                <c:pt idx="48">
                  <c:v>2.383</c:v>
                </c:pt>
                <c:pt idx="49">
                  <c:v>2.198</c:v>
                </c:pt>
                <c:pt idx="50">
                  <c:v>3.17</c:v>
                </c:pt>
                <c:pt idx="51">
                  <c:v>2.8050000000000002</c:v>
                </c:pt>
                <c:pt idx="52">
                  <c:v>4.569</c:v>
                </c:pt>
                <c:pt idx="53">
                  <c:v>2.3180000000000001</c:v>
                </c:pt>
                <c:pt idx="54">
                  <c:v>2.9260000000000002</c:v>
                </c:pt>
                <c:pt idx="55">
                  <c:v>2.081</c:v>
                </c:pt>
                <c:pt idx="56">
                  <c:v>2.645</c:v>
                </c:pt>
                <c:pt idx="57">
                  <c:v>2.6469999999999998</c:v>
                </c:pt>
                <c:pt idx="58">
                  <c:v>3.649</c:v>
                </c:pt>
                <c:pt idx="59">
                  <c:v>2.3460000000000001</c:v>
                </c:pt>
                <c:pt idx="60">
                  <c:v>1.899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C-4EA6-B2A1-5CAB83F97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4880"/>
        <c:axId val="347002960"/>
      </c:lineChart>
      <c:catAx>
        <c:axId val="34795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0980465332458436"/>
              <c:y val="0.93455612166126301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\$\$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0029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700296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6.5359798775153112E-3"/>
              <c:y val="0.4136132047665164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954880"/>
        <c:crosses val="autoZero"/>
        <c:crossBetween val="between"/>
        <c:majorUnit val="0.5"/>
        <c:minorUnit val="0.3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941272965879267"/>
          <c:y val="2.6177944334498295E-2"/>
          <c:w val="0.24052315726159224"/>
          <c:h val="5.49738234592333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ALIMENTACION ROUGHER - PLANTA DE MOLY (%Cu)</a:t>
            </a:r>
          </a:p>
        </c:rich>
      </c:tx>
      <c:layout>
        <c:manualLayout>
          <c:xMode val="edge"/>
          <c:yMode val="edge"/>
          <c:x val="0.30657908550904822"/>
          <c:y val="3.2828282828282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15838504727659E-2"/>
          <c:y val="9.5959832602964715E-2"/>
          <c:w val="0.89736899759007349"/>
          <c:h val="0.73485029703849292"/>
        </c:manualLayout>
      </c:layout>
      <c:lineChart>
        <c:grouping val="standard"/>
        <c:varyColors val="0"/>
        <c:ser>
          <c:idx val="0"/>
          <c:order val="0"/>
          <c:tx>
            <c:strRef>
              <c:f>TABLA_M!$D$3</c:f>
              <c:strCache>
                <c:ptCount val="1"/>
                <c:pt idx="0">
                  <c:v>H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TABLA_M!$D$4:$D$65</c:f>
              <c:numCache>
                <c:formatCode>0.000</c:formatCode>
                <c:ptCount val="62"/>
                <c:pt idx="0">
                  <c:v>22.597080230712891</c:v>
                </c:pt>
                <c:pt idx="1">
                  <c:v>22.597080230712891</c:v>
                </c:pt>
                <c:pt idx="2">
                  <c:v>23.120279312133789</c:v>
                </c:pt>
                <c:pt idx="3">
                  <c:v>23.120279312133789</c:v>
                </c:pt>
                <c:pt idx="4">
                  <c:v>23.490447998046875</c:v>
                </c:pt>
                <c:pt idx="5">
                  <c:v>23.319372177124023</c:v>
                </c:pt>
                <c:pt idx="6">
                  <c:v>21.243520736694336</c:v>
                </c:pt>
                <c:pt idx="7">
                  <c:v>22.771310806274414</c:v>
                </c:pt>
                <c:pt idx="8">
                  <c:v>20.552448272705078</c:v>
                </c:pt>
                <c:pt idx="9">
                  <c:v>23.512538909912109</c:v>
                </c:pt>
                <c:pt idx="10">
                  <c:v>22.13677978515625</c:v>
                </c:pt>
                <c:pt idx="11">
                  <c:v>20.650722503662109</c:v>
                </c:pt>
                <c:pt idx="12">
                  <c:v>21.281415939331055</c:v>
                </c:pt>
                <c:pt idx="13">
                  <c:v>23.196371078491211</c:v>
                </c:pt>
                <c:pt idx="14">
                  <c:v>22.85761833190918</c:v>
                </c:pt>
                <c:pt idx="15">
                  <c:v>23.660287857055664</c:v>
                </c:pt>
                <c:pt idx="16">
                  <c:v>24.543853759765625</c:v>
                </c:pt>
                <c:pt idx="17">
                  <c:v>24.543853759765625</c:v>
                </c:pt>
                <c:pt idx="18">
                  <c:v>23.831357955932617</c:v>
                </c:pt>
                <c:pt idx="19">
                  <c:v>22.841638565063477</c:v>
                </c:pt>
                <c:pt idx="20">
                  <c:v>22.674943923950195</c:v>
                </c:pt>
                <c:pt idx="21">
                  <c:v>23.641651153564453</c:v>
                </c:pt>
                <c:pt idx="22">
                  <c:v>22.421327590942383</c:v>
                </c:pt>
                <c:pt idx="23">
                  <c:v>22.577163696289063</c:v>
                </c:pt>
                <c:pt idx="24">
                  <c:v>22.439613342285156</c:v>
                </c:pt>
                <c:pt idx="25">
                  <c:v>22.115400314331055</c:v>
                </c:pt>
                <c:pt idx="26">
                  <c:v>22.115400314331055</c:v>
                </c:pt>
                <c:pt idx="27">
                  <c:v>22.430482864379883</c:v>
                </c:pt>
                <c:pt idx="28">
                  <c:v>23.856645584106445</c:v>
                </c:pt>
                <c:pt idx="29">
                  <c:v>23.230396270751953</c:v>
                </c:pt>
                <c:pt idx="30">
                  <c:v>22.504552841186523</c:v>
                </c:pt>
                <c:pt idx="31">
                  <c:v>22.002679824829102</c:v>
                </c:pt>
                <c:pt idx="32">
                  <c:v>21.807527542114258</c:v>
                </c:pt>
                <c:pt idx="33">
                  <c:v>22.898529052734375</c:v>
                </c:pt>
                <c:pt idx="34">
                  <c:v>22.604328155517578</c:v>
                </c:pt>
                <c:pt idx="35">
                  <c:v>22.234939575195313</c:v>
                </c:pt>
                <c:pt idx="36">
                  <c:v>21.570816040039063</c:v>
                </c:pt>
                <c:pt idx="37">
                  <c:v>22.481559753417969</c:v>
                </c:pt>
                <c:pt idx="38">
                  <c:v>24.347196578979492</c:v>
                </c:pt>
                <c:pt idx="39">
                  <c:v>23.374361038208008</c:v>
                </c:pt>
                <c:pt idx="40">
                  <c:v>22.50579833984375</c:v>
                </c:pt>
                <c:pt idx="41">
                  <c:v>22.958297729492188</c:v>
                </c:pt>
                <c:pt idx="42">
                  <c:v>19.754337310791016</c:v>
                </c:pt>
                <c:pt idx="43">
                  <c:v>19.754337310791016</c:v>
                </c:pt>
                <c:pt idx="44">
                  <c:v>20.500843048095703</c:v>
                </c:pt>
                <c:pt idx="45">
                  <c:v>23.70465087890625</c:v>
                </c:pt>
                <c:pt idx="46">
                  <c:v>23.074974060058594</c:v>
                </c:pt>
                <c:pt idx="47">
                  <c:v>22.871414184570313</c:v>
                </c:pt>
                <c:pt idx="48">
                  <c:v>23.4122314453125</c:v>
                </c:pt>
                <c:pt idx="49">
                  <c:v>23.4122314453125</c:v>
                </c:pt>
                <c:pt idx="50">
                  <c:v>23.4122314453125</c:v>
                </c:pt>
                <c:pt idx="51">
                  <c:v>25.597373962402344</c:v>
                </c:pt>
                <c:pt idx="52">
                  <c:v>23.623220443725586</c:v>
                </c:pt>
                <c:pt idx="53">
                  <c:v>24.979143142700195</c:v>
                </c:pt>
                <c:pt idx="54">
                  <c:v>23.020315170288086</c:v>
                </c:pt>
                <c:pt idx="55">
                  <c:v>27.067319869995117</c:v>
                </c:pt>
                <c:pt idx="56">
                  <c:v>26.633718490600586</c:v>
                </c:pt>
                <c:pt idx="57">
                  <c:v>25.186441421508789</c:v>
                </c:pt>
                <c:pt idx="58">
                  <c:v>25.249885559082031</c:v>
                </c:pt>
                <c:pt idx="59">
                  <c:v>24.969537734985352</c:v>
                </c:pt>
                <c:pt idx="60">
                  <c:v>23.400463104248047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A5-4895-B814-1CBBE19AAA2D}"/>
            </c:ext>
          </c:extLst>
        </c:ser>
        <c:ser>
          <c:idx val="1"/>
          <c:order val="1"/>
          <c:tx>
            <c:strRef>
              <c:f>TABLA_M!$E$3</c:f>
              <c:strCache>
                <c:ptCount val="1"/>
                <c:pt idx="0">
                  <c:v>H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TABLA_M!$E$4:$E$65</c:f>
              <c:numCache>
                <c:formatCode>0.000</c:formatCode>
                <c:ptCount val="62"/>
                <c:pt idx="0">
                  <c:v>22.587</c:v>
                </c:pt>
                <c:pt idx="1">
                  <c:v>24.972000000000001</c:v>
                </c:pt>
                <c:pt idx="2">
                  <c:v>21.212</c:v>
                </c:pt>
                <c:pt idx="3">
                  <c:v>21.707000000000001</c:v>
                </c:pt>
                <c:pt idx="4">
                  <c:v>23.045000000000002</c:v>
                </c:pt>
                <c:pt idx="5">
                  <c:v>23.134</c:v>
                </c:pt>
                <c:pt idx="6">
                  <c:v>20.696000000000002</c:v>
                </c:pt>
                <c:pt idx="7">
                  <c:v>24.681000000000001</c:v>
                </c:pt>
                <c:pt idx="8">
                  <c:v>22.5</c:v>
                </c:pt>
                <c:pt idx="9">
                  <c:v>24.085999999999999</c:v>
                </c:pt>
                <c:pt idx="10">
                  <c:v>22.401</c:v>
                </c:pt>
                <c:pt idx="11">
                  <c:v>22.599</c:v>
                </c:pt>
                <c:pt idx="12">
                  <c:v>21.242999999999999</c:v>
                </c:pt>
                <c:pt idx="13">
                  <c:v>23.193999999999999</c:v>
                </c:pt>
                <c:pt idx="14">
                  <c:v>0</c:v>
                </c:pt>
                <c:pt idx="15">
                  <c:v>23.591000000000001</c:v>
                </c:pt>
                <c:pt idx="16">
                  <c:v>24.175000000000001</c:v>
                </c:pt>
                <c:pt idx="17">
                  <c:v>23.88</c:v>
                </c:pt>
                <c:pt idx="18">
                  <c:v>21.393000000000001</c:v>
                </c:pt>
                <c:pt idx="19">
                  <c:v>21.492000000000001</c:v>
                </c:pt>
                <c:pt idx="20">
                  <c:v>21.640999999999998</c:v>
                </c:pt>
                <c:pt idx="21">
                  <c:v>22.542999999999999</c:v>
                </c:pt>
                <c:pt idx="22">
                  <c:v>21.724</c:v>
                </c:pt>
                <c:pt idx="23">
                  <c:v>22.189</c:v>
                </c:pt>
                <c:pt idx="24">
                  <c:v>22.251999999999999</c:v>
                </c:pt>
                <c:pt idx="25">
                  <c:v>22.593</c:v>
                </c:pt>
                <c:pt idx="26">
                  <c:v>22.55</c:v>
                </c:pt>
                <c:pt idx="27">
                  <c:v>23.88</c:v>
                </c:pt>
                <c:pt idx="28">
                  <c:v>23.491</c:v>
                </c:pt>
                <c:pt idx="29">
                  <c:v>22.542999999999999</c:v>
                </c:pt>
                <c:pt idx="30">
                  <c:v>19.701000000000001</c:v>
                </c:pt>
                <c:pt idx="31">
                  <c:v>20.995000000000001</c:v>
                </c:pt>
                <c:pt idx="32">
                  <c:v>20</c:v>
                </c:pt>
                <c:pt idx="33">
                  <c:v>23.084</c:v>
                </c:pt>
                <c:pt idx="34">
                  <c:v>21.457999999999998</c:v>
                </c:pt>
                <c:pt idx="35">
                  <c:v>0</c:v>
                </c:pt>
                <c:pt idx="36">
                  <c:v>0</c:v>
                </c:pt>
                <c:pt idx="37">
                  <c:v>21.108000000000001</c:v>
                </c:pt>
                <c:pt idx="38">
                  <c:v>23.391999999999999</c:v>
                </c:pt>
                <c:pt idx="39">
                  <c:v>23.292999999999999</c:v>
                </c:pt>
                <c:pt idx="40">
                  <c:v>23.431999999999999</c:v>
                </c:pt>
                <c:pt idx="41">
                  <c:v>21.99</c:v>
                </c:pt>
                <c:pt idx="42">
                  <c:v>18.905000000000001</c:v>
                </c:pt>
                <c:pt idx="43">
                  <c:v>23.681000000000001</c:v>
                </c:pt>
                <c:pt idx="44">
                  <c:v>17.710999999999999</c:v>
                </c:pt>
                <c:pt idx="45">
                  <c:v>23.971</c:v>
                </c:pt>
                <c:pt idx="46">
                  <c:v>21.791</c:v>
                </c:pt>
                <c:pt idx="47">
                  <c:v>24.57</c:v>
                </c:pt>
                <c:pt idx="48">
                  <c:v>24.875</c:v>
                </c:pt>
                <c:pt idx="49">
                  <c:v>26.663</c:v>
                </c:pt>
                <c:pt idx="50">
                  <c:v>23.122</c:v>
                </c:pt>
                <c:pt idx="51">
                  <c:v>25.068000000000001</c:v>
                </c:pt>
                <c:pt idx="52">
                  <c:v>25.128</c:v>
                </c:pt>
                <c:pt idx="53">
                  <c:v>24.337</c:v>
                </c:pt>
                <c:pt idx="54">
                  <c:v>0</c:v>
                </c:pt>
                <c:pt idx="55">
                  <c:v>26.792999999999999</c:v>
                </c:pt>
                <c:pt idx="56">
                  <c:v>26.146000000000001</c:v>
                </c:pt>
                <c:pt idx="57">
                  <c:v>25.469000000000001</c:v>
                </c:pt>
                <c:pt idx="58">
                  <c:v>26.094000000000001</c:v>
                </c:pt>
                <c:pt idx="59">
                  <c:v>23.669</c:v>
                </c:pt>
                <c:pt idx="60">
                  <c:v>23.776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9A5-4895-B814-1CBBE19AA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99040"/>
        <c:axId val="346993944"/>
      </c:lineChart>
      <c:catAx>
        <c:axId val="346999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8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 sz="980"/>
                  <a:t>DIAS</a:t>
                </a:r>
              </a:p>
            </c:rich>
          </c:tx>
          <c:layout>
            <c:manualLayout>
              <c:xMode val="edge"/>
              <c:yMode val="edge"/>
              <c:x val="0.50657922364967534"/>
              <c:y val="0.9368710729340650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93944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6993944"/>
        <c:scaling>
          <c:orientation val="minMax"/>
          <c:max val="30"/>
          <c:min val="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6.5789473684210523E-3"/>
              <c:y val="0.426768737241178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99040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631634203619282"/>
          <c:y val="2.7777777777777776E-2"/>
          <c:w val="0.20131592761431139"/>
          <c:h val="5.55558206739309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ALIMENTACION ROUGHER - PLANTA DE MOLY (%Mo)</a:t>
            </a:r>
          </a:p>
        </c:rich>
      </c:tx>
      <c:layout>
        <c:manualLayout>
          <c:xMode val="edge"/>
          <c:yMode val="edge"/>
          <c:x val="0.27213582677165354"/>
          <c:y val="3.03797468354430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31258940708085E-2"/>
          <c:y val="9.3670886075949367E-2"/>
          <c:w val="0.90364698237989094"/>
          <c:h val="0.73670886075949371"/>
        </c:manualLayout>
      </c:layout>
      <c:lineChart>
        <c:grouping val="standard"/>
        <c:varyColors val="0"/>
        <c:ser>
          <c:idx val="0"/>
          <c:order val="0"/>
          <c:tx>
            <c:strRef>
              <c:f>TABLA_M!$K$3</c:f>
              <c:strCache>
                <c:ptCount val="1"/>
                <c:pt idx="0">
                  <c:v>H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TABLA_M!$K$4:$K$65</c:f>
              <c:numCache>
                <c:formatCode>0.000</c:formatCode>
                <c:ptCount val="62"/>
                <c:pt idx="0">
                  <c:v>1.4718281030654907</c:v>
                </c:pt>
                <c:pt idx="1">
                  <c:v>1.4718281030654907</c:v>
                </c:pt>
                <c:pt idx="2">
                  <c:v>3.6074600219726563</c:v>
                </c:pt>
                <c:pt idx="3">
                  <c:v>3.6074600219726563</c:v>
                </c:pt>
                <c:pt idx="4">
                  <c:v>2.1859698295593262</c:v>
                </c:pt>
                <c:pt idx="5">
                  <c:v>2.4801154136657715</c:v>
                </c:pt>
                <c:pt idx="6">
                  <c:v>1.1837607622146606</c:v>
                </c:pt>
                <c:pt idx="7">
                  <c:v>1.6933015584945679</c:v>
                </c:pt>
                <c:pt idx="8">
                  <c:v>2.1402573585510254</c:v>
                </c:pt>
                <c:pt idx="9">
                  <c:v>1.935106635093689</c:v>
                </c:pt>
                <c:pt idx="10">
                  <c:v>1.1269073486328125</c:v>
                </c:pt>
                <c:pt idx="11">
                  <c:v>0.90195196866989136</c:v>
                </c:pt>
                <c:pt idx="12">
                  <c:v>1.2089604139328003</c:v>
                </c:pt>
                <c:pt idx="13">
                  <c:v>1.2117031812667847</c:v>
                </c:pt>
                <c:pt idx="14">
                  <c:v>1.44896399974823</c:v>
                </c:pt>
                <c:pt idx="15">
                  <c:v>1.2693836688995361</c:v>
                </c:pt>
                <c:pt idx="16">
                  <c:v>1.3908547163009644</c:v>
                </c:pt>
                <c:pt idx="17">
                  <c:v>1.3908547163009644</c:v>
                </c:pt>
                <c:pt idx="18">
                  <c:v>2.3223707675933838</c:v>
                </c:pt>
                <c:pt idx="19">
                  <c:v>3.1678712368011475</c:v>
                </c:pt>
                <c:pt idx="20">
                  <c:v>2.301372766494751</c:v>
                </c:pt>
                <c:pt idx="21">
                  <c:v>1.8395191431045532</c:v>
                </c:pt>
                <c:pt idx="22">
                  <c:v>4.3784956932067871</c:v>
                </c:pt>
                <c:pt idx="23">
                  <c:v>4.0803060531616211</c:v>
                </c:pt>
                <c:pt idx="24">
                  <c:v>2.3282473087310791</c:v>
                </c:pt>
                <c:pt idx="25">
                  <c:v>2.5708036422729492</c:v>
                </c:pt>
                <c:pt idx="26">
                  <c:v>2.5708036422729492</c:v>
                </c:pt>
                <c:pt idx="27">
                  <c:v>0.68110287189483643</c:v>
                </c:pt>
                <c:pt idx="28">
                  <c:v>0.74810713529586792</c:v>
                </c:pt>
                <c:pt idx="29">
                  <c:v>0.76367515325546265</c:v>
                </c:pt>
                <c:pt idx="30">
                  <c:v>1.1042046546936035</c:v>
                </c:pt>
                <c:pt idx="31">
                  <c:v>1.250199556350708</c:v>
                </c:pt>
                <c:pt idx="32">
                  <c:v>1.1539222002029419</c:v>
                </c:pt>
                <c:pt idx="33">
                  <c:v>1.1675971746444702</c:v>
                </c:pt>
                <c:pt idx="34">
                  <c:v>1.2683455944061279</c:v>
                </c:pt>
                <c:pt idx="35">
                  <c:v>1.1988584995269775</c:v>
                </c:pt>
                <c:pt idx="36">
                  <c:v>1.8395336866378784</c:v>
                </c:pt>
                <c:pt idx="37">
                  <c:v>2.4774608612060547</c:v>
                </c:pt>
                <c:pt idx="38">
                  <c:v>2.4923830032348633</c:v>
                </c:pt>
                <c:pt idx="39">
                  <c:v>2.3033030033111572</c:v>
                </c:pt>
                <c:pt idx="40">
                  <c:v>2.4225966930389404</c:v>
                </c:pt>
                <c:pt idx="41">
                  <c:v>1.8730242252349854</c:v>
                </c:pt>
                <c:pt idx="42">
                  <c:v>1.5055280923843384</c:v>
                </c:pt>
                <c:pt idx="43">
                  <c:v>1.5055280923843384</c:v>
                </c:pt>
                <c:pt idx="44">
                  <c:v>1.6340122222900391</c:v>
                </c:pt>
                <c:pt idx="45">
                  <c:v>1.7126438617706299</c:v>
                </c:pt>
                <c:pt idx="46">
                  <c:v>2.2196602821350098</c:v>
                </c:pt>
                <c:pt idx="47">
                  <c:v>2.1810171604156494</c:v>
                </c:pt>
                <c:pt idx="48">
                  <c:v>1.9882111549377441</c:v>
                </c:pt>
                <c:pt idx="49">
                  <c:v>1.9882111549377441</c:v>
                </c:pt>
                <c:pt idx="50">
                  <c:v>1.9882111549377441</c:v>
                </c:pt>
                <c:pt idx="51">
                  <c:v>2.427558422088623</c:v>
                </c:pt>
                <c:pt idx="52">
                  <c:v>2.2709739208221436</c:v>
                </c:pt>
                <c:pt idx="53">
                  <c:v>2.8069972991943359</c:v>
                </c:pt>
                <c:pt idx="54">
                  <c:v>2.6013236045837402</c:v>
                </c:pt>
                <c:pt idx="55">
                  <c:v>2.6947493553161621</c:v>
                </c:pt>
                <c:pt idx="56">
                  <c:v>2.728614330291748</c:v>
                </c:pt>
                <c:pt idx="57">
                  <c:v>2.8998367786407471</c:v>
                </c:pt>
                <c:pt idx="58">
                  <c:v>2.8712384700775146</c:v>
                </c:pt>
                <c:pt idx="59">
                  <c:v>2.7573964595794678</c:v>
                </c:pt>
                <c:pt idx="60">
                  <c:v>1.8072060346603394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44-4AAE-8874-C8979BABF6D1}"/>
            </c:ext>
          </c:extLst>
        </c:ser>
        <c:ser>
          <c:idx val="1"/>
          <c:order val="1"/>
          <c:tx>
            <c:strRef>
              <c:f>TABLA_M!$L$3</c:f>
              <c:strCache>
                <c:ptCount val="1"/>
                <c:pt idx="0">
                  <c:v>H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TABLA_M!$L$4:$L$65</c:f>
              <c:numCache>
                <c:formatCode>0.000</c:formatCode>
                <c:ptCount val="62"/>
                <c:pt idx="0">
                  <c:v>1.877</c:v>
                </c:pt>
                <c:pt idx="1">
                  <c:v>1.639</c:v>
                </c:pt>
                <c:pt idx="2">
                  <c:v>4.1959999999999997</c:v>
                </c:pt>
                <c:pt idx="3">
                  <c:v>1.746</c:v>
                </c:pt>
                <c:pt idx="4">
                  <c:v>3.2970000000000002</c:v>
                </c:pt>
                <c:pt idx="5">
                  <c:v>3.585</c:v>
                </c:pt>
                <c:pt idx="6">
                  <c:v>2.0670000000000002</c:v>
                </c:pt>
                <c:pt idx="7">
                  <c:v>2.3029999999999999</c:v>
                </c:pt>
                <c:pt idx="8">
                  <c:v>2.5670000000000002</c:v>
                </c:pt>
                <c:pt idx="9">
                  <c:v>1.821</c:v>
                </c:pt>
                <c:pt idx="10">
                  <c:v>0.96499999999999997</c:v>
                </c:pt>
                <c:pt idx="11">
                  <c:v>1.1180000000000001</c:v>
                </c:pt>
                <c:pt idx="12">
                  <c:v>1.2949999999999999</c:v>
                </c:pt>
                <c:pt idx="13">
                  <c:v>1.2709999999999999</c:v>
                </c:pt>
                <c:pt idx="14">
                  <c:v>0</c:v>
                </c:pt>
                <c:pt idx="15">
                  <c:v>1.1879999999999999</c:v>
                </c:pt>
                <c:pt idx="16">
                  <c:v>1.6910000000000001</c:v>
                </c:pt>
                <c:pt idx="17">
                  <c:v>1.782</c:v>
                </c:pt>
                <c:pt idx="18">
                  <c:v>1.86</c:v>
                </c:pt>
                <c:pt idx="19">
                  <c:v>3.2440000000000002</c:v>
                </c:pt>
                <c:pt idx="20">
                  <c:v>2.0419999999999998</c:v>
                </c:pt>
                <c:pt idx="21">
                  <c:v>2.032</c:v>
                </c:pt>
                <c:pt idx="22">
                  <c:v>5.9749999999999996</c:v>
                </c:pt>
                <c:pt idx="23">
                  <c:v>2.98</c:v>
                </c:pt>
                <c:pt idx="24">
                  <c:v>2.2480000000000002</c:v>
                </c:pt>
                <c:pt idx="25">
                  <c:v>4.2629999999999999</c:v>
                </c:pt>
                <c:pt idx="26">
                  <c:v>2.2709999999999999</c:v>
                </c:pt>
                <c:pt idx="27">
                  <c:v>1.7969999999999999</c:v>
                </c:pt>
                <c:pt idx="28">
                  <c:v>1.99</c:v>
                </c:pt>
                <c:pt idx="29">
                  <c:v>1.716</c:v>
                </c:pt>
                <c:pt idx="30">
                  <c:v>1.3540000000000001</c:v>
                </c:pt>
                <c:pt idx="31">
                  <c:v>0.95399999999999996</c:v>
                </c:pt>
                <c:pt idx="32">
                  <c:v>0.97099999999999997</c:v>
                </c:pt>
                <c:pt idx="33">
                  <c:v>1.677</c:v>
                </c:pt>
                <c:pt idx="34">
                  <c:v>1.538</c:v>
                </c:pt>
                <c:pt idx="35">
                  <c:v>0</c:v>
                </c:pt>
                <c:pt idx="36">
                  <c:v>0</c:v>
                </c:pt>
                <c:pt idx="37">
                  <c:v>2.657</c:v>
                </c:pt>
                <c:pt idx="38">
                  <c:v>2.6150000000000002</c:v>
                </c:pt>
                <c:pt idx="39">
                  <c:v>2.73</c:v>
                </c:pt>
                <c:pt idx="40">
                  <c:v>2.0859999999999999</c:v>
                </c:pt>
                <c:pt idx="41">
                  <c:v>2.048</c:v>
                </c:pt>
                <c:pt idx="42">
                  <c:v>1.381</c:v>
                </c:pt>
                <c:pt idx="43">
                  <c:v>2.2570000000000001</c:v>
                </c:pt>
                <c:pt idx="44">
                  <c:v>2.0019999999999998</c:v>
                </c:pt>
                <c:pt idx="45">
                  <c:v>1.4410000000000001</c:v>
                </c:pt>
                <c:pt idx="46">
                  <c:v>3.226</c:v>
                </c:pt>
                <c:pt idx="47">
                  <c:v>2.9020000000000001</c:v>
                </c:pt>
                <c:pt idx="48">
                  <c:v>2.8490000000000002</c:v>
                </c:pt>
                <c:pt idx="49">
                  <c:v>1.901</c:v>
                </c:pt>
                <c:pt idx="50">
                  <c:v>3.302</c:v>
                </c:pt>
                <c:pt idx="51">
                  <c:v>3.0830000000000002</c:v>
                </c:pt>
                <c:pt idx="52">
                  <c:v>3.9340000000000002</c:v>
                </c:pt>
                <c:pt idx="53">
                  <c:v>2.57</c:v>
                </c:pt>
                <c:pt idx="54">
                  <c:v>0</c:v>
                </c:pt>
                <c:pt idx="55">
                  <c:v>2.8439999999999999</c:v>
                </c:pt>
                <c:pt idx="56">
                  <c:v>2.3490000000000002</c:v>
                </c:pt>
                <c:pt idx="57">
                  <c:v>2.7330000000000001</c:v>
                </c:pt>
                <c:pt idx="58">
                  <c:v>3.5649999999999999</c:v>
                </c:pt>
                <c:pt idx="59">
                  <c:v>2.339</c:v>
                </c:pt>
                <c:pt idx="60">
                  <c:v>1.7549999999999999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44-4AAE-8874-C8979BAB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3368"/>
        <c:axId val="348737488"/>
      </c:lineChart>
      <c:catAx>
        <c:axId val="348743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8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 sz="980"/>
                  <a:t>DIAS</a:t>
                </a:r>
              </a:p>
            </c:rich>
          </c:tx>
          <c:layout>
            <c:manualLayout>
              <c:xMode val="edge"/>
              <c:yMode val="edge"/>
              <c:x val="0.50390693350831151"/>
              <c:y val="0.93670886075949367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&quot;$&quot;&quot;$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37488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8737488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6.510416666666667E-3"/>
              <c:y val="0.422784810126582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3368"/>
        <c:crosses val="autoZero"/>
        <c:crossBetween val="between"/>
        <c:majorUnit val="0.5"/>
        <c:minorUnit val="0.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786554024496941"/>
          <c:y val="3.0379746835443037E-2"/>
          <c:w val="0.23958360673665791"/>
          <c:h val="5.31645569620253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COLA FINAL - PLANTA DE MOLY (%Cu)</a:t>
            </a:r>
          </a:p>
        </c:rich>
      </c:tx>
      <c:layout>
        <c:manualLayout>
          <c:xMode val="edge"/>
          <c:yMode val="edge"/>
          <c:x val="0.35789501312335958"/>
          <c:y val="3.29113924050632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94790099962798E-2"/>
          <c:y val="8.8607594936708861E-2"/>
          <c:w val="0.8921058363138854"/>
          <c:h val="0.7443037974683544"/>
        </c:manualLayout>
      </c:layout>
      <c:lineChart>
        <c:grouping val="standard"/>
        <c:varyColors val="0"/>
        <c:ser>
          <c:idx val="0"/>
          <c:order val="0"/>
          <c:tx>
            <c:strRef>
              <c:f>TABLA_M!$Y$3</c:f>
              <c:strCache>
                <c:ptCount val="1"/>
                <c:pt idx="0">
                  <c:v>T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TABLA_M!$Y$4:$Y$65</c:f>
              <c:numCache>
                <c:formatCode>0.000</c:formatCode>
                <c:ptCount val="62"/>
                <c:pt idx="0">
                  <c:v>21.793367385864258</c:v>
                </c:pt>
                <c:pt idx="1">
                  <c:v>21.793367385864258</c:v>
                </c:pt>
                <c:pt idx="2">
                  <c:v>25.253507614135742</c:v>
                </c:pt>
                <c:pt idx="3">
                  <c:v>25.253507614135742</c:v>
                </c:pt>
                <c:pt idx="4">
                  <c:v>25.209236145019531</c:v>
                </c:pt>
                <c:pt idx="5">
                  <c:v>25.286367416381836</c:v>
                </c:pt>
                <c:pt idx="6">
                  <c:v>24.104804992675781</c:v>
                </c:pt>
                <c:pt idx="7">
                  <c:v>23.548566818237305</c:v>
                </c:pt>
                <c:pt idx="8">
                  <c:v>21.278430938720703</c:v>
                </c:pt>
                <c:pt idx="9">
                  <c:v>24.443809509277344</c:v>
                </c:pt>
                <c:pt idx="10">
                  <c:v>23.779850006103516</c:v>
                </c:pt>
                <c:pt idx="11">
                  <c:v>21.322835922241211</c:v>
                </c:pt>
                <c:pt idx="12">
                  <c:v>19.861064910888672</c:v>
                </c:pt>
                <c:pt idx="13">
                  <c:v>23.91087532043457</c:v>
                </c:pt>
                <c:pt idx="14">
                  <c:v>22.782251358032227</c:v>
                </c:pt>
                <c:pt idx="15">
                  <c:v>23.487161636352539</c:v>
                </c:pt>
                <c:pt idx="16">
                  <c:v>25.519594192504883</c:v>
                </c:pt>
                <c:pt idx="17">
                  <c:v>25.519594192504883</c:v>
                </c:pt>
                <c:pt idx="18">
                  <c:v>25.068899154663086</c:v>
                </c:pt>
                <c:pt idx="19">
                  <c:v>24.310548782348633</c:v>
                </c:pt>
                <c:pt idx="20">
                  <c:v>24.298362731933594</c:v>
                </c:pt>
                <c:pt idx="21">
                  <c:v>24.033393859863281</c:v>
                </c:pt>
                <c:pt idx="22">
                  <c:v>22.300138473510742</c:v>
                </c:pt>
                <c:pt idx="23">
                  <c:v>23.689096450805664</c:v>
                </c:pt>
                <c:pt idx="24">
                  <c:v>20.800651550292969</c:v>
                </c:pt>
                <c:pt idx="25">
                  <c:v>22.796459197998047</c:v>
                </c:pt>
                <c:pt idx="26">
                  <c:v>22.796459197998047</c:v>
                </c:pt>
                <c:pt idx="27">
                  <c:v>21.517040252685547</c:v>
                </c:pt>
                <c:pt idx="28">
                  <c:v>23.994331359863281</c:v>
                </c:pt>
                <c:pt idx="29">
                  <c:v>22.875391006469727</c:v>
                </c:pt>
                <c:pt idx="30">
                  <c:v>21.951410293579102</c:v>
                </c:pt>
                <c:pt idx="31">
                  <c:v>21.885499954223633</c:v>
                </c:pt>
                <c:pt idx="32">
                  <c:v>22.472513198852539</c:v>
                </c:pt>
                <c:pt idx="33">
                  <c:v>23.350467681884766</c:v>
                </c:pt>
                <c:pt idx="34">
                  <c:v>22.97532844543457</c:v>
                </c:pt>
                <c:pt idx="35">
                  <c:v>22.950065612792969</c:v>
                </c:pt>
                <c:pt idx="36">
                  <c:v>22.950065612792969</c:v>
                </c:pt>
                <c:pt idx="37">
                  <c:v>22.364408493041992</c:v>
                </c:pt>
                <c:pt idx="38">
                  <c:v>22.362728118896484</c:v>
                </c:pt>
                <c:pt idx="39">
                  <c:v>23.310703277587891</c:v>
                </c:pt>
                <c:pt idx="40">
                  <c:v>22.593915939331055</c:v>
                </c:pt>
                <c:pt idx="41">
                  <c:v>22.245033264160156</c:v>
                </c:pt>
                <c:pt idx="42">
                  <c:v>21.316932678222656</c:v>
                </c:pt>
                <c:pt idx="43">
                  <c:v>21.316932678222656</c:v>
                </c:pt>
                <c:pt idx="44">
                  <c:v>21.468421936035156</c:v>
                </c:pt>
                <c:pt idx="45">
                  <c:v>25.500570297241211</c:v>
                </c:pt>
                <c:pt idx="46">
                  <c:v>24.990884780883789</c:v>
                </c:pt>
                <c:pt idx="47">
                  <c:v>25.59405517578125</c:v>
                </c:pt>
                <c:pt idx="48">
                  <c:v>27.13728141784668</c:v>
                </c:pt>
                <c:pt idx="49">
                  <c:v>26.986896514892578</c:v>
                </c:pt>
                <c:pt idx="50">
                  <c:v>25.830345153808594</c:v>
                </c:pt>
                <c:pt idx="51">
                  <c:v>25.62885856628418</c:v>
                </c:pt>
                <c:pt idx="52">
                  <c:v>25.941305160522461</c:v>
                </c:pt>
                <c:pt idx="53">
                  <c:v>25.204212188720703</c:v>
                </c:pt>
                <c:pt idx="54">
                  <c:v>24.093988418579102</c:v>
                </c:pt>
                <c:pt idx="55">
                  <c:v>27.795993804931641</c:v>
                </c:pt>
                <c:pt idx="56">
                  <c:v>26.973537445068359</c:v>
                </c:pt>
                <c:pt idx="57">
                  <c:v>26.553373336791992</c:v>
                </c:pt>
                <c:pt idx="58">
                  <c:v>27.450481414794922</c:v>
                </c:pt>
                <c:pt idx="59">
                  <c:v>26.031570434570313</c:v>
                </c:pt>
                <c:pt idx="60">
                  <c:v>24.849987030029297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5-4F67-A1C0-A99832302B87}"/>
            </c:ext>
          </c:extLst>
        </c:ser>
        <c:ser>
          <c:idx val="1"/>
          <c:order val="1"/>
          <c:tx>
            <c:strRef>
              <c:f>TABLA_M!$Z$3</c:f>
              <c:strCache>
                <c:ptCount val="1"/>
                <c:pt idx="0">
                  <c:v>T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TABLA_M!$Z$4:$Z$65</c:f>
              <c:numCache>
                <c:formatCode>0.000</c:formatCode>
                <c:ptCount val="62"/>
                <c:pt idx="0">
                  <c:v>22.686</c:v>
                </c:pt>
                <c:pt idx="1">
                  <c:v>24.474</c:v>
                </c:pt>
                <c:pt idx="2">
                  <c:v>23.491</c:v>
                </c:pt>
                <c:pt idx="3">
                  <c:v>21.212</c:v>
                </c:pt>
                <c:pt idx="4">
                  <c:v>23.145</c:v>
                </c:pt>
                <c:pt idx="5">
                  <c:v>22.411999999999999</c:v>
                </c:pt>
                <c:pt idx="6">
                  <c:v>23.283000000000001</c:v>
                </c:pt>
                <c:pt idx="7">
                  <c:v>20.567</c:v>
                </c:pt>
                <c:pt idx="8">
                  <c:v>21.212</c:v>
                </c:pt>
                <c:pt idx="9">
                  <c:v>25.276</c:v>
                </c:pt>
                <c:pt idx="10">
                  <c:v>23.591000000000001</c:v>
                </c:pt>
                <c:pt idx="11">
                  <c:v>23.491</c:v>
                </c:pt>
                <c:pt idx="12">
                  <c:v>22.138999999999999</c:v>
                </c:pt>
                <c:pt idx="13">
                  <c:v>23.69</c:v>
                </c:pt>
                <c:pt idx="14">
                  <c:v>0</c:v>
                </c:pt>
                <c:pt idx="15">
                  <c:v>25.474</c:v>
                </c:pt>
                <c:pt idx="16">
                  <c:v>23.376999999999999</c:v>
                </c:pt>
                <c:pt idx="17">
                  <c:v>22.786000000000001</c:v>
                </c:pt>
                <c:pt idx="18">
                  <c:v>22.486999999999998</c:v>
                </c:pt>
                <c:pt idx="19">
                  <c:v>22.786000000000001</c:v>
                </c:pt>
                <c:pt idx="20">
                  <c:v>22.885000000000002</c:v>
                </c:pt>
                <c:pt idx="21">
                  <c:v>24.132000000000001</c:v>
                </c:pt>
                <c:pt idx="22">
                  <c:v>22.841000000000001</c:v>
                </c:pt>
                <c:pt idx="23">
                  <c:v>22.885000000000002</c:v>
                </c:pt>
                <c:pt idx="24">
                  <c:v>23.391999999999999</c:v>
                </c:pt>
                <c:pt idx="25">
                  <c:v>23.785</c:v>
                </c:pt>
                <c:pt idx="26">
                  <c:v>23.541</c:v>
                </c:pt>
                <c:pt idx="27">
                  <c:v>22.288</c:v>
                </c:pt>
                <c:pt idx="28">
                  <c:v>23.565999999999999</c:v>
                </c:pt>
                <c:pt idx="29">
                  <c:v>22.196000000000002</c:v>
                </c:pt>
                <c:pt idx="30">
                  <c:v>20.398</c:v>
                </c:pt>
                <c:pt idx="31">
                  <c:v>21.393000000000001</c:v>
                </c:pt>
                <c:pt idx="32">
                  <c:v>22.288</c:v>
                </c:pt>
                <c:pt idx="33">
                  <c:v>24.675999999999998</c:v>
                </c:pt>
                <c:pt idx="34">
                  <c:v>21.358000000000001</c:v>
                </c:pt>
                <c:pt idx="35">
                  <c:v>0</c:v>
                </c:pt>
                <c:pt idx="36">
                  <c:v>0</c:v>
                </c:pt>
                <c:pt idx="37">
                  <c:v>22.564</c:v>
                </c:pt>
                <c:pt idx="38">
                  <c:v>23.491</c:v>
                </c:pt>
                <c:pt idx="39">
                  <c:v>19.402999999999999</c:v>
                </c:pt>
                <c:pt idx="40">
                  <c:v>23.382999999999999</c:v>
                </c:pt>
                <c:pt idx="41">
                  <c:v>22.786000000000001</c:v>
                </c:pt>
                <c:pt idx="42">
                  <c:v>21.640999999999998</c:v>
                </c:pt>
                <c:pt idx="43">
                  <c:v>25.173999999999999</c:v>
                </c:pt>
                <c:pt idx="44">
                  <c:v>22.138999999999999</c:v>
                </c:pt>
                <c:pt idx="45">
                  <c:v>26.068999999999999</c:v>
                </c:pt>
                <c:pt idx="46">
                  <c:v>23.431999999999999</c:v>
                </c:pt>
                <c:pt idx="47">
                  <c:v>25.37</c:v>
                </c:pt>
                <c:pt idx="48">
                  <c:v>26.068999999999999</c:v>
                </c:pt>
                <c:pt idx="49">
                  <c:v>26.465</c:v>
                </c:pt>
                <c:pt idx="50">
                  <c:v>23.571999999999999</c:v>
                </c:pt>
                <c:pt idx="51">
                  <c:v>25.97</c:v>
                </c:pt>
                <c:pt idx="52">
                  <c:v>25.227</c:v>
                </c:pt>
                <c:pt idx="53">
                  <c:v>26.167000000000002</c:v>
                </c:pt>
                <c:pt idx="54">
                  <c:v>0</c:v>
                </c:pt>
                <c:pt idx="55">
                  <c:v>27.766999999999999</c:v>
                </c:pt>
                <c:pt idx="56">
                  <c:v>26.471</c:v>
                </c:pt>
                <c:pt idx="57">
                  <c:v>26.268000000000001</c:v>
                </c:pt>
                <c:pt idx="58">
                  <c:v>25.547000000000001</c:v>
                </c:pt>
                <c:pt idx="59">
                  <c:v>25.821000000000002</c:v>
                </c:pt>
                <c:pt idx="60">
                  <c:v>25.271000000000001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5-4F67-A1C0-A9983230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6056"/>
        <c:axId val="348740624"/>
      </c:lineChart>
      <c:catAx>
        <c:axId val="347956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1052659207072804"/>
              <c:y val="0.93670886075949367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&quot;$&quot;&quot;$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 algn="ctr">
              <a:defRPr lang="es-PE" sz="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0624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8740624"/>
        <c:scaling>
          <c:orientation val="minMax"/>
          <c:max val="29"/>
          <c:min val="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6.5789473684210523E-3"/>
              <c:y val="0.425316455696202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47956056"/>
        <c:crosses val="autoZero"/>
        <c:crossBetween val="between"/>
        <c:majorUnit val="1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63213150987707"/>
          <c:y val="2.7848101265822784E-2"/>
          <c:w val="0.24210540129852187"/>
          <c:h val="5.31645569620253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 algn="ctr">
        <a:defRPr lang="es-PE" sz="800" b="0" i="0" u="none" strike="noStrike" kern="1200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COLA FINAL - PLANTA DE MOLY (%Mo)</a:t>
            </a:r>
          </a:p>
        </c:rich>
      </c:tx>
      <c:layout>
        <c:manualLayout>
          <c:xMode val="edge"/>
          <c:yMode val="edge"/>
          <c:x val="0.35853976531942633"/>
          <c:y val="3.30788804071246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9087353324641456E-2"/>
          <c:y val="0.11704863690918443"/>
          <c:w val="0.86440677966101698"/>
          <c:h val="0.6692128588503371"/>
        </c:manualLayout>
      </c:layout>
      <c:lineChart>
        <c:grouping val="standard"/>
        <c:varyColors val="0"/>
        <c:ser>
          <c:idx val="0"/>
          <c:order val="0"/>
          <c:tx>
            <c:strRef>
              <c:f>TABLA_M!$AF$3</c:f>
              <c:strCache>
                <c:ptCount val="1"/>
                <c:pt idx="0">
                  <c:v>T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TABLA_M!$AF$4:$AF$65</c:f>
              <c:numCache>
                <c:formatCode>0.000</c:formatCode>
                <c:ptCount val="62"/>
                <c:pt idx="0">
                  <c:v>0.43541663885116577</c:v>
                </c:pt>
                <c:pt idx="1">
                  <c:v>0.43541663885116577</c:v>
                </c:pt>
                <c:pt idx="2">
                  <c:v>0.20480257272720337</c:v>
                </c:pt>
                <c:pt idx="3">
                  <c:v>0.20480257272720337</c:v>
                </c:pt>
                <c:pt idx="4">
                  <c:v>0.14440962672233582</c:v>
                </c:pt>
                <c:pt idx="5">
                  <c:v>0.10134220868349075</c:v>
                </c:pt>
                <c:pt idx="6">
                  <c:v>0.10239333659410477</c:v>
                </c:pt>
                <c:pt idx="7">
                  <c:v>8.8767431676387787E-2</c:v>
                </c:pt>
                <c:pt idx="8">
                  <c:v>9.7924016416072845E-2</c:v>
                </c:pt>
                <c:pt idx="9">
                  <c:v>6.4414113759994507E-2</c:v>
                </c:pt>
                <c:pt idx="10">
                  <c:v>5.3388558328151703E-2</c:v>
                </c:pt>
                <c:pt idx="11">
                  <c:v>0.18215537071228027</c:v>
                </c:pt>
                <c:pt idx="12">
                  <c:v>0.67277532815933228</c:v>
                </c:pt>
                <c:pt idx="13">
                  <c:v>0.15042237937450409</c:v>
                </c:pt>
                <c:pt idx="14">
                  <c:v>0.28837582468986511</c:v>
                </c:pt>
                <c:pt idx="15">
                  <c:v>0.38917356729507446</c:v>
                </c:pt>
                <c:pt idx="16">
                  <c:v>0.16438183188438416</c:v>
                </c:pt>
                <c:pt idx="17">
                  <c:v>0.16438183188438416</c:v>
                </c:pt>
                <c:pt idx="18">
                  <c:v>0.28070893883705139</c:v>
                </c:pt>
                <c:pt idx="19">
                  <c:v>0.26761573553085327</c:v>
                </c:pt>
                <c:pt idx="20">
                  <c:v>5.9297509491443634E-2</c:v>
                </c:pt>
                <c:pt idx="21">
                  <c:v>7.9983144998550415E-2</c:v>
                </c:pt>
                <c:pt idx="22">
                  <c:v>0.43560272455215454</c:v>
                </c:pt>
                <c:pt idx="23">
                  <c:v>0.14035680890083313</c:v>
                </c:pt>
                <c:pt idx="24">
                  <c:v>0.22028069198131561</c:v>
                </c:pt>
                <c:pt idx="25">
                  <c:v>0.1689692884683609</c:v>
                </c:pt>
                <c:pt idx="26">
                  <c:v>0.1689692884683609</c:v>
                </c:pt>
                <c:pt idx="27">
                  <c:v>6.8032629787921906E-2</c:v>
                </c:pt>
                <c:pt idx="28">
                  <c:v>9.1524593532085419E-2</c:v>
                </c:pt>
                <c:pt idx="29">
                  <c:v>6.9822221994400024E-2</c:v>
                </c:pt>
                <c:pt idx="30">
                  <c:v>9.7445882856845856E-2</c:v>
                </c:pt>
                <c:pt idx="31">
                  <c:v>5.1226496696472168E-2</c:v>
                </c:pt>
                <c:pt idx="32">
                  <c:v>6.0069702565670013E-2</c:v>
                </c:pt>
                <c:pt idx="33">
                  <c:v>0.12544995546340942</c:v>
                </c:pt>
                <c:pt idx="34">
                  <c:v>0.13723689317703247</c:v>
                </c:pt>
                <c:pt idx="35">
                  <c:v>0.17933668196201324</c:v>
                </c:pt>
                <c:pt idx="36">
                  <c:v>0.17933668196201324</c:v>
                </c:pt>
                <c:pt idx="37">
                  <c:v>0.85045719146728516</c:v>
                </c:pt>
                <c:pt idx="38">
                  <c:v>1.069115161895752</c:v>
                </c:pt>
                <c:pt idx="39">
                  <c:v>0.20690819621086121</c:v>
                </c:pt>
                <c:pt idx="40">
                  <c:v>0.49336770176887512</c:v>
                </c:pt>
                <c:pt idx="41">
                  <c:v>9.0064592659473419E-2</c:v>
                </c:pt>
                <c:pt idx="42">
                  <c:v>0.17403541505336761</c:v>
                </c:pt>
                <c:pt idx="43">
                  <c:v>0.17403541505336761</c:v>
                </c:pt>
                <c:pt idx="44">
                  <c:v>0.15090176463127136</c:v>
                </c:pt>
                <c:pt idx="45">
                  <c:v>0.15326644480228424</c:v>
                </c:pt>
                <c:pt idx="46">
                  <c:v>5.4691430181264877E-2</c:v>
                </c:pt>
                <c:pt idx="47">
                  <c:v>9.6487991511821747E-2</c:v>
                </c:pt>
                <c:pt idx="48">
                  <c:v>8.5849106311798096E-2</c:v>
                </c:pt>
                <c:pt idx="49">
                  <c:v>6.6281162202358246E-2</c:v>
                </c:pt>
                <c:pt idx="50">
                  <c:v>0.10891502350568771</c:v>
                </c:pt>
                <c:pt idx="51">
                  <c:v>9.5075011253356934E-2</c:v>
                </c:pt>
                <c:pt idx="52">
                  <c:v>0.10948605090379715</c:v>
                </c:pt>
                <c:pt idx="53">
                  <c:v>6.9430828094482422E-2</c:v>
                </c:pt>
                <c:pt idx="54">
                  <c:v>8.3107098937034607E-2</c:v>
                </c:pt>
                <c:pt idx="55">
                  <c:v>0.38959759473800659</c:v>
                </c:pt>
                <c:pt idx="56">
                  <c:v>0.30744925141334534</c:v>
                </c:pt>
                <c:pt idx="57">
                  <c:v>0.10706456750631332</c:v>
                </c:pt>
                <c:pt idx="58">
                  <c:v>0.10866567492485046</c:v>
                </c:pt>
                <c:pt idx="59">
                  <c:v>0.17398174107074738</c:v>
                </c:pt>
                <c:pt idx="60">
                  <c:v>7.5125448405742645E-2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36-42AB-AD38-A208C98A08D1}"/>
            </c:ext>
          </c:extLst>
        </c:ser>
        <c:ser>
          <c:idx val="1"/>
          <c:order val="1"/>
          <c:tx>
            <c:strRef>
              <c:f>TABLA_M!$AG$3</c:f>
              <c:strCache>
                <c:ptCount val="1"/>
                <c:pt idx="0">
                  <c:v>T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TABLA_M!$AG$4:$AG$65</c:f>
              <c:numCache>
                <c:formatCode>0.000</c:formatCode>
                <c:ptCount val="62"/>
                <c:pt idx="0">
                  <c:v>7.3999999999999996E-2</c:v>
                </c:pt>
                <c:pt idx="1">
                  <c:v>8.1000000000000003E-2</c:v>
                </c:pt>
                <c:pt idx="2">
                  <c:v>0.11799999999999999</c:v>
                </c:pt>
                <c:pt idx="3">
                  <c:v>8.8999999999999996E-2</c:v>
                </c:pt>
                <c:pt idx="4">
                  <c:v>8.3000000000000004E-2</c:v>
                </c:pt>
                <c:pt idx="5">
                  <c:v>6.6000000000000003E-2</c:v>
                </c:pt>
                <c:pt idx="6">
                  <c:v>0.11</c:v>
                </c:pt>
                <c:pt idx="7">
                  <c:v>0.04</c:v>
                </c:pt>
                <c:pt idx="8">
                  <c:v>3.2000000000000001E-2</c:v>
                </c:pt>
                <c:pt idx="9">
                  <c:v>5.2999999999999999E-2</c:v>
                </c:pt>
                <c:pt idx="10">
                  <c:v>2.9000000000000001E-2</c:v>
                </c:pt>
                <c:pt idx="11">
                  <c:v>5.0999999999999997E-2</c:v>
                </c:pt>
                <c:pt idx="12">
                  <c:v>4.3999999999999997E-2</c:v>
                </c:pt>
                <c:pt idx="13">
                  <c:v>4.2000000000000003E-2</c:v>
                </c:pt>
                <c:pt idx="14">
                  <c:v>0</c:v>
                </c:pt>
                <c:pt idx="15">
                  <c:v>0.05</c:v>
                </c:pt>
                <c:pt idx="16">
                  <c:v>6.7000000000000004E-2</c:v>
                </c:pt>
                <c:pt idx="17">
                  <c:v>0.104</c:v>
                </c:pt>
                <c:pt idx="18">
                  <c:v>0.106</c:v>
                </c:pt>
                <c:pt idx="19">
                  <c:v>7.6999999999999999E-2</c:v>
                </c:pt>
                <c:pt idx="20">
                  <c:v>9.0999999999999998E-2</c:v>
                </c:pt>
                <c:pt idx="21">
                  <c:v>3.5000000000000003E-2</c:v>
                </c:pt>
                <c:pt idx="22">
                  <c:v>6.7000000000000004E-2</c:v>
                </c:pt>
                <c:pt idx="23">
                  <c:v>7.5999999999999998E-2</c:v>
                </c:pt>
                <c:pt idx="24">
                  <c:v>4.9000000000000002E-2</c:v>
                </c:pt>
                <c:pt idx="25">
                  <c:v>8.5999999999999993E-2</c:v>
                </c:pt>
                <c:pt idx="26">
                  <c:v>0.05</c:v>
                </c:pt>
                <c:pt idx="27">
                  <c:v>2.7E-2</c:v>
                </c:pt>
                <c:pt idx="28">
                  <c:v>0.152</c:v>
                </c:pt>
                <c:pt idx="29">
                  <c:v>0.13700000000000001</c:v>
                </c:pt>
                <c:pt idx="30">
                  <c:v>7.6999999999999999E-2</c:v>
                </c:pt>
                <c:pt idx="31">
                  <c:v>7.8E-2</c:v>
                </c:pt>
                <c:pt idx="32">
                  <c:v>9.7000000000000003E-2</c:v>
                </c:pt>
                <c:pt idx="33">
                  <c:v>0.125</c:v>
                </c:pt>
                <c:pt idx="34">
                  <c:v>0.10299999999999999</c:v>
                </c:pt>
                <c:pt idx="35">
                  <c:v>0</c:v>
                </c:pt>
                <c:pt idx="36">
                  <c:v>0</c:v>
                </c:pt>
                <c:pt idx="37">
                  <c:v>5.3999999999999999E-2</c:v>
                </c:pt>
                <c:pt idx="38">
                  <c:v>7.5999999999999998E-2</c:v>
                </c:pt>
                <c:pt idx="39">
                  <c:v>4.5999999999999999E-2</c:v>
                </c:pt>
                <c:pt idx="40">
                  <c:v>7.2999999999999995E-2</c:v>
                </c:pt>
                <c:pt idx="41">
                  <c:v>4.1000000000000002E-2</c:v>
                </c:pt>
                <c:pt idx="42">
                  <c:v>0.14099999999999999</c:v>
                </c:pt>
                <c:pt idx="43">
                  <c:v>5.1999999999999998E-2</c:v>
                </c:pt>
                <c:pt idx="44">
                  <c:v>0.57699999999999996</c:v>
                </c:pt>
                <c:pt idx="45">
                  <c:v>4.9000000000000002E-2</c:v>
                </c:pt>
                <c:pt idx="46">
                  <c:v>3.9E-2</c:v>
                </c:pt>
                <c:pt idx="47">
                  <c:v>4.9000000000000002E-2</c:v>
                </c:pt>
                <c:pt idx="48">
                  <c:v>6.5000000000000002E-2</c:v>
                </c:pt>
                <c:pt idx="49">
                  <c:v>5.8999999999999997E-2</c:v>
                </c:pt>
                <c:pt idx="50">
                  <c:v>9.9000000000000005E-2</c:v>
                </c:pt>
                <c:pt idx="51">
                  <c:v>0.106</c:v>
                </c:pt>
                <c:pt idx="52">
                  <c:v>7.2999999999999995E-2</c:v>
                </c:pt>
                <c:pt idx="53">
                  <c:v>6.2E-2</c:v>
                </c:pt>
                <c:pt idx="54">
                  <c:v>0</c:v>
                </c:pt>
                <c:pt idx="55">
                  <c:v>0.14499999999999999</c:v>
                </c:pt>
                <c:pt idx="56">
                  <c:v>0.13700000000000001</c:v>
                </c:pt>
                <c:pt idx="57">
                  <c:v>8.5999999999999993E-2</c:v>
                </c:pt>
                <c:pt idx="58">
                  <c:v>9.2999999999999999E-2</c:v>
                </c:pt>
                <c:pt idx="59">
                  <c:v>0.108</c:v>
                </c:pt>
                <c:pt idx="60">
                  <c:v>7.1999999999999995E-2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36-42AB-AD38-A208C98A0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4152"/>
        <c:axId val="348737096"/>
      </c:lineChart>
      <c:catAx>
        <c:axId val="348744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8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 sz="980"/>
                  <a:t>DIAS</a:t>
                </a:r>
              </a:p>
            </c:rich>
          </c:tx>
          <c:layout>
            <c:manualLayout>
              <c:xMode val="edge"/>
              <c:yMode val="edge"/>
              <c:x val="0.51238591916558018"/>
              <c:y val="0.92621105567910877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&quot;$&quot;&quot;$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37096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8737096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2.3468057366362451E-2"/>
              <c:y val="0.412214809026734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4152"/>
        <c:crosses val="autoZero"/>
        <c:crossBetween val="between"/>
        <c:majorUnit val="0.1"/>
        <c:minorUnit val="0.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5097783572359844"/>
          <c:y val="2.5445292620865138E-2"/>
          <c:w val="0.23989569752281614"/>
          <c:h val="5.34351145038167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PE"/>
              <a:t>CONC. ULT. LIMPIEZA - PLANTA DE MOLY (%Cu)</a:t>
            </a:r>
          </a:p>
        </c:rich>
      </c:tx>
      <c:layout>
        <c:manualLayout>
          <c:xMode val="edge"/>
          <c:yMode val="edge"/>
          <c:x val="0.32411108690465074"/>
          <c:y val="3.11804008908685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98910854782777E-2"/>
          <c:y val="0.13585746102449889"/>
          <c:w val="0.90250445500923171"/>
          <c:h val="0.71937639198218262"/>
        </c:manualLayout>
      </c:layout>
      <c:lineChart>
        <c:grouping val="standard"/>
        <c:varyColors val="0"/>
        <c:ser>
          <c:idx val="0"/>
          <c:order val="0"/>
          <c:tx>
            <c:strRef>
              <c:f>TABLA_M!$AT$3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TABLA_M!$AT$4:$AT$65</c:f>
              <c:numCache>
                <c:formatCode>0.000</c:formatCode>
                <c:ptCount val="62"/>
                <c:pt idx="0">
                  <c:v>0.61717796325683594</c:v>
                </c:pt>
                <c:pt idx="1">
                  <c:v>0.3722979724407196</c:v>
                </c:pt>
                <c:pt idx="2">
                  <c:v>0.73687160015106201</c:v>
                </c:pt>
                <c:pt idx="3">
                  <c:v>0.73687160015106201</c:v>
                </c:pt>
                <c:pt idx="4">
                  <c:v>0.75456440448760986</c:v>
                </c:pt>
                <c:pt idx="5">
                  <c:v>0.80398333072662354</c:v>
                </c:pt>
                <c:pt idx="6">
                  <c:v>0.85311043262481689</c:v>
                </c:pt>
                <c:pt idx="7">
                  <c:v>0.87987202405929565</c:v>
                </c:pt>
                <c:pt idx="8">
                  <c:v>0.72932702302932739</c:v>
                </c:pt>
                <c:pt idx="9">
                  <c:v>0.8940466046333313</c:v>
                </c:pt>
                <c:pt idx="10">
                  <c:v>0.90129506587982178</c:v>
                </c:pt>
                <c:pt idx="11">
                  <c:v>0.62800890207290649</c:v>
                </c:pt>
                <c:pt idx="12">
                  <c:v>0.64794796705245972</c:v>
                </c:pt>
                <c:pt idx="13">
                  <c:v>0.52867209911346436</c:v>
                </c:pt>
                <c:pt idx="14">
                  <c:v>0.58700937032699585</c:v>
                </c:pt>
                <c:pt idx="15">
                  <c:v>0.58700937032699585</c:v>
                </c:pt>
                <c:pt idx="16">
                  <c:v>0.58700937032699585</c:v>
                </c:pt>
                <c:pt idx="17">
                  <c:v>0.58700937032699585</c:v>
                </c:pt>
                <c:pt idx="18">
                  <c:v>0.62732428312301636</c:v>
                </c:pt>
                <c:pt idx="19">
                  <c:v>0.67065083980560303</c:v>
                </c:pt>
                <c:pt idx="20">
                  <c:v>0.70668315887451172</c:v>
                </c:pt>
                <c:pt idx="21">
                  <c:v>0.81929582357406616</c:v>
                </c:pt>
                <c:pt idx="22">
                  <c:v>0.85306304693222046</c:v>
                </c:pt>
                <c:pt idx="23">
                  <c:v>0.93724614381790161</c:v>
                </c:pt>
                <c:pt idx="24">
                  <c:v>0.90241354703903198</c:v>
                </c:pt>
                <c:pt idx="25">
                  <c:v>0.77111351490020752</c:v>
                </c:pt>
                <c:pt idx="26">
                  <c:v>0.77111351490020752</c:v>
                </c:pt>
                <c:pt idx="27">
                  <c:v>0.75849008560180664</c:v>
                </c:pt>
                <c:pt idx="28">
                  <c:v>0.73530465364456177</c:v>
                </c:pt>
                <c:pt idx="29">
                  <c:v>0.61146652698516846</c:v>
                </c:pt>
                <c:pt idx="30">
                  <c:v>0.59000110626220703</c:v>
                </c:pt>
                <c:pt idx="31">
                  <c:v>0.52631789445877075</c:v>
                </c:pt>
                <c:pt idx="32">
                  <c:v>0.39342418313026428</c:v>
                </c:pt>
                <c:pt idx="33">
                  <c:v>0.5572211742401123</c:v>
                </c:pt>
                <c:pt idx="34">
                  <c:v>0.49724653363227844</c:v>
                </c:pt>
                <c:pt idx="35">
                  <c:v>0.49724653363227844</c:v>
                </c:pt>
                <c:pt idx="36">
                  <c:v>0.49724653363227844</c:v>
                </c:pt>
                <c:pt idx="37">
                  <c:v>0.49724653363227844</c:v>
                </c:pt>
                <c:pt idx="38">
                  <c:v>0.85389852523803711</c:v>
                </c:pt>
                <c:pt idx="39">
                  <c:v>0.63955205678939819</c:v>
                </c:pt>
                <c:pt idx="40">
                  <c:v>0.50771427154541016</c:v>
                </c:pt>
                <c:pt idx="41">
                  <c:v>0.52816736698150635</c:v>
                </c:pt>
                <c:pt idx="42">
                  <c:v>0.54723149538040161</c:v>
                </c:pt>
                <c:pt idx="43">
                  <c:v>0.54723149538040161</c:v>
                </c:pt>
                <c:pt idx="44">
                  <c:v>0.59000951051712036</c:v>
                </c:pt>
                <c:pt idx="45">
                  <c:v>0.62747794389724731</c:v>
                </c:pt>
                <c:pt idx="46">
                  <c:v>0.71669238805770874</c:v>
                </c:pt>
                <c:pt idx="47">
                  <c:v>0.66673463582992554</c:v>
                </c:pt>
                <c:pt idx="48">
                  <c:v>0.63896381855010986</c:v>
                </c:pt>
                <c:pt idx="49">
                  <c:v>0.61430835723876953</c:v>
                </c:pt>
                <c:pt idx="50">
                  <c:v>0.64969217777252197</c:v>
                </c:pt>
                <c:pt idx="51">
                  <c:v>0.70881867408752441</c:v>
                </c:pt>
                <c:pt idx="52">
                  <c:v>0.90763550996780396</c:v>
                </c:pt>
                <c:pt idx="53">
                  <c:v>0.85986596345901489</c:v>
                </c:pt>
                <c:pt idx="54">
                  <c:v>1.0506017208099365</c:v>
                </c:pt>
                <c:pt idx="55">
                  <c:v>0.69720637798309326</c:v>
                </c:pt>
                <c:pt idx="56">
                  <c:v>0.85412490367889404</c:v>
                </c:pt>
                <c:pt idx="57">
                  <c:v>0.73607480525970459</c:v>
                </c:pt>
                <c:pt idx="58">
                  <c:v>0.73820120096206665</c:v>
                </c:pt>
                <c:pt idx="59">
                  <c:v>0.7685895562171936</c:v>
                </c:pt>
                <c:pt idx="60">
                  <c:v>0.73974072933197021</c:v>
                </c:pt>
                <c:pt idx="6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ED-41DE-A3EC-6A20E3A05DD4}"/>
            </c:ext>
          </c:extLst>
        </c:ser>
        <c:ser>
          <c:idx val="1"/>
          <c:order val="1"/>
          <c:tx>
            <c:strRef>
              <c:f>TABLA_M!$AU$3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TABLA_M!$AU$4:$AU$65</c:f>
              <c:numCache>
                <c:formatCode>0.000</c:formatCode>
                <c:ptCount val="62"/>
                <c:pt idx="0">
                  <c:v>0.55300000000000005</c:v>
                </c:pt>
                <c:pt idx="1">
                  <c:v>0.80700000000000005</c:v>
                </c:pt>
                <c:pt idx="2">
                  <c:v>1.028</c:v>
                </c:pt>
                <c:pt idx="3">
                  <c:v>0.92100000000000004</c:v>
                </c:pt>
                <c:pt idx="4">
                  <c:v>1.0660000000000001</c:v>
                </c:pt>
                <c:pt idx="5">
                  <c:v>0.73399999999999999</c:v>
                </c:pt>
                <c:pt idx="6">
                  <c:v>0.94599999999999995</c:v>
                </c:pt>
                <c:pt idx="7">
                  <c:v>1.1970000000000001</c:v>
                </c:pt>
                <c:pt idx="8">
                  <c:v>0.84099999999999997</c:v>
                </c:pt>
                <c:pt idx="9">
                  <c:v>0.51100000000000001</c:v>
                </c:pt>
                <c:pt idx="10">
                  <c:v>0.48599999999999999</c:v>
                </c:pt>
                <c:pt idx="11">
                  <c:v>0.46600000000000003</c:v>
                </c:pt>
                <c:pt idx="12">
                  <c:v>0.53</c:v>
                </c:pt>
                <c:pt idx="13">
                  <c:v>0.79800000000000004</c:v>
                </c:pt>
                <c:pt idx="14">
                  <c:v>0</c:v>
                </c:pt>
                <c:pt idx="15">
                  <c:v>0.73399999999999999</c:v>
                </c:pt>
                <c:pt idx="16">
                  <c:v>0</c:v>
                </c:pt>
                <c:pt idx="17">
                  <c:v>2.198</c:v>
                </c:pt>
                <c:pt idx="18">
                  <c:v>0.53300000000000003</c:v>
                </c:pt>
                <c:pt idx="19">
                  <c:v>0.72599999999999998</c:v>
                </c:pt>
                <c:pt idx="20">
                  <c:v>0.64500000000000002</c:v>
                </c:pt>
                <c:pt idx="21">
                  <c:v>1.099</c:v>
                </c:pt>
                <c:pt idx="22">
                  <c:v>0.92800000000000005</c:v>
                </c:pt>
                <c:pt idx="23">
                  <c:v>0.78200000000000003</c:v>
                </c:pt>
                <c:pt idx="24">
                  <c:v>0.56999999999999995</c:v>
                </c:pt>
                <c:pt idx="25">
                  <c:v>0.53700000000000003</c:v>
                </c:pt>
                <c:pt idx="26">
                  <c:v>0</c:v>
                </c:pt>
                <c:pt idx="27">
                  <c:v>0.44400000000000001</c:v>
                </c:pt>
                <c:pt idx="28">
                  <c:v>0.47499999999999998</c:v>
                </c:pt>
                <c:pt idx="29">
                  <c:v>0.41899999999999998</c:v>
                </c:pt>
                <c:pt idx="30">
                  <c:v>0.45900000000000002</c:v>
                </c:pt>
                <c:pt idx="31">
                  <c:v>0.45400000000000001</c:v>
                </c:pt>
                <c:pt idx="32">
                  <c:v>0.60099999999999998</c:v>
                </c:pt>
                <c:pt idx="33">
                  <c:v>0.56100000000000005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0.60699999999999998</c:v>
                </c:pt>
                <c:pt idx="38">
                  <c:v>0</c:v>
                </c:pt>
                <c:pt idx="39">
                  <c:v>0.68</c:v>
                </c:pt>
                <c:pt idx="40">
                  <c:v>0.92400000000000004</c:v>
                </c:pt>
                <c:pt idx="41">
                  <c:v>0.56999999999999995</c:v>
                </c:pt>
                <c:pt idx="42">
                  <c:v>0.39300000000000002</c:v>
                </c:pt>
                <c:pt idx="43">
                  <c:v>0.46800000000000003</c:v>
                </c:pt>
                <c:pt idx="44">
                  <c:v>0.41199999999999998</c:v>
                </c:pt>
                <c:pt idx="45">
                  <c:v>0.65100000000000002</c:v>
                </c:pt>
                <c:pt idx="46">
                  <c:v>0.71699999999999997</c:v>
                </c:pt>
                <c:pt idx="47">
                  <c:v>0.52700000000000002</c:v>
                </c:pt>
                <c:pt idx="48">
                  <c:v>0.67900000000000005</c:v>
                </c:pt>
                <c:pt idx="49">
                  <c:v>0.48499999999999999</c:v>
                </c:pt>
                <c:pt idx="50">
                  <c:v>0.54800000000000004</c:v>
                </c:pt>
                <c:pt idx="51">
                  <c:v>0.66200000000000003</c:v>
                </c:pt>
                <c:pt idx="52">
                  <c:v>0.73699999999999999</c:v>
                </c:pt>
                <c:pt idx="53">
                  <c:v>0.96899999999999997</c:v>
                </c:pt>
                <c:pt idx="54">
                  <c:v>0</c:v>
                </c:pt>
                <c:pt idx="55">
                  <c:v>0.76900000000000002</c:v>
                </c:pt>
                <c:pt idx="56">
                  <c:v>0.59899999999999998</c:v>
                </c:pt>
                <c:pt idx="57">
                  <c:v>0.58699999999999997</c:v>
                </c:pt>
                <c:pt idx="58">
                  <c:v>0.58699999999999997</c:v>
                </c:pt>
                <c:pt idx="59">
                  <c:v>0.628</c:v>
                </c:pt>
                <c:pt idx="60">
                  <c:v>0.71199999999999997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ED-41DE-A3EC-6A20E3A05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4936"/>
        <c:axId val="348745328"/>
      </c:lineChart>
      <c:catAx>
        <c:axId val="348744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8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 sz="980" b="1"/>
                  <a:t>DIAS</a:t>
                </a:r>
              </a:p>
            </c:rich>
          </c:tx>
          <c:layout>
            <c:manualLayout>
              <c:xMode val="edge"/>
              <c:yMode val="edge"/>
              <c:x val="0.50592954536809387"/>
              <c:y val="0.95135777991270154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&quot;$&quot;&quot;$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5328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874532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PE"/>
                  <a:t>%Cu</a:t>
                </a:r>
              </a:p>
            </c:rich>
          </c:tx>
          <c:layout>
            <c:manualLayout>
              <c:xMode val="edge"/>
              <c:yMode val="edge"/>
              <c:x val="6.587615283267457E-3"/>
              <c:y val="0.463251670378619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744936"/>
        <c:crosses val="autoZero"/>
        <c:crossBetween val="between"/>
        <c:majorUnit val="0.2"/>
        <c:minorUnit val="0.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5889424889082546"/>
          <c:y val="3.1180400890868598E-2"/>
          <c:w val="0.22793176544631522"/>
          <c:h val="4.67706013363028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CONC. ULT. LIMPIEZA - PLANTA DE MOLY (%Mo)</a:t>
            </a:r>
          </a:p>
        </c:rich>
      </c:tx>
      <c:layout>
        <c:manualLayout>
          <c:xMode val="edge"/>
          <c:yMode val="edge"/>
          <c:x val="0.32325886990801578"/>
          <c:y val="3.153153153153152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8107752956636"/>
          <c:y val="0.14189220397884109"/>
          <c:w val="0.87910643889618922"/>
          <c:h val="0.69144296224609869"/>
        </c:manualLayout>
      </c:layout>
      <c:lineChart>
        <c:grouping val="standard"/>
        <c:varyColors val="0"/>
        <c:ser>
          <c:idx val="0"/>
          <c:order val="0"/>
          <c:tx>
            <c:strRef>
              <c:f>TABLA_M!$BA$3</c:f>
              <c:strCache>
                <c:ptCount val="1"/>
                <c:pt idx="0">
                  <c:v>C COUR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TABLA_M!$BA$4:$BA$65</c:f>
              <c:numCache>
                <c:formatCode>0.000</c:formatCode>
                <c:ptCount val="62"/>
                <c:pt idx="0">
                  <c:v>56.281028747558594</c:v>
                </c:pt>
                <c:pt idx="1">
                  <c:v>54.564903259277344</c:v>
                </c:pt>
                <c:pt idx="2">
                  <c:v>55.200344085693359</c:v>
                </c:pt>
                <c:pt idx="3">
                  <c:v>55.200344085693359</c:v>
                </c:pt>
                <c:pt idx="4">
                  <c:v>55.188297271728516</c:v>
                </c:pt>
                <c:pt idx="5">
                  <c:v>55.157562255859375</c:v>
                </c:pt>
                <c:pt idx="6">
                  <c:v>54.821533203125</c:v>
                </c:pt>
                <c:pt idx="7">
                  <c:v>55.142543792724609</c:v>
                </c:pt>
                <c:pt idx="8">
                  <c:v>55.340721130371094</c:v>
                </c:pt>
                <c:pt idx="9">
                  <c:v>56.507232666015625</c:v>
                </c:pt>
                <c:pt idx="10">
                  <c:v>56.813716888427734</c:v>
                </c:pt>
                <c:pt idx="11">
                  <c:v>56.694122314453125</c:v>
                </c:pt>
                <c:pt idx="12">
                  <c:v>56.881526947021484</c:v>
                </c:pt>
                <c:pt idx="13">
                  <c:v>56.233108520507813</c:v>
                </c:pt>
                <c:pt idx="14">
                  <c:v>56.782024383544922</c:v>
                </c:pt>
                <c:pt idx="15">
                  <c:v>56.782024383544922</c:v>
                </c:pt>
                <c:pt idx="16">
                  <c:v>56.782024383544922</c:v>
                </c:pt>
                <c:pt idx="17">
                  <c:v>56.782024383544922</c:v>
                </c:pt>
                <c:pt idx="18">
                  <c:v>54.337448120117188</c:v>
                </c:pt>
                <c:pt idx="19">
                  <c:v>53.728702545166016</c:v>
                </c:pt>
                <c:pt idx="20">
                  <c:v>54.885494232177734</c:v>
                </c:pt>
                <c:pt idx="21">
                  <c:v>55.107204437255859</c:v>
                </c:pt>
                <c:pt idx="22">
                  <c:v>54.821846008300781</c:v>
                </c:pt>
                <c:pt idx="23">
                  <c:v>56.847740173339844</c:v>
                </c:pt>
                <c:pt idx="24">
                  <c:v>56.794994354248047</c:v>
                </c:pt>
                <c:pt idx="25">
                  <c:v>56.340744018554688</c:v>
                </c:pt>
                <c:pt idx="26">
                  <c:v>56.340744018554688</c:v>
                </c:pt>
                <c:pt idx="27">
                  <c:v>57.260551452636719</c:v>
                </c:pt>
                <c:pt idx="28">
                  <c:v>56.498401641845703</c:v>
                </c:pt>
                <c:pt idx="29">
                  <c:v>56.82696533203125</c:v>
                </c:pt>
                <c:pt idx="30">
                  <c:v>56.480049133300781</c:v>
                </c:pt>
                <c:pt idx="31">
                  <c:v>57.101436614990234</c:v>
                </c:pt>
                <c:pt idx="32">
                  <c:v>56.011753082275391</c:v>
                </c:pt>
                <c:pt idx="33">
                  <c:v>57.540431976318359</c:v>
                </c:pt>
                <c:pt idx="34">
                  <c:v>55.790214538574219</c:v>
                </c:pt>
                <c:pt idx="35">
                  <c:v>55.790214538574219</c:v>
                </c:pt>
                <c:pt idx="36">
                  <c:v>55.790214538574219</c:v>
                </c:pt>
                <c:pt idx="37">
                  <c:v>55.790214538574219</c:v>
                </c:pt>
                <c:pt idx="38">
                  <c:v>50</c:v>
                </c:pt>
                <c:pt idx="39">
                  <c:v>54.681602478027344</c:v>
                </c:pt>
                <c:pt idx="40">
                  <c:v>56.021316528320313</c:v>
                </c:pt>
                <c:pt idx="41">
                  <c:v>56.302833557128906</c:v>
                </c:pt>
                <c:pt idx="42">
                  <c:v>56.945362091064453</c:v>
                </c:pt>
                <c:pt idx="43">
                  <c:v>56.945362091064453</c:v>
                </c:pt>
                <c:pt idx="44">
                  <c:v>56.349887847900391</c:v>
                </c:pt>
                <c:pt idx="45">
                  <c:v>56.272441864013672</c:v>
                </c:pt>
                <c:pt idx="46">
                  <c:v>55.951023101806641</c:v>
                </c:pt>
                <c:pt idx="47">
                  <c:v>56.001426696777344</c:v>
                </c:pt>
                <c:pt idx="48">
                  <c:v>55.468986511230469</c:v>
                </c:pt>
                <c:pt idx="49">
                  <c:v>55.944484710693359</c:v>
                </c:pt>
                <c:pt idx="50">
                  <c:v>55.621616363525391</c:v>
                </c:pt>
                <c:pt idx="51">
                  <c:v>56.462387084960938</c:v>
                </c:pt>
                <c:pt idx="52">
                  <c:v>56.375556945800781</c:v>
                </c:pt>
                <c:pt idx="53">
                  <c:v>55.806068420410156</c:v>
                </c:pt>
                <c:pt idx="54">
                  <c:v>51.523078918457031</c:v>
                </c:pt>
                <c:pt idx="55">
                  <c:v>56.350315093994141</c:v>
                </c:pt>
                <c:pt idx="56">
                  <c:v>56.157756805419922</c:v>
                </c:pt>
                <c:pt idx="57">
                  <c:v>55.626434326171875</c:v>
                </c:pt>
                <c:pt idx="58">
                  <c:v>55.859203338623047</c:v>
                </c:pt>
                <c:pt idx="59">
                  <c:v>56.089130401611328</c:v>
                </c:pt>
                <c:pt idx="60">
                  <c:v>55.927764892578125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F-444C-8D3B-CED0A6C47745}"/>
            </c:ext>
          </c:extLst>
        </c:ser>
        <c:ser>
          <c:idx val="1"/>
          <c:order val="1"/>
          <c:tx>
            <c:strRef>
              <c:f>TABLA_M!$BB$3</c:f>
              <c:strCache>
                <c:ptCount val="1"/>
                <c:pt idx="0">
                  <c:v>C LABO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TABLA_M!$C$4:$C$65</c:f>
              <c:strCache>
                <c:ptCount val="62"/>
                <c:pt idx="0">
                  <c:v>14-8-2026</c:v>
                </c:pt>
                <c:pt idx="1">
                  <c:v>14-8-2026</c:v>
                </c:pt>
                <c:pt idx="2">
                  <c:v>15-8-2026</c:v>
                </c:pt>
                <c:pt idx="3">
                  <c:v>15-8-2026</c:v>
                </c:pt>
                <c:pt idx="4">
                  <c:v>16-8-2026</c:v>
                </c:pt>
                <c:pt idx="5">
                  <c:v>16-8-2026</c:v>
                </c:pt>
                <c:pt idx="6">
                  <c:v>17-8-2026</c:v>
                </c:pt>
                <c:pt idx="7">
                  <c:v>17-8-2026</c:v>
                </c:pt>
                <c:pt idx="8">
                  <c:v>18-8-2026</c:v>
                </c:pt>
                <c:pt idx="9">
                  <c:v>18-8-2026</c:v>
                </c:pt>
                <c:pt idx="10">
                  <c:v>19-8-2026</c:v>
                </c:pt>
                <c:pt idx="11">
                  <c:v>19-8-2026</c:v>
                </c:pt>
                <c:pt idx="12">
                  <c:v>20-8-2026</c:v>
                </c:pt>
                <c:pt idx="13">
                  <c:v>20-8-2026</c:v>
                </c:pt>
                <c:pt idx="14">
                  <c:v>21-8-2026</c:v>
                </c:pt>
                <c:pt idx="15">
                  <c:v>21-8-2026</c:v>
                </c:pt>
                <c:pt idx="16">
                  <c:v>22-8-2026</c:v>
                </c:pt>
                <c:pt idx="17">
                  <c:v>22-8-2026</c:v>
                </c:pt>
                <c:pt idx="18">
                  <c:v>23-8-2026</c:v>
                </c:pt>
                <c:pt idx="19">
                  <c:v>23-8-2026</c:v>
                </c:pt>
                <c:pt idx="20">
                  <c:v>24-8-2026</c:v>
                </c:pt>
                <c:pt idx="21">
                  <c:v>24-8-2026</c:v>
                </c:pt>
                <c:pt idx="22">
                  <c:v>25-8-2026</c:v>
                </c:pt>
                <c:pt idx="23">
                  <c:v>25-8-2026</c:v>
                </c:pt>
                <c:pt idx="24">
                  <c:v>26-8-2026</c:v>
                </c:pt>
                <c:pt idx="25">
                  <c:v>26-8-2026</c:v>
                </c:pt>
                <c:pt idx="26">
                  <c:v>27-8-2026</c:v>
                </c:pt>
                <c:pt idx="27">
                  <c:v>27-8-2026</c:v>
                </c:pt>
                <c:pt idx="28">
                  <c:v>28-8-2026</c:v>
                </c:pt>
                <c:pt idx="29">
                  <c:v>28-8-2026</c:v>
                </c:pt>
                <c:pt idx="30">
                  <c:v>29-8-2026</c:v>
                </c:pt>
                <c:pt idx="31">
                  <c:v>29-8-2026</c:v>
                </c:pt>
                <c:pt idx="32">
                  <c:v>30-8-2026</c:v>
                </c:pt>
                <c:pt idx="33">
                  <c:v>30-8-2026</c:v>
                </c:pt>
                <c:pt idx="34">
                  <c:v>31-8-2026</c:v>
                </c:pt>
                <c:pt idx="35">
                  <c:v>31-8-2026</c:v>
                </c:pt>
                <c:pt idx="36">
                  <c:v>1-9-2026</c:v>
                </c:pt>
                <c:pt idx="37">
                  <c:v>1-9-2026</c:v>
                </c:pt>
                <c:pt idx="38">
                  <c:v>2-9-2026</c:v>
                </c:pt>
                <c:pt idx="39">
                  <c:v>2-9-2026</c:v>
                </c:pt>
                <c:pt idx="40">
                  <c:v>3-9-2026</c:v>
                </c:pt>
                <c:pt idx="41">
                  <c:v>3-9-2026</c:v>
                </c:pt>
                <c:pt idx="42">
                  <c:v>4-9-2026</c:v>
                </c:pt>
                <c:pt idx="43">
                  <c:v>4-9-2026</c:v>
                </c:pt>
                <c:pt idx="44">
                  <c:v>5-9-2026</c:v>
                </c:pt>
                <c:pt idx="45">
                  <c:v>5-9-2026</c:v>
                </c:pt>
                <c:pt idx="46">
                  <c:v>6-9-2026</c:v>
                </c:pt>
                <c:pt idx="47">
                  <c:v>6-9-2026</c:v>
                </c:pt>
                <c:pt idx="48">
                  <c:v>7-9-2026</c:v>
                </c:pt>
                <c:pt idx="49">
                  <c:v>7-9-2026</c:v>
                </c:pt>
                <c:pt idx="50">
                  <c:v>8-9-2026</c:v>
                </c:pt>
                <c:pt idx="51">
                  <c:v>8-9-2026</c:v>
                </c:pt>
                <c:pt idx="52">
                  <c:v>9-9-2026</c:v>
                </c:pt>
                <c:pt idx="53">
                  <c:v>9-9-2026</c:v>
                </c:pt>
                <c:pt idx="54">
                  <c:v>10-9-2026</c:v>
                </c:pt>
                <c:pt idx="55">
                  <c:v>10-9-2026</c:v>
                </c:pt>
                <c:pt idx="56">
                  <c:v>11-9-2026</c:v>
                </c:pt>
                <c:pt idx="57">
                  <c:v>11-9-2026</c:v>
                </c:pt>
                <c:pt idx="58">
                  <c:v>12-9-2026</c:v>
                </c:pt>
                <c:pt idx="59">
                  <c:v>12-9-2026</c:v>
                </c:pt>
                <c:pt idx="60">
                  <c:v>13-9-2026</c:v>
                </c:pt>
                <c:pt idx="61">
                  <c:v>13-9-2026</c:v>
                </c:pt>
              </c:strCache>
            </c:strRef>
          </c:cat>
          <c:val>
            <c:numRef>
              <c:f>TABLA_M!$BB$4:$BB$65</c:f>
              <c:numCache>
                <c:formatCode>0.000</c:formatCode>
                <c:ptCount val="62"/>
                <c:pt idx="0">
                  <c:v>56.453000000000003</c:v>
                </c:pt>
                <c:pt idx="1">
                  <c:v>56.274999999999999</c:v>
                </c:pt>
                <c:pt idx="2">
                  <c:v>56.585000000000001</c:v>
                </c:pt>
                <c:pt idx="3">
                  <c:v>56.829000000000001</c:v>
                </c:pt>
                <c:pt idx="4">
                  <c:v>56.305</c:v>
                </c:pt>
                <c:pt idx="5">
                  <c:v>55.981000000000002</c:v>
                </c:pt>
                <c:pt idx="6">
                  <c:v>56.015999999999998</c:v>
                </c:pt>
                <c:pt idx="7">
                  <c:v>55.908000000000001</c:v>
                </c:pt>
                <c:pt idx="8">
                  <c:v>55.356999999999999</c:v>
                </c:pt>
                <c:pt idx="9">
                  <c:v>57.058999999999997</c:v>
                </c:pt>
                <c:pt idx="10">
                  <c:v>57.497999999999998</c:v>
                </c:pt>
                <c:pt idx="11">
                  <c:v>57.186</c:v>
                </c:pt>
                <c:pt idx="12">
                  <c:v>56.895000000000003</c:v>
                </c:pt>
                <c:pt idx="13">
                  <c:v>54.981000000000002</c:v>
                </c:pt>
                <c:pt idx="14">
                  <c:v>0</c:v>
                </c:pt>
                <c:pt idx="15">
                  <c:v>55.753999999999998</c:v>
                </c:pt>
                <c:pt idx="16">
                  <c:v>0</c:v>
                </c:pt>
                <c:pt idx="17">
                  <c:v>51.384</c:v>
                </c:pt>
                <c:pt idx="18">
                  <c:v>57.165999999999997</c:v>
                </c:pt>
                <c:pt idx="19">
                  <c:v>56.784999999999997</c:v>
                </c:pt>
                <c:pt idx="20">
                  <c:v>57.445</c:v>
                </c:pt>
                <c:pt idx="21">
                  <c:v>56.451000000000001</c:v>
                </c:pt>
                <c:pt idx="22">
                  <c:v>57.02</c:v>
                </c:pt>
                <c:pt idx="23">
                  <c:v>57.246000000000002</c:v>
                </c:pt>
                <c:pt idx="24">
                  <c:v>58.036999999999999</c:v>
                </c:pt>
                <c:pt idx="25">
                  <c:v>57.472000000000001</c:v>
                </c:pt>
                <c:pt idx="26">
                  <c:v>0</c:v>
                </c:pt>
                <c:pt idx="27">
                  <c:v>57.484999999999999</c:v>
                </c:pt>
                <c:pt idx="28">
                  <c:v>57.438000000000002</c:v>
                </c:pt>
                <c:pt idx="29">
                  <c:v>57.631999999999998</c:v>
                </c:pt>
                <c:pt idx="30">
                  <c:v>57.127000000000002</c:v>
                </c:pt>
                <c:pt idx="31">
                  <c:v>56.825000000000003</c:v>
                </c:pt>
                <c:pt idx="32">
                  <c:v>53.348999999999997</c:v>
                </c:pt>
                <c:pt idx="33">
                  <c:v>55.825000000000003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55.411000000000001</c:v>
                </c:pt>
                <c:pt idx="38">
                  <c:v>0</c:v>
                </c:pt>
                <c:pt idx="39">
                  <c:v>56.656999999999996</c:v>
                </c:pt>
                <c:pt idx="40">
                  <c:v>55.795999999999999</c:v>
                </c:pt>
                <c:pt idx="41">
                  <c:v>57.256999999999998</c:v>
                </c:pt>
                <c:pt idx="42">
                  <c:v>57.517000000000003</c:v>
                </c:pt>
                <c:pt idx="43">
                  <c:v>57.222999999999999</c:v>
                </c:pt>
                <c:pt idx="44">
                  <c:v>57.93</c:v>
                </c:pt>
                <c:pt idx="45">
                  <c:v>57.598999999999997</c:v>
                </c:pt>
                <c:pt idx="46">
                  <c:v>57.313000000000002</c:v>
                </c:pt>
                <c:pt idx="47">
                  <c:v>57.6</c:v>
                </c:pt>
                <c:pt idx="48">
                  <c:v>55.353000000000002</c:v>
                </c:pt>
                <c:pt idx="49">
                  <c:v>57.158999999999999</c:v>
                </c:pt>
                <c:pt idx="50">
                  <c:v>57.23</c:v>
                </c:pt>
                <c:pt idx="51">
                  <c:v>56.963999999999999</c:v>
                </c:pt>
                <c:pt idx="52">
                  <c:v>55.98</c:v>
                </c:pt>
                <c:pt idx="53">
                  <c:v>54.634999999999998</c:v>
                </c:pt>
                <c:pt idx="54">
                  <c:v>0</c:v>
                </c:pt>
                <c:pt idx="55">
                  <c:v>55.16</c:v>
                </c:pt>
                <c:pt idx="56">
                  <c:v>56.704999999999998</c:v>
                </c:pt>
                <c:pt idx="57">
                  <c:v>56.673000000000002</c:v>
                </c:pt>
                <c:pt idx="58">
                  <c:v>57.347999999999999</c:v>
                </c:pt>
                <c:pt idx="59">
                  <c:v>56.975000000000001</c:v>
                </c:pt>
                <c:pt idx="60">
                  <c:v>56.81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5F-444C-8D3B-CED0A6C4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48464"/>
        <c:axId val="348747680"/>
      </c:lineChart>
      <c:catAx>
        <c:axId val="34874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DIAS</a:t>
                </a:r>
              </a:p>
            </c:rich>
          </c:tx>
          <c:layout>
            <c:manualLayout>
              <c:xMode val="edge"/>
              <c:yMode val="edge"/>
              <c:x val="0.52036793692509853"/>
              <c:y val="0.93919131730155347"/>
            </c:manualLayout>
          </c:layout>
          <c:overlay val="0"/>
          <c:spPr>
            <a:noFill/>
            <a:ln w="25400">
              <a:noFill/>
            </a:ln>
          </c:spPr>
        </c:title>
        <c:numFmt formatCode="dd\-mmm\ &quot;$&quot;&quot;$&quot;" sourceLinked="0"/>
        <c:majorTickMark val="out"/>
        <c:minorTickMark val="none"/>
        <c:tickLblPos val="nextTo"/>
        <c:spPr>
          <a:noFill/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348747680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348747680"/>
        <c:scaling>
          <c:orientation val="minMax"/>
          <c:max val="59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%Mo</a:t>
                </a:r>
              </a:p>
            </c:rich>
          </c:tx>
          <c:layout>
            <c:manualLayout>
              <c:xMode val="edge"/>
              <c:yMode val="edge"/>
              <c:x val="7.8843626806833107E-3"/>
              <c:y val="0.450451396278167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48748464"/>
        <c:crosses val="autoZero"/>
        <c:crossBetween val="between"/>
        <c:majorUnit val="1"/>
        <c:minorUnit val="0.3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529566360052562"/>
          <c:y val="3.6036036036036036E-2"/>
          <c:w val="0.23068190584743911"/>
          <c:h val="4.5844691832992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 algn="ctr">
        <a:defRPr lang="es-PE" sz="800" b="0" i="0" u="none" strike="noStrike" kern="1200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_xlchart.v1.31</cx:f>
      </cx:numDim>
    </cx:data>
    <cx:data id="1">
      <cx:numDim type="val">
        <cx:f>_xlchart.v1.33</cx:f>
      </cx:numDim>
    </cx:data>
  </cx:chartData>
  <cx:chart>
    <cx:title pos="t" align="ctr" overlay="0">
      <cx:tx>
        <cx:txData>
          <cx:v>ALIMENTACIÓN ROUGHER - PLANTA DE COBRE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C77E-43F9-9D63-7CAF21AFF451}" formatIdx="0">
          <cx:tx>
            <cx:txData>
              <cx:f>_xlchart.v1.30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C77E-43F9-9D63-7CAF21AFF451}" formatIdx="1">
          <cx:tx>
            <cx:txData>
              <cx:f>_xlchart.v1.32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0.2000000000000000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_xlchart.v1.35</cx:f>
      </cx:numDim>
    </cx:data>
  </cx:chartData>
  <cx:chart>
    <cx:title pos="t" align="ctr" overlay="0">
      <cx:tx>
        <cx:txData>
          <cx:v>ALIMENTACIÓN ROUGHER - PLANTA DE COBRE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9087-4325-B545-CDC93B3F4CD9}">
          <cx:tx>
            <cx:txData>
              <cx:f>_xlchart.v1.34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0.10000000000000001" min="-0.080000000000000016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_xlchart.v1.75</cx:f>
      </cx:numDim>
    </cx:data>
    <cx:data id="1">
      <cx:numDim type="val">
        <cx:f>_xlchart.v1.77</cx:f>
      </cx:numDim>
    </cx:data>
  </cx:chartData>
  <cx:chart>
    <cx:title pos="t" align="ctr" overlay="0">
      <cx:tx>
        <cx:txData>
          <cx:v>ALIMENTACIÓN ROUGHER - PLANTA DE COBRE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1-3063-408F-8A72-C8EA2ACB4F4E}" formatIdx="1">
          <cx:tx>
            <cx:txData>
              <cx:f>_xlchart.v1.74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2-3063-408F-8A72-C8EA2ACB4F4E}">
          <cx:tx>
            <cx:txData>
              <cx:f>_xlchart.v1.76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0.2000000000000000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_xlchart.v1.49</cx:f>
      </cx:numDim>
    </cx:data>
  </cx:chartData>
  <cx:chart>
    <cx:title pos="t" align="ctr" overlay="0">
      <cx:tx>
        <cx:txData>
          <cx:v>ALIMENTACIÓN ROUGHER - PLANTA DE COBRE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3-9C92-4208-A3AC-E8CF288FF426}">
          <cx:tx>
            <cx:txData>
              <cx:f>_xlchart.v1.48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_xlchart.v1.69</cx:f>
      </cx:numDim>
    </cx:data>
    <cx:data id="1">
      <cx:numDim type="val">
        <cx:f>_xlchart.v1.71</cx:f>
      </cx:numDim>
    </cx:data>
  </cx:chartData>
  <cx:chart>
    <cx:title pos="t" align="ctr" overlay="0">
      <cx:tx>
        <cx:txData>
          <cx:v>ALIMENTACIÓN ROUGHER - PLANTA DE COBRE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7984-4422-B649-C2688BF9FCCF}">
          <cx:tx>
            <cx:txData>
              <cx:f>_xlchart.v1.68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7984-4422-B649-C2688BF9FCCF}">
          <cx:tx>
            <cx:txData>
              <cx:f>_xlchart.v1.70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0.0500000000000000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_xlchart.v1.51</cx:f>
      </cx:numDim>
    </cx:data>
  </cx:chartData>
  <cx:chart>
    <cx:title pos="t" align="ctr" overlay="0">
      <cx:tx>
        <cx:txData>
          <cx:v>ALIMENTACIÓN ROUGHER - PLANTA DE COBRE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2BE1-4E04-A794-145B804F5CF8}">
          <cx:tx>
            <cx:txData>
              <cx:f>_xlchart.v1.50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_xlchart.v1.39</cx:f>
      </cx:numDim>
    </cx:data>
    <cx:data id="1">
      <cx:numDim type="val">
        <cx:f>_xlchart.v1.41</cx:f>
      </cx:numDim>
    </cx:data>
  </cx:chartData>
  <cx:chart>
    <cx:title pos="t" align="ctr" overlay="0">
      <cx:tx>
        <cx:txData>
          <cx:v>ALIMENTACIÓN ROUGHER - PLANTA DE COBRE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_xlchart.v1.38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_xlchart.v1.40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_xlchart.v1.63</cx:f>
      </cx:numDim>
    </cx:data>
  </cx:chartData>
  <cx:chart>
    <cx:title pos="t" align="ctr" overlay="0">
      <cx:tx>
        <cx:txData>
          <cx:v>ALIMENTACIÓN ROUGHER - PLANTA DE COBRE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3754-40BE-8393-53E8F633F0B7}">
          <cx:tx>
            <cx:txData>
              <cx:f>_xlchart.v1.62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_xlchart.v1.65</cx:f>
      </cx:numDim>
    </cx:data>
    <cx:data id="1">
      <cx:numDim type="val">
        <cx:f>_xlchart.v1.67</cx:f>
      </cx:numDim>
    </cx:data>
  </cx:chartData>
  <cx:chart>
    <cx:title pos="t" align="ctr" overlay="0">
      <cx:tx>
        <cx:txData>
          <cx:v>ALIMENTACIÓN ROUGHER - PLANTA DE COBRE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6DBB-4B7A-8581-C9E03FD491BD}">
          <cx:tx>
            <cx:txData>
              <cx:f>_xlchart.v1.64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6DBB-4B7A-8581-C9E03FD491BD}">
          <cx:tx>
            <cx:txData>
              <cx:f>_xlchart.v1.66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_xlchart.v1.53</cx:f>
      </cx:numDim>
    </cx:data>
  </cx:chartData>
  <cx:chart>
    <cx:title pos="t" align="ctr" overlay="0">
      <cx:tx>
        <cx:txData>
          <cx:v>ALIMENTACIÓN ROUGHER - PLANTA DE COBRE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7C26-4B16-9ACF-99A5A81E3196}">
          <cx:tx>
            <cx:txData>
              <cx:f>_xlchart.v1.52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_xlchart.v1.79</cx:f>
      </cx:numDim>
    </cx:data>
    <cx:data id="1">
      <cx:numDim type="val">
        <cx:f>_xlchart.v1.81</cx:f>
      </cx:numDim>
    </cx:data>
  </cx:chartData>
  <cx:chart>
    <cx:title pos="t" align="ctr" overlay="0">
      <cx:tx>
        <cx:txData>
          <cx:v>ALIMENTACIÓN ROUGHER - PLANTA DE COBRE (%Fe) - 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(%Fe) - 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F859-4615-96F2-D8FD180ED040}">
          <cx:tx>
            <cx:txData>
              <cx:f>_xlchart.v1.78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F859-4615-96F2-D8FD180ED040}">
          <cx:tx>
            <cx:txData>
              <cx:f>_xlchart.v1.80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_xlchart.v1.83</cx:f>
      </cx:numDim>
    </cx:data>
  </cx:chartData>
  <cx:chart>
    <cx:title pos="t" align="ctr" overlay="0">
      <cx:tx>
        <cx:txData>
          <cx:v>ALIMENTACIÓN ROUGHER - PLANTA DE COBRE (%Fe)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COBRE (%Fe)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1B4C-4AE8-9D83-368BC02EAB79}">
          <cx:tx>
            <cx:txData>
              <cx:f>_xlchart.v1.82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_xlchart.v1.55</cx:f>
      </cx:numDim>
    </cx:data>
    <cx:data id="1">
      <cx:numDim type="val">
        <cx:f>_xlchart.v1.57</cx:f>
      </cx:numDim>
    </cx:data>
  </cx:chartData>
  <cx:chart>
    <cx:title pos="t" align="ctr" overlay="0">
      <cx:tx>
        <cx:txData>
          <cx:v>COLA FINAL - PLANTA DE COBRE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F56D-41C9-966C-72701C399FC6}">
          <cx:tx>
            <cx:txData>
              <cx:f>_xlchart.v1.54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F56D-41C9-966C-72701C399FC6}">
          <cx:tx>
            <cx:txData>
              <cx:f>_xlchart.v1.56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0.020000000000000004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_xlchart.v1.37</cx:f>
      </cx:numDim>
    </cx:data>
  </cx:chartData>
  <cx:chart>
    <cx:title pos="t" align="ctr" overlay="0">
      <cx:tx>
        <cx:txData>
          <cx:v>COLA FINAL - PLANTA DE COBRE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3AAB-4B50-B112-C6701595BABE}">
          <cx:tx>
            <cx:txData>
              <cx:f>_xlchart.v1.36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_xlchart.v1.47</cx:f>
      </cx:numDim>
    </cx:data>
    <cx:data id="1">
      <cx:numDim type="val">
        <cx:f>_xlchart.v1.45</cx:f>
      </cx:numDim>
    </cx:data>
  </cx:chartData>
  <cx:chart>
    <cx:title pos="t" align="ctr" overlay="0">
      <cx:tx>
        <cx:txData>
          <cx:v>COLA FINAL - PLANTA DE COBRE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F613-4AA2-8C23-610FC7626E3D}">
          <cx:tx>
            <cx:txData>
              <cx:f>_xlchart.v1.46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F613-4AA2-8C23-610FC7626E3D}">
          <cx:tx>
            <cx:txData>
              <cx:f>_xlchart.v1.44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0.020000000000000004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_xlchart.v1.43</cx:f>
      </cx:numDim>
    </cx:data>
  </cx:chartData>
  <cx:chart>
    <cx:title pos="t" align="ctr" overlay="0">
      <cx:tx>
        <cx:txData>
          <cx:v>COLA FINAL - PLANTA DE COBRE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DC63-4F0D-BADF-ECF4191FA49A}">
          <cx:tx>
            <cx:txData>
              <cx:f>_xlchart.v1.42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_xlchart.v1.59</cx:f>
      </cx:numDim>
    </cx:data>
    <cx:data id="1">
      <cx:numDim type="val">
        <cx:f>_xlchart.v1.61</cx:f>
      </cx:numDim>
    </cx:data>
  </cx:chartData>
  <cx:chart>
    <cx:title pos="t" align="ctr" overlay="0">
      <cx:tx>
        <cx:txData>
          <cx:v>COLA FINAL - PLANTA DE COBRE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1-2EA0-4EC7-99A6-EF0D85F1F05F}">
          <cx:tx>
            <cx:txData>
              <cx:f>_xlchart.v1.58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2-2EA0-4EC7-99A6-EF0D85F1F05F}">
          <cx:tx>
            <cx:txData>
              <cx:f>_xlchart.v1.60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_xlchart.v1.73</cx:f>
      </cx:numDim>
    </cx:data>
  </cx:chartData>
  <cx:chart>
    <cx:title pos="t" align="ctr" overlay="0">
      <cx:tx>
        <cx:txData>
          <cx:v>COLA FINAL - PLANTA DE COBRE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2010-498D-A3F0-FD6D78A4930E}">
          <cx:tx>
            <cx:txData>
              <cx:f>_xlchart.v1.72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_xlchart.v1.85</cx:f>
      </cx:numDim>
    </cx:data>
    <cx:data id="1">
      <cx:numDim type="val">
        <cx:f>_xlchart.v1.87</cx:f>
      </cx:numDim>
    </cx:data>
  </cx:chartData>
  <cx:chart>
    <cx:title pos="t" align="ctr" overlay="0">
      <cx:tx>
        <cx:txData>
          <cx:v>COLA FINAL - PLANTA DE COBRE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2-04E7-4024-B132-7F474EB633FA}">
          <cx:tx>
            <cx:txData>
              <cx:f>_xlchart.v1.84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3-04E7-4024-B132-7F474EB633FA}">
          <cx:tx>
            <cx:txData>
              <cx:f>_xlchart.v1.86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_xlchart.v1.89</cx:f>
      </cx:numDim>
    </cx:data>
  </cx:chartData>
  <cx:chart>
    <cx:title pos="t" align="ctr" overlay="0">
      <cx:tx>
        <cx:txData>
          <cx:v>COLA FINAL - PLANTA DE COBRE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8D21-4972-A817-D7DDE40EF074}">
          <cx:tx>
            <cx:txData>
              <cx:f>_xlchart.v1.88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_xlchart.v1.91</cx:f>
      </cx:numDim>
    </cx:data>
    <cx:data id="1">
      <cx:numDim type="val">
        <cx:f>_xlchart.v1.93</cx:f>
      </cx:numDim>
    </cx:data>
  </cx:chartData>
  <cx:chart>
    <cx:title pos="t" align="ctr" overlay="0">
      <cx:tx>
        <cx:txData>
          <cx:v>COLA FINAL - PLANTA DE COBRE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F6AD-480F-BD3D-CB060A9EC059}">
          <cx:tx>
            <cx:txData>
              <cx:f>_xlchart.v1.90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F6AD-480F-BD3D-CB060A9EC059}">
          <cx:tx>
            <cx:txData>
              <cx:f>_xlchart.v1.92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0.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_xlchart.v1.95</cx:f>
      </cx:numDim>
    </cx:data>
  </cx:chartData>
  <cx:chart>
    <cx:title pos="t" align="ctr" overlay="0">
      <cx:tx>
        <cx:txData>
          <cx:v>COLA FINAL - PLANTA DE COBRE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ABAA-4954-A97D-C06976C5A6D8}">
          <cx:tx>
            <cx:txData>
              <cx:f>_xlchart.v1.94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_xlchart.v1.97</cx:f>
      </cx:numDim>
    </cx:data>
    <cx:data id="1">
      <cx:numDim type="val">
        <cx:f>_xlchart.v1.99</cx:f>
      </cx:numDim>
    </cx:data>
  </cx:chartData>
  <cx:chart>
    <cx:title pos="t" align="ctr" overlay="0">
      <cx:tx>
        <cx:txData>
          <cx:v>COLA FINAL - PLANTA DE COBRE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2-CD8E-4B20-B5AF-65F8580513AF}">
          <cx:tx>
            <cx:txData>
              <cx:f>_xlchart.v1.96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3-CD8E-4B20-B5AF-65F8580513AF}">
          <cx:tx>
            <cx:txData>
              <cx:f>_xlchart.v1.98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0.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_xlchart.v1.105</cx:f>
      </cx:numDim>
    </cx:data>
  </cx:chartData>
  <cx:chart>
    <cx:title pos="t" align="ctr" overlay="0">
      <cx:tx>
        <cx:txData>
          <cx:v>COLA FINAL - PLANTA DE COBRE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FINAL - PLANTA DE COBRE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B8FC-4A6C-BD69-388DC5EF86E6}">
          <cx:tx>
            <cx:txData>
              <cx:f>_xlchart.v1.104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_xlchart.v1.101</cx:f>
      </cx:numDim>
    </cx:data>
    <cx:data id="1">
      <cx:numDim type="val">
        <cx:f>_xlchart.v1.103</cx:f>
      </cx:numDim>
    </cx:data>
  </cx:chartData>
  <cx:chart>
    <cx:title pos="t" align="ctr" overlay="0">
      <cx:tx>
        <cx:txData>
          <cx:v>CONCENTRADO FINAL - PLANTA DE COBRE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4090-4B68-82CE-D0419BC5554E}">
          <cx:tx>
            <cx:txData>
              <cx:f>_xlchart.v1.100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4090-4B68-82CE-D0419BC5554E}">
          <cx:tx>
            <cx:txData>
              <cx:f>_xlchart.v1.102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2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_xlchart.v1.107</cx:f>
      </cx:numDim>
    </cx:data>
  </cx:chartData>
  <cx:chart>
    <cx:title pos="t" align="ctr" overlay="0">
      <cx:tx>
        <cx:txData>
          <cx:v>CONCENTRADO FINAL - PLANTA DE COBRE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F295-4329-9D58-8311B86B0900}">
          <cx:tx>
            <cx:txData>
              <cx:f>_xlchart.v1.106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_xlchart.v1.5</cx:f>
      </cx:numDim>
    </cx:data>
  </cx:chartData>
  <cx:chart>
    <cx:title pos="t" align="ctr" overlay="0">
      <cx:tx>
        <cx:txData>
          <cx:v>CONCENTRADO FINAL - PLANTA DE COBRE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1-AA8C-47BA-A9D1-F359D8E8EAE7}">
          <cx:tx>
            <cx:txData>
              <cx:f>_xlchart.v1.2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2-AA8C-47BA-A9D1-F359D8E8EAE7}">
          <cx:tx>
            <cx:txData>
              <cx:f>_xlchart.v1.4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32" min="20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CONCENTRADO FINAL - PLANTA DE COBRE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59F8-4F1B-AE68-EDE34928A66E}">
          <cx:tx>
            <cx:txData>
              <cx:f>_xlchart.v1.0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2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  <cx:data id="1">
      <cx:numDim type="val">
        <cx:f>_xlchart.v1.15</cx:f>
      </cx:numDim>
    </cx:data>
  </cx:chartData>
  <cx:chart>
    <cx:title pos="t" align="ctr" overlay="0">
      <cx:tx>
        <cx:txData>
          <cx:v>CONCENTRADO FINAL - PLANTA DE COBRE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57B2-420F-BEA6-59E3AD5977A6}">
          <cx:tx>
            <cx:txData>
              <cx:f>_xlchart.v1.12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57B2-420F-BEA6-59E3AD5977A6}">
          <cx:tx>
            <cx:txData>
              <cx:f>_xlchart.v1.14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CONCENTRADO FINAL - PLANTA DE COBRE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33B1-4A0F-BB01-B23159C536F4}">
          <cx:tx>
            <cx:txData>
              <cx:f>_xlchart.v1.6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  <cx:data id="1">
      <cx:numDim type="val">
        <cx:f>_xlchart.v1.11</cx:f>
      </cx:numDim>
    </cx:data>
  </cx:chartData>
  <cx:chart>
    <cx:title pos="t" align="ctr" overlay="0">
      <cx:tx>
        <cx:txData>
          <cx:v>CONCENTRADO FINAL - PLANTA DE COBRE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_xlchart.v1.8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_xlchart.v1.10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txData>
          <cx:v>CONCENTRADO FINAL - PLANTA DE COBRE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_xlchart.v1.16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  <cx:data id="1">
      <cx:numDim type="val">
        <cx:f>_xlchart.v1.21</cx:f>
      </cx:numDim>
    </cx:data>
  </cx:chartData>
  <cx:chart>
    <cx:title pos="t" align="ctr" overlay="0">
      <cx:tx>
        <cx:txData>
          <cx:v>CONCENTRADO FINAL - PLANTA DE COBRE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4-8F4C-46B5-B8F1-DDC32FD911F0}">
          <cx:tx>
            <cx:txData>
              <cx:f>_xlchart.v1.18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5-8F4C-46B5-B8F1-DDC32FD911F0}">
          <cx:tx>
            <cx:txData>
              <cx:f>_xlchart.v1.20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32" min="2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CONCENTRADO FINAL - PLANTA DE COBRE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9CB7-471F-84F6-3B549E96D9C1}">
          <cx:tx>
            <cx:txData>
              <cx:f>_xlchart.v1.26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_xlchart.v1.23</cx:f>
      </cx:numDim>
    </cx:data>
    <cx:data id="1">
      <cx:numDim type="val">
        <cx:f>_xlchart.v1.25</cx:f>
      </cx:numDim>
    </cx:data>
  </cx:chartData>
  <cx:chart>
    <cx:title pos="t" align="ctr" overlay="0">
      <cx:tx>
        <cx:txData>
          <cx:v>CONCENTRADO FINAL - PLANTA DE COBRE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2-92CC-41AE-A547-AB9C6A73A2F0}">
          <cx:tx>
            <cx:txData>
              <cx:f>_xlchart.v1.22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3-92CC-41AE-A547-AB9C6A73A2F0}">
          <cx:tx>
            <cx:txData>
              <cx:f>_xlchart.v1.24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_xlchart.v1.29</cx:f>
      </cx:numDim>
    </cx:data>
  </cx:chartData>
  <cx:chart>
    <cx:title pos="t" align="ctr" overlay="0">
      <cx:tx>
        <cx:txData>
          <cx:v>CONCENTRADO FINAL - PLANTA DE COBRE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FINAL - PLANTA DE COBRE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F6E3-4E9A-A4D8-07E4301602A8}">
          <cx:tx>
            <cx:txData>
              <cx:f>_xlchart.v1.28</cx:f>
              <cx:v>Dif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_xlchart.v1.121</cx:f>
      </cx:numDim>
    </cx:data>
    <cx:data id="1">
      <cx:numDim type="val">
        <cx:f>_xlchart.v1.123</cx:f>
      </cx:numDim>
    </cx:data>
  </cx:chartData>
  <cx:chart>
    <cx:title pos="t" align="ctr" overlay="0">
      <cx:tx>
        <cx:txData>
          <cx:v>ALIMENTACIÓN ROUGHER - PLANTA DE MOLY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_xlchart.v1.120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_xlchart.v1.122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visibility meanLine="0" meanMarker="1" nonoutliers="1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0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_xlchart.v1.115</cx:f>
      </cx:numDim>
    </cx:data>
  </cx:chartData>
  <cx:chart>
    <cx:title pos="t" align="ctr" overlay="0">
      <cx:tx>
        <cx:txData>
          <cx:v>ALIMENTACIÓN ROUGHER - PLANTA DE MOLY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_xlchart.v1.114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3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_xlchart.v1.117</cx:f>
      </cx:numDim>
    </cx:data>
    <cx:data id="1">
      <cx:numDim type="val">
        <cx:f>_xlchart.v1.119</cx:f>
      </cx:numDim>
    </cx:data>
  </cx:chartData>
  <cx:chart>
    <cx:title pos="t" align="ctr" overlay="0">
      <cx:tx>
        <cx:txData>
          <cx:v>ALIMENTACIÓN ROUGHER - PLANTA DE MOLY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_xlchart.v1.116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_xlchart.v1.118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0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_xlchart.v1.129</cx:f>
      </cx:numDim>
    </cx:data>
  </cx:chartData>
  <cx:chart>
    <cx:title pos="t" align="ctr" overlay="0">
      <cx:tx>
        <cx:txData>
          <cx:v>ALIMENTACIÓN ROUGHER - PLANTA DE MOLY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_xlchart.v1.128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4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_xlchart.v1.125</cx:f>
      </cx:numDim>
    </cx:data>
    <cx:data id="1">
      <cx:numDim type="val">
        <cx:f>_xlchart.v1.127</cx:f>
      </cx:numDim>
    </cx:data>
  </cx:chartData>
  <cx:chart>
    <cx:title pos="t" align="ctr" overlay="0">
      <cx:tx>
        <cx:txData>
          <cx:v>ALIMENTACIÓN ROUGHER - PLANTA DE MOLY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_xlchart.v1.124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_xlchart.v1.126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_xlchart.v1.131</cx:f>
      </cx:numDim>
    </cx:data>
  </cx:chartData>
  <cx:chart>
    <cx:title pos="t" align="ctr" overlay="0">
      <cx:tx>
        <cx:txData>
          <cx:v>ALIMENTACIÓN ROUGHER - PLANTA DE MOLY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_xlchart.v1.130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2" min="-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_xlchart.v1.133</cx:f>
      </cx:numDim>
    </cx:data>
    <cx:data id="1">
      <cx:numDim type="val">
        <cx:f>_xlchart.v1.135</cx:f>
      </cx:numDim>
    </cx:data>
  </cx:chartData>
  <cx:chart>
    <cx:title pos="t" align="ctr" overlay="0">
      <cx:tx>
        <cx:txData>
          <cx:v>ALIMENTACIÓN ROUGHER - PLANTA DE MOLY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_xlchart.v1.132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_xlchart.v1.134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_xlchart.v1.137</cx:f>
      </cx:numDim>
    </cx:data>
  </cx:chartData>
  <cx:chart>
    <cx:title pos="t" align="ctr" overlay="0">
      <cx:tx>
        <cx:txData>
          <cx:v>ALIMENTACIÓN ROUGHER - PLANTA DE MOLY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_xlchart.v1.136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_xlchart.v1.145</cx:f>
      </cx:numDim>
    </cx:data>
    <cx:data id="1">
      <cx:numDim type="val">
        <cx:f>_xlchart.v1.147</cx:f>
      </cx:numDim>
    </cx:data>
  </cx:chartData>
  <cx:chart>
    <cx:title pos="t" align="ctr" overlay="0">
      <cx:tx>
        <cx:txData>
          <cx:v>ALIMENTACIÓN ROUGHER - PLANTA DE MOLY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00000000-3867-4D6E-820F-786AAFCC0679}">
          <cx:tx>
            <cx:txData>
              <cx:f>_xlchart.v1.144</cx:f>
              <cx:v>Lab</cx:v>
            </cx:txData>
          </cx:tx>
          <cx:dataId val="0"/>
          <cx:layoutPr>
            <cx:statistics quartileMethod="exclusive"/>
          </cx:layoutPr>
        </cx:series>
        <cx:series layoutId="boxWhisker" uniqueId="{00000001-3867-4D6E-820F-786AAFCC0679}">
          <cx:tx>
            <cx:txData>
              <cx:f>_xlchart.v1.146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_xlchart.v1.143</cx:f>
      </cx:numDim>
    </cx:data>
  </cx:chartData>
  <cx:chart>
    <cx:title pos="t" align="ctr" overlay="0">
      <cx:tx>
        <cx:txData>
          <cx:v>ALIMENTACIÓN ROUGHER - PLANTA DE MOLY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_xlchart.v1.142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_xlchart.v1.139</cx:f>
      </cx:numDim>
    </cx:data>
    <cx:data id="1">
      <cx:numDim type="val">
        <cx:f>_xlchart.v1.141</cx:f>
      </cx:numDim>
    </cx:data>
  </cx:chartData>
  <cx:chart>
    <cx:title pos="t" align="ctr" overlay="0">
      <cx:tx>
        <cx:txData>
          <cx:v>ALIMENTACIÓN ROUGHER - PLANTA DE MOLY (%Fe) - 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(%Fe) - 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_xlchart.v1.138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_xlchart.v1.140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_xlchart.v1.149</cx:f>
      </cx:numDim>
    </cx:data>
  </cx:chartData>
  <cx:chart>
    <cx:title pos="t" align="ctr" overlay="0">
      <cx:tx>
        <cx:txData>
          <cx:v>ALIMENTACIÓN ROUGHER - PLANTA DE MOLY (%Fe)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ALIMENTACIÓN ROUGHER - PLANTA DE MOLY (%Fe)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_xlchart.v1.148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4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_xlchart.v1.151</cx:f>
      </cx:numDim>
    </cx:data>
    <cx:data id="1">
      <cx:numDim type="val">
        <cx:f>_xlchart.v1.153</cx:f>
      </cx:numDim>
    </cx:data>
  </cx:chartData>
  <cx:chart>
    <cx:title pos="t" align="ctr" overlay="0">
      <cx:tx>
        <cx:txData>
          <cx:v>COLA ROUGHER PROMEDIO - PLANTA DE MOLY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_xlchart.v1.150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_xlchart.v1.152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0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_xlchart.v1.155</cx:f>
      </cx:numDim>
    </cx:data>
  </cx:chartData>
  <cx:chart>
    <cx:title pos="t" align="ctr" overlay="0">
      <cx:tx>
        <cx:txData>
          <cx:v>COLA ROUGHER PROMEDIO - PLANTA DE MOLY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_xlchart.v1.154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_xlchart.v1.157</cx:f>
      </cx:numDim>
    </cx:data>
    <cx:data id="1">
      <cx:numDim type="val">
        <cx:f>_xlchart.v1.159</cx:f>
      </cx:numDim>
    </cx:data>
  </cx:chartData>
  <cx:chart>
    <cx:title pos="t" align="ctr" overlay="0">
      <cx:tx>
        <cx:txData>
          <cx:v>COLA ROUGHER PROMEDIO - PLANTA DE MOLY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_xlchart.v1.156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_xlchart.v1.158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33" min="2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_xlchart.v1.113</cx:f>
      </cx:numDim>
    </cx:data>
  </cx:chartData>
  <cx:chart>
    <cx:title pos="t" align="ctr" overlay="0">
      <cx:tx>
        <cx:txData>
          <cx:v>COLA ROUGHER PROMEDIO - PLANTA DE MOLY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_xlchart.v1.112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_xlchart.v1.109</cx:f>
      </cx:numDim>
    </cx:data>
    <cx:data id="1">
      <cx:numDim type="val">
        <cx:f>_xlchart.v1.111</cx:f>
      </cx:numDim>
    </cx:data>
  </cx:chartData>
  <cx:chart>
    <cx:title pos="t" align="ctr" overlay="0">
      <cx:tx>
        <cx:txData>
          <cx:v>COLA ROUGHER PROMEDIO - PLANTA DE MOLY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_xlchart.v1.108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B2D6-4A00-9340-A7C18B84D708}">
          <cx:tx>
            <cx:txData>
              <cx:f>_xlchart.v1.110</cx:f>
              <cx:v>Courier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0.60000000000000009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_xlchart.v1.171</cx:f>
      </cx:numDim>
    </cx:data>
  </cx:chartData>
  <cx:chart>
    <cx:title pos="t" align="ctr" overlay="0">
      <cx:tx>
        <cx:txData>
          <cx:v>COLA ROUGHER PROMEDIO - PLANTA DE MOLY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_xlchart.v1.170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_xlchart.v1.173</cx:f>
      </cx:numDim>
    </cx:data>
    <cx:data id="1">
      <cx:numDim type="val">
        <cx:f>_xlchart.v1.175</cx:f>
      </cx:numDim>
    </cx:data>
  </cx:chartData>
  <cx:chart>
    <cx:title pos="t" align="ctr" overlay="0">
      <cx:tx>
        <cx:txData>
          <cx:v>COLA ROUGHER PROMEDIO - PLANTA DE MOLY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_xlchart.v1.172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_xlchart.v1.174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_xlchart.v1.177</cx:f>
      </cx:numDim>
    </cx:data>
  </cx:chartData>
  <cx:chart>
    <cx:title pos="t" align="ctr" overlay="0">
      <cx:tx>
        <cx:txData>
          <cx:v>COLA ROUGHER PROMEDIO - PLANTA DE MOLY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_xlchart.v1.176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_xlchart.v1.179</cx:f>
      </cx:numDim>
    </cx:data>
    <cx:data id="1">
      <cx:numDim type="val">
        <cx:f>_xlchart.v1.181</cx:f>
      </cx:numDim>
    </cx:data>
  </cx:chartData>
  <cx:chart>
    <cx:title pos="t" align="ctr" overlay="0">
      <cx:tx>
        <cx:txData>
          <cx:v>COLA ROUGHER PROMEDIO - PLANTA DE MOLY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_xlchart.v1.178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_xlchart.v1.180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_xlchart.v1.183</cx:f>
      </cx:numDim>
    </cx:data>
  </cx:chartData>
  <cx:chart>
    <cx:title pos="t" align="ctr" overlay="0">
      <cx:tx>
        <cx:txData>
          <cx:v>COLA ROUGHER PROMEDIO - PLANTA DE MOLY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_xlchart.v1.182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5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_xlchart.v1.161</cx:f>
      </cx:numDim>
    </cx:data>
    <cx:data id="1">
      <cx:numDim type="val">
        <cx:f>_xlchart.v1.163</cx:f>
      </cx:numDim>
    </cx:data>
  </cx:chartData>
  <cx:chart>
    <cx:title pos="t" align="ctr" overlay="0">
      <cx:tx>
        <cx:txData>
          <cx:v>COLA ROUGHER PROMEDIO - PLANTA DE MOLY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- PLANTA DE MOLY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_xlchart.v1.160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_xlchart.v1.162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2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_xlchart.v1.165</cx:f>
      </cx:numDim>
    </cx:data>
  </cx:chartData>
  <cx:chart>
    <cx:title pos="t" align="ctr" overlay="0">
      <cx:tx>
        <cx:txData>
          <cx:v>COLA ROUGHER PROMEDIO  - PLANTA DE MOLY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COLA ROUGHER PROMEDIO  - PLANTA DE MOLY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_xlchart.v1.164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_xlchart.v1.167</cx:f>
      </cx:numDim>
    </cx:data>
    <cx:data id="1">
      <cx:numDim type="val">
        <cx:f>_xlchart.v1.169</cx:f>
      </cx:numDim>
    </cx:data>
  </cx:chartData>
  <cx:chart>
    <cx:title pos="t" align="ctr" overlay="0">
      <cx:tx>
        <cx:txData>
          <cx:v>CONCENTRADO ULTIMA LIMPIEZA - PLANTA DE MOLY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_xlchart.v1.166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_xlchart.v1.168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_xlchart.v1.185</cx:f>
      </cx:numDim>
    </cx:data>
  </cx:chartData>
  <cx:chart>
    <cx:title pos="t" align="ctr" overlay="0">
      <cx:tx>
        <cx:txData>
          <cx:v>CONCENTRADO ULTIMA LIMPIEZA - PLANTA DE MOLY (%Cu)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(%Cu)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_xlchart.v1.184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_xlchart.v1.207</cx:f>
      </cx:numDim>
    </cx:data>
    <cx:data id="1">
      <cx:numDim type="val">
        <cx:f>_xlchart.v1.209</cx:f>
      </cx:numDim>
    </cx:data>
  </cx:chartData>
  <cx:chart>
    <cx:title pos="t" align="ctr" overlay="0">
      <cx:tx>
        <cx:txData>
          <cx:v>CONCENTRADO ULTIMA LIMPIEZA - PLANTA DE MOLY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_xlchart.v1.206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_xlchart.v1.208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1.5" min="-0.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_xlchart.v1.197</cx:f>
      </cx:numDim>
    </cx:data>
  </cx:chartData>
  <cx:chart>
    <cx:title pos="t" align="ctr" overlay="0">
      <cx:tx>
        <cx:txData>
          <cx:v>CONCENTRADO ULTIMA LIMPIEZA - PLANTA DE MOLY (%Cu)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(%Cu)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_xlchart.v1.196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1" min="-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_xlchart.v1.199</cx:f>
      </cx:numDim>
    </cx:data>
  </cx:chartData>
  <cx:chart>
    <cx:title pos="t" align="ctr" overlay="0">
      <cx:tx>
        <cx:txData>
          <cx:v>CONCENTRADO ULTIMA LIMPIEZA - PLANTA DE MOLY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_xlchart.v1.198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-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_xlchart.v1.213</cx:f>
      </cx:numDim>
    </cx:data>
    <cx:data id="1">
      <cx:numDim type="val">
        <cx:f>_xlchart.v1.215</cx:f>
      </cx:numDim>
    </cx:data>
  </cx:chartData>
  <cx:chart>
    <cx:title pos="t" align="ctr" overlay="0">
      <cx:tx>
        <cx:txData>
          <cx:v>CONCENTRADO ULTIMA LIMPIEZA - PLANTA DE MOLY (%Mo)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(%Mo)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_xlchart.v1.212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_xlchart.v1.214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58" min="56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_xlchart.v1.187</cx:f>
      </cx:numDim>
    </cx:data>
    <cx:data id="1">
      <cx:numDim type="val">
        <cx:f>_xlchart.v1.189</cx:f>
      </cx:numDim>
    </cx:data>
  </cx:chartData>
  <cx:chart>
    <cx:title pos="t" align="ctr" overlay="0">
      <cx:tx>
        <cx:txData>
          <cx:v>CONCENTRADO ULTIMA LIMPIEZA - PLANTA DE MOLY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_xlchart.v1.186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_xlchart.v1.188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visibility meanLine="0" meanMarker="1" nonoutliers="1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50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_xlchart.v1.211</cx:f>
      </cx:numDim>
    </cx:data>
  </cx:chartData>
  <cx:chart>
    <cx:title pos="t" align="ctr" overlay="0">
      <cx:tx>
        <cx:txData>
          <cx:v>CONCENTRADO ULTIMA LIMPIEZA - PLANTA DE MOLY (%Mo)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(%Mo)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_xlchart.v1.210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1" min="-1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6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_xlchart.v1.191</cx:f>
      </cx:numDim>
    </cx:data>
    <cx:data id="1">
      <cx:numDim type="val">
        <cx:f>_xlchart.v1.193</cx:f>
      </cx:numDim>
    </cx:data>
  </cx:chartData>
  <cx:chart>
    <cx:title pos="t" align="ctr" overlay="0">
      <cx:tx>
        <cx:txData>
          <cx:v>CONCENTRADO ULTIMA LIMPIEZA - PLANTA DE MOLY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_xlchart.v1.190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_xlchart.v1.192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7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_xlchart.v1.195</cx:f>
      </cx:numDim>
    </cx:data>
  </cx:chartData>
  <cx:chart>
    <cx:title pos="t" align="ctr" overlay="0">
      <cx:tx>
        <cx:txData>
          <cx:v>CONCENTRADO ULTIMA LIMPIEZA - PLANTA DE MOLY (%Fe) - TURNO 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(%Fe) - TURNO A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_xlchart.v1.194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7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_xlchart.v1.201</cx:f>
      </cx:numDim>
    </cx:data>
    <cx:data id="1">
      <cx:numDim type="val">
        <cx:f>_xlchart.v1.203</cx:f>
      </cx:numDim>
    </cx:data>
  </cx:chartData>
  <cx:chart>
    <cx:title pos="t" align="ctr" overlay="0">
      <cx:tx>
        <cx:txData>
          <cx:v>CONCENTRADO ULTIMA LIMPIEZA - PLANTA DE MOLY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>
          <cx:tx>
            <cx:txData>
              <cx:f>_xlchart.v1.200</cx:f>
              <cx:v>Lab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0-D18E-45EE-8612-A039650AB7E3}">
          <cx:tx>
            <cx:txData>
              <cx:f>_xlchart.v1.202</cx:f>
              <cx:v>Courier</cx:v>
            </cx:txData>
          </cx:tx>
          <cx:spPr>
            <a:ln>
              <a:solidFill>
                <a:schemeClr val="tx1"/>
              </a:solidFill>
            </a:ln>
          </cx:spPr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6" min="-5"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hartEx7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_xlchart.v1.205</cx:f>
      </cx:numDim>
    </cx:data>
  </cx:chartData>
  <cx:chart>
    <cx:title pos="t" align="ctr" overlay="0">
      <cx:tx>
        <cx:txData>
          <cx:v>CONCENTRADO ULTIMA LIMPIEZA - PLANTA DE MOLY (%Fe) - TURNO B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CONCENTRADO ULTIMA LIMPIEZA - PLANTA DE MOLY (%Fe) - TURNO B</a:t>
          </a:r>
        </a:p>
      </cx:txPr>
    </cx:title>
    <cx:plotArea>
      <cx:plotAreaRegion>
        <cx:plotSurface>
          <cx:spPr>
            <a:solidFill>
              <a:schemeClr val="bg1"/>
            </a:solidFill>
          </cx:spPr>
        </cx:plotSurface>
        <cx:series layoutId="boxWhisker" uniqueId="{8CAAE94E-EA0F-4080-AADD-ED0A77E6C5BA}" formatIdx="0">
          <cx:tx>
            <cx:txData>
              <cx:f>_xlchart.v1.204</cx:f>
              <cx:v>Dif</cx:v>
            </cx:txData>
          </cx:tx>
          <cx:spPr>
            <a:ln>
              <a:solidFill>
                <a:schemeClr val="tx1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>
          <cx:spPr>
            <a:ln>
              <a:solidFill>
                <a:srgbClr val="000000"/>
              </a:solidFill>
            </a:ln>
          </cx:spPr>
        </cx:majorGridlines>
        <cx:majorTickMarks type="out"/>
        <cx:minorTickMarks type="out"/>
        <cx:tickLabels/>
        <cx:numFmt formatCode="0.000" sourceLinked="0"/>
        <cx:spPr>
          <a:ln>
            <a:solidFill>
              <a:srgbClr val="000000"/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6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6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6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0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75" workbookViewId="0"/>
  </sheetViews>
  <customSheetViews>
    <customSheetView guid="{C5BD3E9A-0945-47FE-8A56-1987B427C3E6}" scale="75" state="hidden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2"/>
  <sheetViews>
    <sheetView zoomScale="119" workbookViewId="0" zoomToFit="1"/>
  </sheetViews>
  <customSheetViews>
    <customSheetView guid="{C5BD3E9A-0945-47FE-8A56-1987B427C3E6}" scale="119" state="hidden" zoomToFit="1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13" Type="http://schemas.microsoft.com/office/2014/relationships/chartEx" Target="../charts/chartEx13.xml"/><Relationship Id="rId18" Type="http://schemas.microsoft.com/office/2014/relationships/chartEx" Target="../charts/chartEx18.xml"/><Relationship Id="rId26" Type="http://schemas.microsoft.com/office/2014/relationships/chartEx" Target="../charts/chartEx26.xml"/><Relationship Id="rId3" Type="http://schemas.microsoft.com/office/2014/relationships/chartEx" Target="../charts/chartEx3.xml"/><Relationship Id="rId21" Type="http://schemas.microsoft.com/office/2014/relationships/chartEx" Target="../charts/chartEx21.xml"/><Relationship Id="rId34" Type="http://schemas.microsoft.com/office/2014/relationships/chartEx" Target="../charts/chartEx34.xml"/><Relationship Id="rId7" Type="http://schemas.microsoft.com/office/2014/relationships/chartEx" Target="../charts/chartEx7.xml"/><Relationship Id="rId12" Type="http://schemas.microsoft.com/office/2014/relationships/chartEx" Target="../charts/chartEx12.xml"/><Relationship Id="rId17" Type="http://schemas.microsoft.com/office/2014/relationships/chartEx" Target="../charts/chartEx17.xml"/><Relationship Id="rId25" Type="http://schemas.microsoft.com/office/2014/relationships/chartEx" Target="../charts/chartEx25.xml"/><Relationship Id="rId33" Type="http://schemas.microsoft.com/office/2014/relationships/chartEx" Target="../charts/chartEx33.xml"/><Relationship Id="rId2" Type="http://schemas.microsoft.com/office/2014/relationships/chartEx" Target="../charts/chartEx2.xml"/><Relationship Id="rId16" Type="http://schemas.microsoft.com/office/2014/relationships/chartEx" Target="../charts/chartEx16.xml"/><Relationship Id="rId20" Type="http://schemas.microsoft.com/office/2014/relationships/chartEx" Target="../charts/chartEx20.xml"/><Relationship Id="rId29" Type="http://schemas.microsoft.com/office/2014/relationships/chartEx" Target="../charts/chartEx29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11" Type="http://schemas.microsoft.com/office/2014/relationships/chartEx" Target="../charts/chartEx11.xml"/><Relationship Id="rId24" Type="http://schemas.microsoft.com/office/2014/relationships/chartEx" Target="../charts/chartEx24.xml"/><Relationship Id="rId32" Type="http://schemas.microsoft.com/office/2014/relationships/chartEx" Target="../charts/chartEx32.xml"/><Relationship Id="rId5" Type="http://schemas.microsoft.com/office/2014/relationships/chartEx" Target="../charts/chartEx5.xml"/><Relationship Id="rId15" Type="http://schemas.microsoft.com/office/2014/relationships/chartEx" Target="../charts/chartEx15.xml"/><Relationship Id="rId23" Type="http://schemas.microsoft.com/office/2014/relationships/chartEx" Target="../charts/chartEx23.xml"/><Relationship Id="rId28" Type="http://schemas.microsoft.com/office/2014/relationships/chartEx" Target="../charts/chartEx28.xml"/><Relationship Id="rId36" Type="http://schemas.microsoft.com/office/2014/relationships/chartEx" Target="../charts/chartEx36.xml"/><Relationship Id="rId10" Type="http://schemas.microsoft.com/office/2014/relationships/chartEx" Target="../charts/chartEx10.xml"/><Relationship Id="rId19" Type="http://schemas.microsoft.com/office/2014/relationships/chartEx" Target="../charts/chartEx19.xml"/><Relationship Id="rId31" Type="http://schemas.microsoft.com/office/2014/relationships/chartEx" Target="../charts/chartEx31.xml"/><Relationship Id="rId4" Type="http://schemas.microsoft.com/office/2014/relationships/chartEx" Target="../charts/chartEx4.xml"/><Relationship Id="rId9" Type="http://schemas.microsoft.com/office/2014/relationships/chartEx" Target="../charts/chartEx9.xml"/><Relationship Id="rId14" Type="http://schemas.microsoft.com/office/2014/relationships/chartEx" Target="../charts/chartEx14.xml"/><Relationship Id="rId22" Type="http://schemas.microsoft.com/office/2014/relationships/chartEx" Target="../charts/chartEx22.xml"/><Relationship Id="rId27" Type="http://schemas.microsoft.com/office/2014/relationships/chartEx" Target="../charts/chartEx27.xml"/><Relationship Id="rId30" Type="http://schemas.microsoft.com/office/2014/relationships/chartEx" Target="../charts/chartEx30.xml"/><Relationship Id="rId35" Type="http://schemas.microsoft.com/office/2014/relationships/chartEx" Target="../charts/chartEx35.xml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9.xml"/><Relationship Id="rId18" Type="http://schemas.openxmlformats.org/officeDocument/2006/relationships/chart" Target="../charts/chart44.xml"/><Relationship Id="rId26" Type="http://schemas.openxmlformats.org/officeDocument/2006/relationships/chart" Target="../charts/chart52.xml"/><Relationship Id="rId39" Type="http://schemas.openxmlformats.org/officeDocument/2006/relationships/chart" Target="../charts/chart65.xml"/><Relationship Id="rId3" Type="http://schemas.openxmlformats.org/officeDocument/2006/relationships/chart" Target="../charts/chart29.xml"/><Relationship Id="rId21" Type="http://schemas.openxmlformats.org/officeDocument/2006/relationships/chart" Target="../charts/chart47.xml"/><Relationship Id="rId34" Type="http://schemas.openxmlformats.org/officeDocument/2006/relationships/chart" Target="../charts/chart60.xml"/><Relationship Id="rId42" Type="http://schemas.openxmlformats.org/officeDocument/2006/relationships/chart" Target="../charts/chart68.xml"/><Relationship Id="rId47" Type="http://schemas.openxmlformats.org/officeDocument/2006/relationships/chart" Target="../charts/chart73.xml"/><Relationship Id="rId50" Type="http://schemas.openxmlformats.org/officeDocument/2006/relationships/chart" Target="../charts/chart76.xml"/><Relationship Id="rId7" Type="http://schemas.openxmlformats.org/officeDocument/2006/relationships/chart" Target="../charts/chart33.xml"/><Relationship Id="rId12" Type="http://schemas.openxmlformats.org/officeDocument/2006/relationships/chart" Target="../charts/chart38.xml"/><Relationship Id="rId17" Type="http://schemas.openxmlformats.org/officeDocument/2006/relationships/chart" Target="../charts/chart43.xml"/><Relationship Id="rId25" Type="http://schemas.openxmlformats.org/officeDocument/2006/relationships/chart" Target="../charts/chart51.xml"/><Relationship Id="rId33" Type="http://schemas.openxmlformats.org/officeDocument/2006/relationships/chart" Target="../charts/chart59.xml"/><Relationship Id="rId38" Type="http://schemas.openxmlformats.org/officeDocument/2006/relationships/chart" Target="../charts/chart64.xml"/><Relationship Id="rId46" Type="http://schemas.openxmlformats.org/officeDocument/2006/relationships/chart" Target="../charts/chart72.xml"/><Relationship Id="rId2" Type="http://schemas.openxmlformats.org/officeDocument/2006/relationships/chart" Target="../charts/chart28.xml"/><Relationship Id="rId16" Type="http://schemas.openxmlformats.org/officeDocument/2006/relationships/chart" Target="../charts/chart42.xml"/><Relationship Id="rId20" Type="http://schemas.openxmlformats.org/officeDocument/2006/relationships/chart" Target="../charts/chart46.xml"/><Relationship Id="rId29" Type="http://schemas.openxmlformats.org/officeDocument/2006/relationships/chart" Target="../charts/chart55.xml"/><Relationship Id="rId41" Type="http://schemas.openxmlformats.org/officeDocument/2006/relationships/chart" Target="../charts/chart67.xml"/><Relationship Id="rId54" Type="http://schemas.openxmlformats.org/officeDocument/2006/relationships/chart" Target="../charts/chart80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11" Type="http://schemas.openxmlformats.org/officeDocument/2006/relationships/chart" Target="../charts/chart37.xml"/><Relationship Id="rId24" Type="http://schemas.openxmlformats.org/officeDocument/2006/relationships/chart" Target="../charts/chart50.xml"/><Relationship Id="rId32" Type="http://schemas.openxmlformats.org/officeDocument/2006/relationships/chart" Target="../charts/chart58.xml"/><Relationship Id="rId37" Type="http://schemas.openxmlformats.org/officeDocument/2006/relationships/chart" Target="../charts/chart63.xml"/><Relationship Id="rId40" Type="http://schemas.openxmlformats.org/officeDocument/2006/relationships/chart" Target="../charts/chart66.xml"/><Relationship Id="rId45" Type="http://schemas.openxmlformats.org/officeDocument/2006/relationships/chart" Target="../charts/chart71.xml"/><Relationship Id="rId53" Type="http://schemas.openxmlformats.org/officeDocument/2006/relationships/chart" Target="../charts/chart79.xml"/><Relationship Id="rId5" Type="http://schemas.openxmlformats.org/officeDocument/2006/relationships/chart" Target="../charts/chart31.xml"/><Relationship Id="rId15" Type="http://schemas.openxmlformats.org/officeDocument/2006/relationships/chart" Target="../charts/chart41.xml"/><Relationship Id="rId23" Type="http://schemas.openxmlformats.org/officeDocument/2006/relationships/chart" Target="../charts/chart49.xml"/><Relationship Id="rId28" Type="http://schemas.openxmlformats.org/officeDocument/2006/relationships/chart" Target="../charts/chart54.xml"/><Relationship Id="rId36" Type="http://schemas.openxmlformats.org/officeDocument/2006/relationships/chart" Target="../charts/chart62.xml"/><Relationship Id="rId49" Type="http://schemas.openxmlformats.org/officeDocument/2006/relationships/chart" Target="../charts/chart75.xml"/><Relationship Id="rId10" Type="http://schemas.openxmlformats.org/officeDocument/2006/relationships/chart" Target="../charts/chart36.xml"/><Relationship Id="rId19" Type="http://schemas.openxmlformats.org/officeDocument/2006/relationships/chart" Target="../charts/chart45.xml"/><Relationship Id="rId31" Type="http://schemas.openxmlformats.org/officeDocument/2006/relationships/chart" Target="../charts/chart57.xml"/><Relationship Id="rId44" Type="http://schemas.openxmlformats.org/officeDocument/2006/relationships/chart" Target="../charts/chart70.xml"/><Relationship Id="rId52" Type="http://schemas.openxmlformats.org/officeDocument/2006/relationships/chart" Target="../charts/chart78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Relationship Id="rId22" Type="http://schemas.openxmlformats.org/officeDocument/2006/relationships/chart" Target="../charts/chart48.xml"/><Relationship Id="rId27" Type="http://schemas.openxmlformats.org/officeDocument/2006/relationships/chart" Target="../charts/chart53.xml"/><Relationship Id="rId30" Type="http://schemas.openxmlformats.org/officeDocument/2006/relationships/chart" Target="../charts/chart56.xml"/><Relationship Id="rId35" Type="http://schemas.openxmlformats.org/officeDocument/2006/relationships/chart" Target="../charts/chart61.xml"/><Relationship Id="rId43" Type="http://schemas.openxmlformats.org/officeDocument/2006/relationships/chart" Target="../charts/chart69.xml"/><Relationship Id="rId48" Type="http://schemas.openxmlformats.org/officeDocument/2006/relationships/chart" Target="../charts/chart74.xml"/><Relationship Id="rId8" Type="http://schemas.openxmlformats.org/officeDocument/2006/relationships/chart" Target="../charts/chart34.xml"/><Relationship Id="rId51" Type="http://schemas.openxmlformats.org/officeDocument/2006/relationships/chart" Target="../charts/chart7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6" Type="http://schemas.openxmlformats.org/officeDocument/2006/relationships/chart" Target="../charts/chart86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Relationship Id="rId6" Type="http://schemas.openxmlformats.org/officeDocument/2006/relationships/chart" Target="../charts/chart92.xml"/><Relationship Id="rId5" Type="http://schemas.openxmlformats.org/officeDocument/2006/relationships/chart" Target="../charts/chart91.xml"/><Relationship Id="rId4" Type="http://schemas.openxmlformats.org/officeDocument/2006/relationships/chart" Target="../charts/chart9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6" Type="http://schemas.openxmlformats.org/officeDocument/2006/relationships/chart" Target="../charts/chart98.xml"/><Relationship Id="rId5" Type="http://schemas.openxmlformats.org/officeDocument/2006/relationships/chart" Target="../charts/chart97.xml"/><Relationship Id="rId4" Type="http://schemas.openxmlformats.org/officeDocument/2006/relationships/chart" Target="../charts/chart96.xml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14/relationships/chartEx" Target="../charts/chartEx44.xml"/><Relationship Id="rId13" Type="http://schemas.microsoft.com/office/2014/relationships/chartEx" Target="../charts/chartEx49.xml"/><Relationship Id="rId18" Type="http://schemas.microsoft.com/office/2014/relationships/chartEx" Target="../charts/chartEx54.xml"/><Relationship Id="rId26" Type="http://schemas.microsoft.com/office/2014/relationships/chartEx" Target="../charts/chartEx62.xml"/><Relationship Id="rId3" Type="http://schemas.microsoft.com/office/2014/relationships/chartEx" Target="../charts/chartEx39.xml"/><Relationship Id="rId21" Type="http://schemas.microsoft.com/office/2014/relationships/chartEx" Target="../charts/chartEx57.xml"/><Relationship Id="rId34" Type="http://schemas.microsoft.com/office/2014/relationships/chartEx" Target="../charts/chartEx70.xml"/><Relationship Id="rId7" Type="http://schemas.microsoft.com/office/2014/relationships/chartEx" Target="../charts/chartEx43.xml"/><Relationship Id="rId12" Type="http://schemas.microsoft.com/office/2014/relationships/chartEx" Target="../charts/chartEx48.xml"/><Relationship Id="rId17" Type="http://schemas.microsoft.com/office/2014/relationships/chartEx" Target="../charts/chartEx53.xml"/><Relationship Id="rId25" Type="http://schemas.microsoft.com/office/2014/relationships/chartEx" Target="../charts/chartEx61.xml"/><Relationship Id="rId33" Type="http://schemas.microsoft.com/office/2014/relationships/chartEx" Target="../charts/chartEx69.xml"/><Relationship Id="rId2" Type="http://schemas.microsoft.com/office/2014/relationships/chartEx" Target="../charts/chartEx38.xml"/><Relationship Id="rId16" Type="http://schemas.microsoft.com/office/2014/relationships/chartEx" Target="../charts/chartEx52.xml"/><Relationship Id="rId20" Type="http://schemas.microsoft.com/office/2014/relationships/chartEx" Target="../charts/chartEx56.xml"/><Relationship Id="rId29" Type="http://schemas.microsoft.com/office/2014/relationships/chartEx" Target="../charts/chartEx65.xml"/><Relationship Id="rId1" Type="http://schemas.microsoft.com/office/2014/relationships/chartEx" Target="../charts/chartEx37.xml"/><Relationship Id="rId6" Type="http://schemas.microsoft.com/office/2014/relationships/chartEx" Target="../charts/chartEx42.xml"/><Relationship Id="rId11" Type="http://schemas.microsoft.com/office/2014/relationships/chartEx" Target="../charts/chartEx47.xml"/><Relationship Id="rId24" Type="http://schemas.microsoft.com/office/2014/relationships/chartEx" Target="../charts/chartEx60.xml"/><Relationship Id="rId32" Type="http://schemas.microsoft.com/office/2014/relationships/chartEx" Target="../charts/chartEx68.xml"/><Relationship Id="rId5" Type="http://schemas.microsoft.com/office/2014/relationships/chartEx" Target="../charts/chartEx41.xml"/><Relationship Id="rId15" Type="http://schemas.microsoft.com/office/2014/relationships/chartEx" Target="../charts/chartEx51.xml"/><Relationship Id="rId23" Type="http://schemas.microsoft.com/office/2014/relationships/chartEx" Target="../charts/chartEx59.xml"/><Relationship Id="rId28" Type="http://schemas.microsoft.com/office/2014/relationships/chartEx" Target="../charts/chartEx64.xml"/><Relationship Id="rId36" Type="http://schemas.microsoft.com/office/2014/relationships/chartEx" Target="../charts/chartEx72.xml"/><Relationship Id="rId10" Type="http://schemas.microsoft.com/office/2014/relationships/chartEx" Target="../charts/chartEx46.xml"/><Relationship Id="rId19" Type="http://schemas.microsoft.com/office/2014/relationships/chartEx" Target="../charts/chartEx55.xml"/><Relationship Id="rId31" Type="http://schemas.microsoft.com/office/2014/relationships/chartEx" Target="../charts/chartEx67.xml"/><Relationship Id="rId4" Type="http://schemas.microsoft.com/office/2014/relationships/chartEx" Target="../charts/chartEx40.xml"/><Relationship Id="rId9" Type="http://schemas.microsoft.com/office/2014/relationships/chartEx" Target="../charts/chartEx45.xml"/><Relationship Id="rId14" Type="http://schemas.microsoft.com/office/2014/relationships/chartEx" Target="../charts/chartEx50.xml"/><Relationship Id="rId22" Type="http://schemas.microsoft.com/office/2014/relationships/chartEx" Target="../charts/chartEx58.xml"/><Relationship Id="rId27" Type="http://schemas.microsoft.com/office/2014/relationships/chartEx" Target="../charts/chartEx63.xml"/><Relationship Id="rId30" Type="http://schemas.microsoft.com/office/2014/relationships/chartEx" Target="../charts/chartEx66.xml"/><Relationship Id="rId35" Type="http://schemas.microsoft.com/office/2014/relationships/chartEx" Target="../charts/chartEx71.xml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11.xml"/><Relationship Id="rId18" Type="http://schemas.openxmlformats.org/officeDocument/2006/relationships/chart" Target="../charts/chart116.xml"/><Relationship Id="rId26" Type="http://schemas.openxmlformats.org/officeDocument/2006/relationships/chart" Target="../charts/chart124.xml"/><Relationship Id="rId39" Type="http://schemas.openxmlformats.org/officeDocument/2006/relationships/chart" Target="../charts/chart137.xml"/><Relationship Id="rId3" Type="http://schemas.openxmlformats.org/officeDocument/2006/relationships/chart" Target="../charts/chart101.xml"/><Relationship Id="rId21" Type="http://schemas.openxmlformats.org/officeDocument/2006/relationships/chart" Target="../charts/chart119.xml"/><Relationship Id="rId34" Type="http://schemas.openxmlformats.org/officeDocument/2006/relationships/chart" Target="../charts/chart132.xml"/><Relationship Id="rId42" Type="http://schemas.openxmlformats.org/officeDocument/2006/relationships/chart" Target="../charts/chart140.xml"/><Relationship Id="rId47" Type="http://schemas.openxmlformats.org/officeDocument/2006/relationships/chart" Target="../charts/chart145.xml"/><Relationship Id="rId50" Type="http://schemas.openxmlformats.org/officeDocument/2006/relationships/chart" Target="../charts/chart148.xml"/><Relationship Id="rId7" Type="http://schemas.openxmlformats.org/officeDocument/2006/relationships/chart" Target="../charts/chart105.xml"/><Relationship Id="rId12" Type="http://schemas.openxmlformats.org/officeDocument/2006/relationships/chart" Target="../charts/chart110.xml"/><Relationship Id="rId17" Type="http://schemas.openxmlformats.org/officeDocument/2006/relationships/chart" Target="../charts/chart115.xml"/><Relationship Id="rId25" Type="http://schemas.openxmlformats.org/officeDocument/2006/relationships/chart" Target="../charts/chart123.xml"/><Relationship Id="rId33" Type="http://schemas.openxmlformats.org/officeDocument/2006/relationships/chart" Target="../charts/chart131.xml"/><Relationship Id="rId38" Type="http://schemas.openxmlformats.org/officeDocument/2006/relationships/chart" Target="../charts/chart136.xml"/><Relationship Id="rId46" Type="http://schemas.openxmlformats.org/officeDocument/2006/relationships/chart" Target="../charts/chart144.xml"/><Relationship Id="rId2" Type="http://schemas.openxmlformats.org/officeDocument/2006/relationships/chart" Target="../charts/chart100.xml"/><Relationship Id="rId16" Type="http://schemas.openxmlformats.org/officeDocument/2006/relationships/chart" Target="../charts/chart114.xml"/><Relationship Id="rId20" Type="http://schemas.openxmlformats.org/officeDocument/2006/relationships/chart" Target="../charts/chart118.xml"/><Relationship Id="rId29" Type="http://schemas.openxmlformats.org/officeDocument/2006/relationships/chart" Target="../charts/chart127.xml"/><Relationship Id="rId41" Type="http://schemas.openxmlformats.org/officeDocument/2006/relationships/chart" Target="../charts/chart139.xml"/><Relationship Id="rId54" Type="http://schemas.openxmlformats.org/officeDocument/2006/relationships/chart" Target="../charts/chart152.xml"/><Relationship Id="rId1" Type="http://schemas.openxmlformats.org/officeDocument/2006/relationships/chart" Target="../charts/chart99.xml"/><Relationship Id="rId6" Type="http://schemas.openxmlformats.org/officeDocument/2006/relationships/chart" Target="../charts/chart104.xml"/><Relationship Id="rId11" Type="http://schemas.openxmlformats.org/officeDocument/2006/relationships/chart" Target="../charts/chart109.xml"/><Relationship Id="rId24" Type="http://schemas.openxmlformats.org/officeDocument/2006/relationships/chart" Target="../charts/chart122.xml"/><Relationship Id="rId32" Type="http://schemas.openxmlformats.org/officeDocument/2006/relationships/chart" Target="../charts/chart130.xml"/><Relationship Id="rId37" Type="http://schemas.openxmlformats.org/officeDocument/2006/relationships/chart" Target="../charts/chart135.xml"/><Relationship Id="rId40" Type="http://schemas.openxmlformats.org/officeDocument/2006/relationships/chart" Target="../charts/chart138.xml"/><Relationship Id="rId45" Type="http://schemas.openxmlformats.org/officeDocument/2006/relationships/chart" Target="../charts/chart143.xml"/><Relationship Id="rId53" Type="http://schemas.openxmlformats.org/officeDocument/2006/relationships/chart" Target="../charts/chart151.xml"/><Relationship Id="rId5" Type="http://schemas.openxmlformats.org/officeDocument/2006/relationships/chart" Target="../charts/chart103.xml"/><Relationship Id="rId15" Type="http://schemas.openxmlformats.org/officeDocument/2006/relationships/chart" Target="../charts/chart113.xml"/><Relationship Id="rId23" Type="http://schemas.openxmlformats.org/officeDocument/2006/relationships/chart" Target="../charts/chart121.xml"/><Relationship Id="rId28" Type="http://schemas.openxmlformats.org/officeDocument/2006/relationships/chart" Target="../charts/chart126.xml"/><Relationship Id="rId36" Type="http://schemas.openxmlformats.org/officeDocument/2006/relationships/chart" Target="../charts/chart134.xml"/><Relationship Id="rId49" Type="http://schemas.openxmlformats.org/officeDocument/2006/relationships/chart" Target="../charts/chart147.xml"/><Relationship Id="rId10" Type="http://schemas.openxmlformats.org/officeDocument/2006/relationships/chart" Target="../charts/chart108.xml"/><Relationship Id="rId19" Type="http://schemas.openxmlformats.org/officeDocument/2006/relationships/chart" Target="../charts/chart117.xml"/><Relationship Id="rId31" Type="http://schemas.openxmlformats.org/officeDocument/2006/relationships/chart" Target="../charts/chart129.xml"/><Relationship Id="rId44" Type="http://schemas.openxmlformats.org/officeDocument/2006/relationships/chart" Target="../charts/chart142.xml"/><Relationship Id="rId52" Type="http://schemas.openxmlformats.org/officeDocument/2006/relationships/chart" Target="../charts/chart150.xml"/><Relationship Id="rId4" Type="http://schemas.openxmlformats.org/officeDocument/2006/relationships/chart" Target="../charts/chart102.xml"/><Relationship Id="rId9" Type="http://schemas.openxmlformats.org/officeDocument/2006/relationships/chart" Target="../charts/chart107.xml"/><Relationship Id="rId14" Type="http://schemas.openxmlformats.org/officeDocument/2006/relationships/chart" Target="../charts/chart112.xml"/><Relationship Id="rId22" Type="http://schemas.openxmlformats.org/officeDocument/2006/relationships/chart" Target="../charts/chart120.xml"/><Relationship Id="rId27" Type="http://schemas.openxmlformats.org/officeDocument/2006/relationships/chart" Target="../charts/chart125.xml"/><Relationship Id="rId30" Type="http://schemas.openxmlformats.org/officeDocument/2006/relationships/chart" Target="../charts/chart128.xml"/><Relationship Id="rId35" Type="http://schemas.openxmlformats.org/officeDocument/2006/relationships/chart" Target="../charts/chart133.xml"/><Relationship Id="rId43" Type="http://schemas.openxmlformats.org/officeDocument/2006/relationships/chart" Target="../charts/chart141.xml"/><Relationship Id="rId48" Type="http://schemas.openxmlformats.org/officeDocument/2006/relationships/chart" Target="../charts/chart146.xml"/><Relationship Id="rId8" Type="http://schemas.openxmlformats.org/officeDocument/2006/relationships/chart" Target="../charts/chart106.xml"/><Relationship Id="rId51" Type="http://schemas.openxmlformats.org/officeDocument/2006/relationships/chart" Target="../charts/chart149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0.xml"/><Relationship Id="rId3" Type="http://schemas.openxmlformats.org/officeDocument/2006/relationships/chart" Target="../charts/chart155.xml"/><Relationship Id="rId7" Type="http://schemas.openxmlformats.org/officeDocument/2006/relationships/chart" Target="../charts/chart159.xml"/><Relationship Id="rId12" Type="http://schemas.openxmlformats.org/officeDocument/2006/relationships/chart" Target="../charts/chart164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11" Type="http://schemas.openxmlformats.org/officeDocument/2006/relationships/chart" Target="../charts/chart163.xml"/><Relationship Id="rId5" Type="http://schemas.openxmlformats.org/officeDocument/2006/relationships/chart" Target="../charts/chart157.xml"/><Relationship Id="rId10" Type="http://schemas.openxmlformats.org/officeDocument/2006/relationships/chart" Target="../charts/chart162.xml"/><Relationship Id="rId4" Type="http://schemas.openxmlformats.org/officeDocument/2006/relationships/chart" Target="../charts/chart156.xml"/><Relationship Id="rId9" Type="http://schemas.openxmlformats.org/officeDocument/2006/relationships/chart" Target="../charts/chart16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19</xdr:row>
      <xdr:rowOff>0</xdr:rowOff>
    </xdr:from>
    <xdr:to>
      <xdr:col>16</xdr:col>
      <xdr:colOff>0</xdr:colOff>
      <xdr:row>25</xdr:row>
      <xdr:rowOff>19050</xdr:rowOff>
    </xdr:to>
    <xdr:sp macro="" textlink="">
      <xdr:nvSpPr>
        <xdr:cNvPr id="25858498" name="Rectangle 8">
          <a:extLst>
            <a:ext uri="{FF2B5EF4-FFF2-40B4-BE49-F238E27FC236}">
              <a16:creationId xmlns:a16="http://schemas.microsoft.com/office/drawing/2014/main" id="{00000000-0008-0000-0200-0000C2918A01}"/>
            </a:ext>
          </a:extLst>
        </xdr:cNvPr>
        <xdr:cNvSpPr>
          <a:spLocks noChangeArrowheads="1"/>
        </xdr:cNvSpPr>
      </xdr:nvSpPr>
      <xdr:spPr bwMode="auto">
        <a:xfrm>
          <a:off x="1066800" y="3248025"/>
          <a:ext cx="10315575" cy="12287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26</xdr:row>
      <xdr:rowOff>3898</xdr:rowOff>
    </xdr:from>
    <xdr:to>
      <xdr:col>16</xdr:col>
      <xdr:colOff>0</xdr:colOff>
      <xdr:row>31</xdr:row>
      <xdr:rowOff>190501</xdr:rowOff>
    </xdr:to>
    <xdr:sp macro="" textlink="">
      <xdr:nvSpPr>
        <xdr:cNvPr id="25858499" name="Rectangle 20">
          <a:extLst>
            <a:ext uri="{FF2B5EF4-FFF2-40B4-BE49-F238E27FC236}">
              <a16:creationId xmlns:a16="http://schemas.microsoft.com/office/drawing/2014/main" id="{00000000-0008-0000-0200-0000C3918A01}"/>
            </a:ext>
          </a:extLst>
        </xdr:cNvPr>
        <xdr:cNvSpPr>
          <a:spLocks noChangeArrowheads="1"/>
        </xdr:cNvSpPr>
      </xdr:nvSpPr>
      <xdr:spPr bwMode="auto">
        <a:xfrm>
          <a:off x="1068457" y="4791246"/>
          <a:ext cx="10593456" cy="118879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</xdr:col>
      <xdr:colOff>1064558</xdr:colOff>
      <xdr:row>6</xdr:row>
      <xdr:rowOff>0</xdr:rowOff>
    </xdr:from>
    <xdr:to>
      <xdr:col>16</xdr:col>
      <xdr:colOff>5526</xdr:colOff>
      <xdr:row>11</xdr:row>
      <xdr:rowOff>182218</xdr:rowOff>
    </xdr:to>
    <xdr:sp macro="" textlink="">
      <xdr:nvSpPr>
        <xdr:cNvPr id="25858500" name="Rectangle 29">
          <a:extLst>
            <a:ext uri="{FF2B5EF4-FFF2-40B4-BE49-F238E27FC236}">
              <a16:creationId xmlns:a16="http://schemas.microsoft.com/office/drawing/2014/main" id="{00000000-0008-0000-0200-0000C4918A01}"/>
            </a:ext>
          </a:extLst>
        </xdr:cNvPr>
        <xdr:cNvSpPr>
          <a:spLocks noChangeArrowheads="1"/>
        </xdr:cNvSpPr>
      </xdr:nvSpPr>
      <xdr:spPr bwMode="auto">
        <a:xfrm>
          <a:off x="1064558" y="1060174"/>
          <a:ext cx="10602881" cy="112643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3</xdr:col>
      <xdr:colOff>9525</xdr:colOff>
      <xdr:row>0</xdr:row>
      <xdr:rowOff>0</xdr:rowOff>
    </xdr:from>
    <xdr:to>
      <xdr:col>5</xdr:col>
      <xdr:colOff>0</xdr:colOff>
      <xdr:row>2</xdr:row>
      <xdr:rowOff>30646</xdr:rowOff>
    </xdr:to>
    <xdr:pic>
      <xdr:nvPicPr>
        <xdr:cNvPr id="25858502" name="Picture 1338" descr="logo_spcc">
          <a:extLst>
            <a:ext uri="{FF2B5EF4-FFF2-40B4-BE49-F238E27FC236}">
              <a16:creationId xmlns:a16="http://schemas.microsoft.com/office/drawing/2014/main" id="{00000000-0008-0000-0200-0000C6918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09" b="12727"/>
        <a:stretch>
          <a:fillRect/>
        </a:stretch>
      </xdr:blipFill>
      <xdr:spPr bwMode="auto">
        <a:xfrm>
          <a:off x="9525" y="0"/>
          <a:ext cx="19050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718680</xdr:colOff>
      <xdr:row>0</xdr:row>
      <xdr:rowOff>102907</xdr:rowOff>
    </xdr:from>
    <xdr:to>
      <xdr:col>16</xdr:col>
      <xdr:colOff>91743</xdr:colOff>
      <xdr:row>3</xdr:row>
      <xdr:rowOff>57978</xdr:rowOff>
    </xdr:to>
    <xdr:pic>
      <xdr:nvPicPr>
        <xdr:cNvPr id="25858503" name="Picture 1339" descr="CDP2016-Logo">
          <a:extLst>
            <a:ext uri="{FF2B5EF4-FFF2-40B4-BE49-F238E27FC236}">
              <a16:creationId xmlns:a16="http://schemas.microsoft.com/office/drawing/2014/main" id="{00000000-0008-0000-0200-0000C7918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92"/>
        <a:stretch>
          <a:fillRect/>
        </a:stretch>
      </xdr:blipFill>
      <xdr:spPr bwMode="auto">
        <a:xfrm>
          <a:off x="10541854" y="102907"/>
          <a:ext cx="1211802" cy="5431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6724</xdr:colOff>
      <xdr:row>33</xdr:row>
      <xdr:rowOff>8283</xdr:rowOff>
    </xdr:from>
    <xdr:to>
      <xdr:col>12</xdr:col>
      <xdr:colOff>0</xdr:colOff>
      <xdr:row>38</xdr:row>
      <xdr:rowOff>3408</xdr:rowOff>
    </xdr:to>
    <xdr:sp macro="" textlink="">
      <xdr:nvSpPr>
        <xdr:cNvPr id="8" name="Rectangle 20">
          <a:extLst>
            <a:ext uri="{FF2B5EF4-FFF2-40B4-BE49-F238E27FC236}">
              <a16:creationId xmlns:a16="http://schemas.microsoft.com/office/drawing/2014/main" id="{02C00941-C0F1-4B83-886B-875F2CB0B37D}"/>
            </a:ext>
          </a:extLst>
        </xdr:cNvPr>
        <xdr:cNvSpPr>
          <a:spLocks noChangeArrowheads="1"/>
        </xdr:cNvSpPr>
      </xdr:nvSpPr>
      <xdr:spPr bwMode="auto">
        <a:xfrm>
          <a:off x="1075181" y="5888935"/>
          <a:ext cx="7058341" cy="89793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6724</xdr:colOff>
      <xdr:row>99</xdr:row>
      <xdr:rowOff>34977</xdr:rowOff>
    </xdr:from>
    <xdr:to>
      <xdr:col>12</xdr:col>
      <xdr:colOff>0</xdr:colOff>
      <xdr:row>105</xdr:row>
      <xdr:rowOff>11691</xdr:rowOff>
    </xdr:to>
    <xdr:sp macro="" textlink="">
      <xdr:nvSpPr>
        <xdr:cNvPr id="10" name="Rectangle 20">
          <a:extLst>
            <a:ext uri="{FF2B5EF4-FFF2-40B4-BE49-F238E27FC236}">
              <a16:creationId xmlns:a16="http://schemas.microsoft.com/office/drawing/2014/main" id="{CF1E460D-8E05-46BD-AF0B-E97DA69BA874}"/>
            </a:ext>
          </a:extLst>
        </xdr:cNvPr>
        <xdr:cNvSpPr>
          <a:spLocks noChangeArrowheads="1"/>
        </xdr:cNvSpPr>
      </xdr:nvSpPr>
      <xdr:spPr bwMode="auto">
        <a:xfrm>
          <a:off x="1075181" y="16409694"/>
          <a:ext cx="7058341" cy="96234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3898</xdr:colOff>
      <xdr:row>79</xdr:row>
      <xdr:rowOff>3</xdr:rowOff>
    </xdr:from>
    <xdr:to>
      <xdr:col>16</xdr:col>
      <xdr:colOff>3898</xdr:colOff>
      <xdr:row>85</xdr:row>
      <xdr:rowOff>40936</xdr:rowOff>
    </xdr:to>
    <xdr:sp macro="" textlink="">
      <xdr:nvSpPr>
        <xdr:cNvPr id="11" name="Rectangle 20">
          <a:extLst>
            <a:ext uri="{FF2B5EF4-FFF2-40B4-BE49-F238E27FC236}">
              <a16:creationId xmlns:a16="http://schemas.microsoft.com/office/drawing/2014/main" id="{918247CD-A2E9-48EE-B7D2-0611DC981A27}"/>
            </a:ext>
          </a:extLst>
        </xdr:cNvPr>
        <xdr:cNvSpPr>
          <a:spLocks noChangeArrowheads="1"/>
        </xdr:cNvSpPr>
      </xdr:nvSpPr>
      <xdr:spPr bwMode="auto">
        <a:xfrm>
          <a:off x="1072355" y="12249981"/>
          <a:ext cx="10593456" cy="117565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</xdr:col>
      <xdr:colOff>1063974</xdr:colOff>
      <xdr:row>86</xdr:row>
      <xdr:rowOff>4786</xdr:rowOff>
    </xdr:from>
    <xdr:to>
      <xdr:col>15</xdr:col>
      <xdr:colOff>985532</xdr:colOff>
      <xdr:row>91</xdr:row>
      <xdr:rowOff>191389</xdr:rowOff>
    </xdr:to>
    <xdr:sp macro="" textlink="">
      <xdr:nvSpPr>
        <xdr:cNvPr id="12" name="Rectangle 20">
          <a:extLst>
            <a:ext uri="{FF2B5EF4-FFF2-40B4-BE49-F238E27FC236}">
              <a16:creationId xmlns:a16="http://schemas.microsoft.com/office/drawing/2014/main" id="{6B3CAE10-DFBE-4E1A-A6E7-2724B953BE92}"/>
            </a:ext>
          </a:extLst>
        </xdr:cNvPr>
        <xdr:cNvSpPr>
          <a:spLocks noChangeArrowheads="1"/>
        </xdr:cNvSpPr>
      </xdr:nvSpPr>
      <xdr:spPr bwMode="auto">
        <a:xfrm>
          <a:off x="1063974" y="13406047"/>
          <a:ext cx="10589558" cy="112253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1461</xdr:colOff>
      <xdr:row>93</xdr:row>
      <xdr:rowOff>0</xdr:rowOff>
    </xdr:from>
    <xdr:to>
      <xdr:col>15</xdr:col>
      <xdr:colOff>991476</xdr:colOff>
      <xdr:row>98</xdr:row>
      <xdr:rowOff>186604</xdr:rowOff>
    </xdr:to>
    <xdr:sp macro="" textlink="">
      <xdr:nvSpPr>
        <xdr:cNvPr id="13" name="Rectangle 20">
          <a:extLst>
            <a:ext uri="{FF2B5EF4-FFF2-40B4-BE49-F238E27FC236}">
              <a16:creationId xmlns:a16="http://schemas.microsoft.com/office/drawing/2014/main" id="{919F0C45-8910-4987-9490-347D33FA58ED}"/>
            </a:ext>
          </a:extLst>
        </xdr:cNvPr>
        <xdr:cNvSpPr>
          <a:spLocks noChangeArrowheads="1"/>
        </xdr:cNvSpPr>
      </xdr:nvSpPr>
      <xdr:spPr bwMode="auto">
        <a:xfrm>
          <a:off x="1069918" y="14602239"/>
          <a:ext cx="10589558" cy="1122539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</xdr:col>
      <xdr:colOff>1059589</xdr:colOff>
      <xdr:row>13</xdr:row>
      <xdr:rowOff>11597</xdr:rowOff>
    </xdr:from>
    <xdr:to>
      <xdr:col>12</xdr:col>
      <xdr:colOff>1</xdr:colOff>
      <xdr:row>17</xdr:row>
      <xdr:rowOff>182219</xdr:rowOff>
    </xdr:to>
    <xdr:sp macro="" textlink="">
      <xdr:nvSpPr>
        <xdr:cNvPr id="14" name="Rectangle 29">
          <a:extLst>
            <a:ext uri="{FF2B5EF4-FFF2-40B4-BE49-F238E27FC236}">
              <a16:creationId xmlns:a16="http://schemas.microsoft.com/office/drawing/2014/main" id="{9ED1FDF2-9EE0-45B9-A3D4-3122B0D9795A}"/>
            </a:ext>
          </a:extLst>
        </xdr:cNvPr>
        <xdr:cNvSpPr>
          <a:spLocks noChangeArrowheads="1"/>
        </xdr:cNvSpPr>
      </xdr:nvSpPr>
      <xdr:spPr bwMode="auto">
        <a:xfrm>
          <a:off x="1059589" y="2396988"/>
          <a:ext cx="7073934" cy="932622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561975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0</xdr:row>
      <xdr:rowOff>0</xdr:rowOff>
    </xdr:from>
    <xdr:to>
      <xdr:col>24</xdr:col>
      <xdr:colOff>0</xdr:colOff>
      <xdr:row>19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57150</xdr:rowOff>
    </xdr:from>
    <xdr:to>
      <xdr:col>11</xdr:col>
      <xdr:colOff>571500</xdr:colOff>
      <xdr:row>40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13607</xdr:colOff>
      <xdr:row>20</xdr:row>
      <xdr:rowOff>63954</xdr:rowOff>
    </xdr:from>
    <xdr:to>
      <xdr:col>23</xdr:col>
      <xdr:colOff>585107</xdr:colOff>
      <xdr:row>40</xdr:row>
      <xdr:rowOff>73479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95250</xdr:rowOff>
    </xdr:from>
    <xdr:to>
      <xdr:col>11</xdr:col>
      <xdr:colOff>592044</xdr:colOff>
      <xdr:row>61</xdr:row>
      <xdr:rowOff>23532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1C7D4D-6469-4934-B789-6B01E8B97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27215</xdr:colOff>
      <xdr:row>40</xdr:row>
      <xdr:rowOff>122463</xdr:rowOff>
    </xdr:from>
    <xdr:to>
      <xdr:col>23</xdr:col>
      <xdr:colOff>544286</xdr:colOff>
      <xdr:row>61</xdr:row>
      <xdr:rowOff>27214</xdr:rowOff>
    </xdr:to>
    <xdr:graphicFrame macro="">
      <xdr:nvGraphicFramePr>
        <xdr:cNvPr id="7" name="Chart 16">
          <a:extLst>
            <a:ext uri="{FF2B5EF4-FFF2-40B4-BE49-F238E27FC236}">
              <a16:creationId xmlns:a16="http://schemas.microsoft.com/office/drawing/2014/main" id="{1AF67FD0-D86B-4E3A-933D-6544A2AAC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0.00852</cdr:x>
      <cdr:y>0.40359</cdr:y>
    </cdr:from>
    <cdr:to>
      <cdr:x>0.0327</cdr:x>
      <cdr:y>0.49876</cdr:y>
    </cdr:to>
    <cdr:sp macro="" textlink="">
      <cdr:nvSpPr>
        <cdr:cNvPr id="133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164" y="1439116"/>
          <a:ext cx="175955" cy="3365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%Fe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57552</xdr:colOff>
      <xdr:row>0</xdr:row>
      <xdr:rowOff>34738</xdr:rowOff>
    </xdr:from>
    <xdr:to>
      <xdr:col>7</xdr:col>
      <xdr:colOff>437309</xdr:colOff>
      <xdr:row>21</xdr:row>
      <xdr:rowOff>151036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572695</xdr:colOff>
      <xdr:row>0</xdr:row>
      <xdr:rowOff>46772</xdr:rowOff>
    </xdr:from>
    <xdr:to>
      <xdr:col>15</xdr:col>
      <xdr:colOff>340129</xdr:colOff>
      <xdr:row>22</xdr:row>
      <xdr:rowOff>6187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81644</xdr:colOff>
      <xdr:row>22</xdr:row>
      <xdr:rowOff>69168</xdr:rowOff>
    </xdr:from>
    <xdr:to>
      <xdr:col>7</xdr:col>
      <xdr:colOff>461401</xdr:colOff>
      <xdr:row>44</xdr:row>
      <xdr:rowOff>28583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525877</xdr:colOff>
      <xdr:row>22</xdr:row>
      <xdr:rowOff>67234</xdr:rowOff>
    </xdr:from>
    <xdr:to>
      <xdr:col>15</xdr:col>
      <xdr:colOff>293311</xdr:colOff>
      <xdr:row>44</xdr:row>
      <xdr:rowOff>26649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77161</xdr:colOff>
      <xdr:row>44</xdr:row>
      <xdr:rowOff>73959</xdr:rowOff>
    </xdr:from>
    <xdr:to>
      <xdr:col>7</xdr:col>
      <xdr:colOff>456918</xdr:colOff>
      <xdr:row>66</xdr:row>
      <xdr:rowOff>33375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521394</xdr:colOff>
      <xdr:row>44</xdr:row>
      <xdr:rowOff>85163</xdr:rowOff>
    </xdr:from>
    <xdr:to>
      <xdr:col>15</xdr:col>
      <xdr:colOff>288828</xdr:colOff>
      <xdr:row>66</xdr:row>
      <xdr:rowOff>44579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44824</xdr:colOff>
      <xdr:row>0</xdr:row>
      <xdr:rowOff>67236</xdr:rowOff>
    </xdr:from>
    <xdr:to>
      <xdr:col>8</xdr:col>
      <xdr:colOff>560294</xdr:colOff>
      <xdr:row>20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593912</xdr:colOff>
      <xdr:row>0</xdr:row>
      <xdr:rowOff>56030</xdr:rowOff>
    </xdr:from>
    <xdr:to>
      <xdr:col>16</xdr:col>
      <xdr:colOff>918882</xdr:colOff>
      <xdr:row>20</xdr:row>
      <xdr:rowOff>33618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40342</xdr:colOff>
      <xdr:row>20</xdr:row>
      <xdr:rowOff>73959</xdr:rowOff>
    </xdr:from>
    <xdr:to>
      <xdr:col>8</xdr:col>
      <xdr:colOff>555812</xdr:colOff>
      <xdr:row>40</xdr:row>
      <xdr:rowOff>51547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589430</xdr:colOff>
      <xdr:row>20</xdr:row>
      <xdr:rowOff>62753</xdr:rowOff>
    </xdr:from>
    <xdr:to>
      <xdr:col>16</xdr:col>
      <xdr:colOff>914400</xdr:colOff>
      <xdr:row>40</xdr:row>
      <xdr:rowOff>40341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47066</xdr:colOff>
      <xdr:row>40</xdr:row>
      <xdr:rowOff>91888</xdr:rowOff>
    </xdr:from>
    <xdr:to>
      <xdr:col>8</xdr:col>
      <xdr:colOff>562536</xdr:colOff>
      <xdr:row>60</xdr:row>
      <xdr:rowOff>69476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596154</xdr:colOff>
      <xdr:row>40</xdr:row>
      <xdr:rowOff>80682</xdr:rowOff>
    </xdr:from>
    <xdr:to>
      <xdr:col>16</xdr:col>
      <xdr:colOff>921124</xdr:colOff>
      <xdr:row>60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38100</xdr:rowOff>
    </xdr:from>
    <xdr:to>
      <xdr:col>6</xdr:col>
      <xdr:colOff>266700</xdr:colOff>
      <xdr:row>20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0</xdr:row>
      <xdr:rowOff>38100</xdr:rowOff>
    </xdr:from>
    <xdr:to>
      <xdr:col>12</xdr:col>
      <xdr:colOff>561974</xdr:colOff>
      <xdr:row>20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20</xdr:row>
      <xdr:rowOff>114300</xdr:rowOff>
    </xdr:from>
    <xdr:to>
      <xdr:col>6</xdr:col>
      <xdr:colOff>257174</xdr:colOff>
      <xdr:row>40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295274</xdr:colOff>
      <xdr:row>20</xdr:row>
      <xdr:rowOff>114300</xdr:rowOff>
    </xdr:from>
    <xdr:to>
      <xdr:col>12</xdr:col>
      <xdr:colOff>552448</xdr:colOff>
      <xdr:row>40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41</xdr:row>
      <xdr:rowOff>19050</xdr:rowOff>
    </xdr:from>
    <xdr:to>
      <xdr:col>6</xdr:col>
      <xdr:colOff>266699</xdr:colOff>
      <xdr:row>61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304799</xdr:colOff>
      <xdr:row>41</xdr:row>
      <xdr:rowOff>19050</xdr:rowOff>
    </xdr:from>
    <xdr:to>
      <xdr:col>12</xdr:col>
      <xdr:colOff>561973</xdr:colOff>
      <xdr:row>61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298450</xdr:colOff>
      <xdr:row>1</xdr:row>
      <xdr:rowOff>120650</xdr:rowOff>
    </xdr:from>
    <xdr:to>
      <xdr:col>12</xdr:col>
      <xdr:colOff>262492</xdr:colOff>
      <xdr:row>22</xdr:row>
      <xdr:rowOff>97776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11004A9-FB6C-4390-908F-3ADB44D653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450" y="282575"/>
              <a:ext cx="7279242" cy="33775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596900</xdr:colOff>
      <xdr:row>1</xdr:row>
      <xdr:rowOff>120650</xdr:rowOff>
    </xdr:from>
    <xdr:to>
      <xdr:col>24</xdr:col>
      <xdr:colOff>567292</xdr:colOff>
      <xdr:row>22</xdr:row>
      <xdr:rowOff>97776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1677827-02AB-445A-9803-E86A585903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2100" y="282575"/>
              <a:ext cx="7285592" cy="33775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455084</xdr:colOff>
      <xdr:row>23</xdr:row>
      <xdr:rowOff>148167</xdr:rowOff>
    </xdr:from>
    <xdr:to>
      <xdr:col>12</xdr:col>
      <xdr:colOff>368326</xdr:colOff>
      <xdr:row>45</xdr:row>
      <xdr:rowOff>30042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FDB5EB1-DEB3-4E40-B2BE-C04662402C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5084" y="3872442"/>
              <a:ext cx="7228442" cy="3444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158750</xdr:colOff>
      <xdr:row>24</xdr:row>
      <xdr:rowOff>121708</xdr:rowOff>
    </xdr:from>
    <xdr:to>
      <xdr:col>25</xdr:col>
      <xdr:colOff>71991</xdr:colOff>
      <xdr:row>46</xdr:row>
      <xdr:rowOff>3583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081853F-604B-4C00-A7C1-382CC7D5FF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83550" y="4007908"/>
              <a:ext cx="7228441" cy="3444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359834</xdr:colOff>
      <xdr:row>47</xdr:row>
      <xdr:rowOff>21166</xdr:rowOff>
    </xdr:from>
    <xdr:to>
      <xdr:col>12</xdr:col>
      <xdr:colOff>273076</xdr:colOff>
      <xdr:row>68</xdr:row>
      <xdr:rowOff>61793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2C03162-51FC-433D-8AFD-40860AE712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9834" y="7631641"/>
              <a:ext cx="7228442" cy="34410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47</xdr:row>
      <xdr:rowOff>10583</xdr:rowOff>
    </xdr:from>
    <xdr:to>
      <xdr:col>24</xdr:col>
      <xdr:colOff>527074</xdr:colOff>
      <xdr:row>68</xdr:row>
      <xdr:rowOff>51210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1F485541-C10A-470B-A888-FFADA2AF0A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7621058"/>
              <a:ext cx="7232674" cy="34410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381000</xdr:colOff>
      <xdr:row>69</xdr:row>
      <xdr:rowOff>0</xdr:rowOff>
    </xdr:from>
    <xdr:to>
      <xdr:col>12</xdr:col>
      <xdr:colOff>294242</xdr:colOff>
      <xdr:row>91</xdr:row>
      <xdr:rowOff>59569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8644A7D-26E8-474A-9D38-BC2C4FC485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0" y="11172825"/>
              <a:ext cx="7228442" cy="36219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603250</xdr:colOff>
      <xdr:row>68</xdr:row>
      <xdr:rowOff>116417</xdr:rowOff>
    </xdr:from>
    <xdr:to>
      <xdr:col>24</xdr:col>
      <xdr:colOff>516491</xdr:colOff>
      <xdr:row>91</xdr:row>
      <xdr:rowOff>17236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E9AEB203-E6DA-4C54-9A99-AA57105E29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450" y="11127317"/>
              <a:ext cx="7228441" cy="3625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402166</xdr:colOff>
      <xdr:row>92</xdr:row>
      <xdr:rowOff>95250</xdr:rowOff>
    </xdr:from>
    <xdr:to>
      <xdr:col>12</xdr:col>
      <xdr:colOff>315408</xdr:colOff>
      <xdr:row>115</xdr:row>
      <xdr:rowOff>4873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7CBD95FC-19BE-46F7-8E67-754A3127B5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2166" y="14992350"/>
              <a:ext cx="7228442" cy="36338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603249</xdr:colOff>
      <xdr:row>92</xdr:row>
      <xdr:rowOff>95250</xdr:rowOff>
    </xdr:from>
    <xdr:to>
      <xdr:col>24</xdr:col>
      <xdr:colOff>516490</xdr:colOff>
      <xdr:row>115</xdr:row>
      <xdr:rowOff>4873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98C6FB1-3025-4621-AB63-C74DA58A00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449" y="14992350"/>
              <a:ext cx="7228441" cy="36338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402167</xdr:colOff>
      <xdr:row>117</xdr:row>
      <xdr:rowOff>10583</xdr:rowOff>
    </xdr:from>
    <xdr:to>
      <xdr:col>12</xdr:col>
      <xdr:colOff>315409</xdr:colOff>
      <xdr:row>139</xdr:row>
      <xdr:rowOff>78957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A93779F0-E8A9-4EF3-96B2-92A02188FB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2167" y="18955808"/>
              <a:ext cx="7228442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117</xdr:row>
      <xdr:rowOff>0</xdr:rowOff>
    </xdr:from>
    <xdr:to>
      <xdr:col>24</xdr:col>
      <xdr:colOff>527074</xdr:colOff>
      <xdr:row>139</xdr:row>
      <xdr:rowOff>68374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B3095E02-5725-40E2-8166-A804FFE9A9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18945225"/>
              <a:ext cx="7232674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391583</xdr:colOff>
      <xdr:row>142</xdr:row>
      <xdr:rowOff>52916</xdr:rowOff>
    </xdr:from>
    <xdr:to>
      <xdr:col>12</xdr:col>
      <xdr:colOff>304825</xdr:colOff>
      <xdr:row>164</xdr:row>
      <xdr:rowOff>121290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960D13B8-AEC3-4528-9711-14A1C851AF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583" y="23046266"/>
              <a:ext cx="7228442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592667</xdr:colOff>
      <xdr:row>142</xdr:row>
      <xdr:rowOff>42333</xdr:rowOff>
    </xdr:from>
    <xdr:to>
      <xdr:col>24</xdr:col>
      <xdr:colOff>505908</xdr:colOff>
      <xdr:row>164</xdr:row>
      <xdr:rowOff>110707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15DA7166-733C-4905-8D12-9666E752D1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7867" y="23035683"/>
              <a:ext cx="7228441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402166</xdr:colOff>
      <xdr:row>166</xdr:row>
      <xdr:rowOff>0</xdr:rowOff>
    </xdr:from>
    <xdr:to>
      <xdr:col>12</xdr:col>
      <xdr:colOff>315408</xdr:colOff>
      <xdr:row>188</xdr:row>
      <xdr:rowOff>68373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F5EAF861-4264-4E1F-8170-3294A2B642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2166" y="26879550"/>
              <a:ext cx="7228442" cy="36307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603250</xdr:colOff>
      <xdr:row>166</xdr:row>
      <xdr:rowOff>0</xdr:rowOff>
    </xdr:from>
    <xdr:to>
      <xdr:col>24</xdr:col>
      <xdr:colOff>516491</xdr:colOff>
      <xdr:row>188</xdr:row>
      <xdr:rowOff>63331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7AA8679-A3D8-4C69-AE2C-0B8A24C49D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450" y="26879550"/>
              <a:ext cx="7228441" cy="36256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380999</xdr:colOff>
      <xdr:row>190</xdr:row>
      <xdr:rowOff>10583</xdr:rowOff>
    </xdr:from>
    <xdr:to>
      <xdr:col>12</xdr:col>
      <xdr:colOff>294241</xdr:colOff>
      <xdr:row>212</xdr:row>
      <xdr:rowOff>78956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4BBAA9B9-E795-482D-8C03-570E9B0D81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9" y="30776333"/>
              <a:ext cx="7228442" cy="36307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603250</xdr:colOff>
      <xdr:row>189</xdr:row>
      <xdr:rowOff>148167</xdr:rowOff>
    </xdr:from>
    <xdr:to>
      <xdr:col>24</xdr:col>
      <xdr:colOff>516491</xdr:colOff>
      <xdr:row>212</xdr:row>
      <xdr:rowOff>57790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C6B76836-0F7D-48FE-A1DE-D856596E1B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450" y="30751992"/>
              <a:ext cx="7228441" cy="36338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380999</xdr:colOff>
      <xdr:row>214</xdr:row>
      <xdr:rowOff>10583</xdr:rowOff>
    </xdr:from>
    <xdr:to>
      <xdr:col>12</xdr:col>
      <xdr:colOff>294241</xdr:colOff>
      <xdr:row>236</xdr:row>
      <xdr:rowOff>78957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F0ED910B-D83E-4BD0-BDEB-30F1D04F43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9" y="34662533"/>
              <a:ext cx="7228442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592666</xdr:colOff>
      <xdr:row>213</xdr:row>
      <xdr:rowOff>148167</xdr:rowOff>
    </xdr:from>
    <xdr:to>
      <xdr:col>24</xdr:col>
      <xdr:colOff>505907</xdr:colOff>
      <xdr:row>236</xdr:row>
      <xdr:rowOff>57791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02A3D2F2-FE64-41FB-A718-079FC803EB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7866" y="34638192"/>
              <a:ext cx="7228441" cy="36338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381000</xdr:colOff>
      <xdr:row>238</xdr:row>
      <xdr:rowOff>21167</xdr:rowOff>
    </xdr:from>
    <xdr:to>
      <xdr:col>12</xdr:col>
      <xdr:colOff>294242</xdr:colOff>
      <xdr:row>260</xdr:row>
      <xdr:rowOff>89540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DA0765DE-77F4-4067-8545-98C909779B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0" y="38559317"/>
              <a:ext cx="7228442" cy="36307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10584</xdr:colOff>
      <xdr:row>238</xdr:row>
      <xdr:rowOff>10584</xdr:rowOff>
    </xdr:from>
    <xdr:to>
      <xdr:col>24</xdr:col>
      <xdr:colOff>537658</xdr:colOff>
      <xdr:row>260</xdr:row>
      <xdr:rowOff>78957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C4036573-C9F0-422C-871D-7DE02001B0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35384" y="38548734"/>
              <a:ext cx="7232674" cy="36307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412749</xdr:colOff>
      <xdr:row>261</xdr:row>
      <xdr:rowOff>137584</xdr:rowOff>
    </xdr:from>
    <xdr:to>
      <xdr:col>12</xdr:col>
      <xdr:colOff>325991</xdr:colOff>
      <xdr:row>284</xdr:row>
      <xdr:rowOff>47209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48A97EDB-8A1E-4A69-A0AB-014706177C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749" y="42400009"/>
              <a:ext cx="7228442" cy="3633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262</xdr:row>
      <xdr:rowOff>0</xdr:rowOff>
    </xdr:from>
    <xdr:to>
      <xdr:col>24</xdr:col>
      <xdr:colOff>527074</xdr:colOff>
      <xdr:row>284</xdr:row>
      <xdr:rowOff>68375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960AC77F-CB58-40EC-A99C-9B0FAAF30D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42424350"/>
              <a:ext cx="7232674" cy="363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433916</xdr:colOff>
      <xdr:row>289</xdr:row>
      <xdr:rowOff>10583</xdr:rowOff>
    </xdr:from>
    <xdr:to>
      <xdr:col>12</xdr:col>
      <xdr:colOff>347158</xdr:colOff>
      <xdr:row>311</xdr:row>
      <xdr:rowOff>78957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E2B8B66F-B346-4BED-BB87-C7D7199746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916" y="46806908"/>
              <a:ext cx="7228442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289</xdr:row>
      <xdr:rowOff>0</xdr:rowOff>
    </xdr:from>
    <xdr:to>
      <xdr:col>24</xdr:col>
      <xdr:colOff>527074</xdr:colOff>
      <xdr:row>311</xdr:row>
      <xdr:rowOff>68374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9438CE77-E622-4C63-AAA0-86B1A96CDB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46796325"/>
              <a:ext cx="7232674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423333</xdr:colOff>
      <xdr:row>313</xdr:row>
      <xdr:rowOff>10584</xdr:rowOff>
    </xdr:from>
    <xdr:to>
      <xdr:col>12</xdr:col>
      <xdr:colOff>336575</xdr:colOff>
      <xdr:row>335</xdr:row>
      <xdr:rowOff>78958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21573DE1-85B0-4FA8-9DE7-49656A6BD1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333" y="50693109"/>
              <a:ext cx="7228442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313</xdr:row>
      <xdr:rowOff>0</xdr:rowOff>
    </xdr:from>
    <xdr:to>
      <xdr:col>24</xdr:col>
      <xdr:colOff>527074</xdr:colOff>
      <xdr:row>335</xdr:row>
      <xdr:rowOff>68374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BD5397A6-0EDE-4F05-AF25-DA45440B13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50682525"/>
              <a:ext cx="7232674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423333</xdr:colOff>
      <xdr:row>336</xdr:row>
      <xdr:rowOff>148167</xdr:rowOff>
    </xdr:from>
    <xdr:to>
      <xdr:col>12</xdr:col>
      <xdr:colOff>336575</xdr:colOff>
      <xdr:row>359</xdr:row>
      <xdr:rowOff>57792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79C30DC7-8616-493F-849C-12C4D319BD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333" y="54554967"/>
              <a:ext cx="7228442" cy="3633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337</xdr:row>
      <xdr:rowOff>0</xdr:rowOff>
    </xdr:from>
    <xdr:to>
      <xdr:col>24</xdr:col>
      <xdr:colOff>527074</xdr:colOff>
      <xdr:row>359</xdr:row>
      <xdr:rowOff>68375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FEE90DCE-E796-4DA4-B0AB-881026B8E0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54568725"/>
              <a:ext cx="7232674" cy="363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412750</xdr:colOff>
      <xdr:row>360</xdr:row>
      <xdr:rowOff>148166</xdr:rowOff>
    </xdr:from>
    <xdr:to>
      <xdr:col>12</xdr:col>
      <xdr:colOff>325992</xdr:colOff>
      <xdr:row>383</xdr:row>
      <xdr:rowOff>56430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ADE91A22-B4F1-433B-8970-C7000CC3A2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750" y="58441166"/>
              <a:ext cx="7228442" cy="36325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360</xdr:row>
      <xdr:rowOff>148166</xdr:rowOff>
    </xdr:from>
    <xdr:to>
      <xdr:col>24</xdr:col>
      <xdr:colOff>527074</xdr:colOff>
      <xdr:row>383</xdr:row>
      <xdr:rowOff>57791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930F1103-22B2-48E9-8F37-1FDCE73B74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58441166"/>
              <a:ext cx="7232674" cy="3633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423333</xdr:colOff>
      <xdr:row>385</xdr:row>
      <xdr:rowOff>10583</xdr:rowOff>
    </xdr:from>
    <xdr:to>
      <xdr:col>12</xdr:col>
      <xdr:colOff>336575</xdr:colOff>
      <xdr:row>407</xdr:row>
      <xdr:rowOff>78957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4" name="Chart 33">
              <a:extLst>
                <a:ext uri="{FF2B5EF4-FFF2-40B4-BE49-F238E27FC236}">
                  <a16:creationId xmlns:a16="http://schemas.microsoft.com/office/drawing/2014/main" id="{3EE48C2E-E77C-493C-B760-5BB4407926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333" y="62351708"/>
              <a:ext cx="7228442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603249</xdr:colOff>
      <xdr:row>385</xdr:row>
      <xdr:rowOff>52917</xdr:rowOff>
    </xdr:from>
    <xdr:to>
      <xdr:col>24</xdr:col>
      <xdr:colOff>516490</xdr:colOff>
      <xdr:row>407</xdr:row>
      <xdr:rowOff>121291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5" name="Chart 34">
              <a:extLst>
                <a:ext uri="{FF2B5EF4-FFF2-40B4-BE49-F238E27FC236}">
                  <a16:creationId xmlns:a16="http://schemas.microsoft.com/office/drawing/2014/main" id="{0BC75B07-5925-4161-BAD8-329302EF4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449" y="62394042"/>
              <a:ext cx="7228441" cy="3630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444500</xdr:colOff>
      <xdr:row>408</xdr:row>
      <xdr:rowOff>127000</xdr:rowOff>
    </xdr:from>
    <xdr:to>
      <xdr:col>12</xdr:col>
      <xdr:colOff>357742</xdr:colOff>
      <xdr:row>431</xdr:row>
      <xdr:rowOff>30221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6" name="Chart 35">
              <a:extLst>
                <a:ext uri="{FF2B5EF4-FFF2-40B4-BE49-F238E27FC236}">
                  <a16:creationId xmlns:a16="http://schemas.microsoft.com/office/drawing/2014/main" id="{BA2A0336-4836-460D-900A-11A1C20D31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4500" y="66192400"/>
              <a:ext cx="7228442" cy="36274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408</xdr:row>
      <xdr:rowOff>116417</xdr:rowOff>
    </xdr:from>
    <xdr:to>
      <xdr:col>24</xdr:col>
      <xdr:colOff>527074</xdr:colOff>
      <xdr:row>431</xdr:row>
      <xdr:rowOff>26041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7" name="Chart 36">
              <a:extLst>
                <a:ext uri="{FF2B5EF4-FFF2-40B4-BE49-F238E27FC236}">
                  <a16:creationId xmlns:a16="http://schemas.microsoft.com/office/drawing/2014/main" id="{1282471C-89D0-4E04-B519-15B5CB2FB8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66181817"/>
              <a:ext cx="7232674" cy="36338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2</xdr:row>
      <xdr:rowOff>137923</xdr:rowOff>
    </xdr:from>
    <xdr:to>
      <xdr:col>9</xdr:col>
      <xdr:colOff>6759</xdr:colOff>
      <xdr:row>24</xdr:row>
      <xdr:rowOff>136030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ED2B44BB-E947-4C39-B2F8-1993A36D1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133207</xdr:colOff>
      <xdr:row>2</xdr:row>
      <xdr:rowOff>135301</xdr:rowOff>
    </xdr:from>
    <xdr:to>
      <xdr:col>17</xdr:col>
      <xdr:colOff>273316</xdr:colOff>
      <xdr:row>24</xdr:row>
      <xdr:rowOff>133408</xdr:rowOff>
    </xdr:to>
    <xdr:graphicFrame macro="">
      <xdr:nvGraphicFramePr>
        <xdr:cNvPr id="3" name="Gráfico 14">
          <a:extLst>
            <a:ext uri="{FF2B5EF4-FFF2-40B4-BE49-F238E27FC236}">
              <a16:creationId xmlns:a16="http://schemas.microsoft.com/office/drawing/2014/main" id="{16949829-763E-45E3-8FE0-99C90EE1C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349255</xdr:colOff>
      <xdr:row>2</xdr:row>
      <xdr:rowOff>133350</xdr:rowOff>
    </xdr:from>
    <xdr:to>
      <xdr:col>25</xdr:col>
      <xdr:colOff>502353</xdr:colOff>
      <xdr:row>24</xdr:row>
      <xdr:rowOff>121932</xdr:rowOff>
    </xdr:to>
    <xdr:graphicFrame macro="">
      <xdr:nvGraphicFramePr>
        <xdr:cNvPr id="4" name="Gráfico 15">
          <a:extLst>
            <a:ext uri="{FF2B5EF4-FFF2-40B4-BE49-F238E27FC236}">
              <a16:creationId xmlns:a16="http://schemas.microsoft.com/office/drawing/2014/main" id="{BB757AB2-3B64-4FDE-9389-B0CC44911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26</xdr:row>
      <xdr:rowOff>31416</xdr:rowOff>
    </xdr:from>
    <xdr:to>
      <xdr:col>9</xdr:col>
      <xdr:colOff>149634</xdr:colOff>
      <xdr:row>48</xdr:row>
      <xdr:rowOff>9205</xdr:rowOff>
    </xdr:to>
    <xdr:graphicFrame macro="">
      <xdr:nvGraphicFramePr>
        <xdr:cNvPr id="5" name="Gráfico 13">
          <a:extLst>
            <a:ext uri="{FF2B5EF4-FFF2-40B4-BE49-F238E27FC236}">
              <a16:creationId xmlns:a16="http://schemas.microsoft.com/office/drawing/2014/main" id="{05E06092-1755-49B5-B3B7-F19EDAFFA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273608</xdr:colOff>
      <xdr:row>26</xdr:row>
      <xdr:rowOff>28794</xdr:rowOff>
    </xdr:from>
    <xdr:to>
      <xdr:col>17</xdr:col>
      <xdr:colOff>413717</xdr:colOff>
      <xdr:row>48</xdr:row>
      <xdr:rowOff>6583</xdr:rowOff>
    </xdr:to>
    <xdr:graphicFrame macro="">
      <xdr:nvGraphicFramePr>
        <xdr:cNvPr id="6" name="Gráfico 14">
          <a:extLst>
            <a:ext uri="{FF2B5EF4-FFF2-40B4-BE49-F238E27FC236}">
              <a16:creationId xmlns:a16="http://schemas.microsoft.com/office/drawing/2014/main" id="{E57916B8-1FF0-43EE-A74D-00DBD3146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517489</xdr:colOff>
      <xdr:row>26</xdr:row>
      <xdr:rowOff>0</xdr:rowOff>
    </xdr:from>
    <xdr:to>
      <xdr:col>26</xdr:col>
      <xdr:colOff>47998</xdr:colOff>
      <xdr:row>48</xdr:row>
      <xdr:rowOff>4632</xdr:rowOff>
    </xdr:to>
    <xdr:graphicFrame macro="">
      <xdr:nvGraphicFramePr>
        <xdr:cNvPr id="7" name="Gráfico 15">
          <a:extLst>
            <a:ext uri="{FF2B5EF4-FFF2-40B4-BE49-F238E27FC236}">
              <a16:creationId xmlns:a16="http://schemas.microsoft.com/office/drawing/2014/main" id="{71D3C4F4-7C91-4072-B3C7-5F24B3F299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9</xdr:col>
      <xdr:colOff>149634</xdr:colOff>
      <xdr:row>71</xdr:row>
      <xdr:rowOff>134012</xdr:rowOff>
    </xdr:to>
    <xdr:graphicFrame macro="">
      <xdr:nvGraphicFramePr>
        <xdr:cNvPr id="8" name="Gráfico 16">
          <a:extLst>
            <a:ext uri="{FF2B5EF4-FFF2-40B4-BE49-F238E27FC236}">
              <a16:creationId xmlns:a16="http://schemas.microsoft.com/office/drawing/2014/main" id="{1E38DE4C-ED8F-4B57-8B86-3B9A0E05E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253133</xdr:colOff>
      <xdr:row>50</xdr:row>
      <xdr:rowOff>0</xdr:rowOff>
    </xdr:from>
    <xdr:to>
      <xdr:col>17</xdr:col>
      <xdr:colOff>393242</xdr:colOff>
      <xdr:row>71</xdr:row>
      <xdr:rowOff>134012</xdr:rowOff>
    </xdr:to>
    <xdr:graphicFrame macro="">
      <xdr:nvGraphicFramePr>
        <xdr:cNvPr id="9" name="Gráfico 17">
          <a:extLst>
            <a:ext uri="{FF2B5EF4-FFF2-40B4-BE49-F238E27FC236}">
              <a16:creationId xmlns:a16="http://schemas.microsoft.com/office/drawing/2014/main" id="{9F778AA8-631F-4072-ABB1-FF7F041D3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476953</xdr:colOff>
      <xdr:row>50</xdr:row>
      <xdr:rowOff>1</xdr:rowOff>
    </xdr:from>
    <xdr:to>
      <xdr:col>26</xdr:col>
      <xdr:colOff>20451</xdr:colOff>
      <xdr:row>71</xdr:row>
      <xdr:rowOff>134013</xdr:rowOff>
    </xdr:to>
    <xdr:graphicFrame macro="">
      <xdr:nvGraphicFramePr>
        <xdr:cNvPr id="10" name="Gráfico 18">
          <a:extLst>
            <a:ext uri="{FF2B5EF4-FFF2-40B4-BE49-F238E27FC236}">
              <a16:creationId xmlns:a16="http://schemas.microsoft.com/office/drawing/2014/main" id="{F1548C1D-1975-4678-AAC4-9E5B165AA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9</xdr:col>
      <xdr:colOff>149634</xdr:colOff>
      <xdr:row>95</xdr:row>
      <xdr:rowOff>21950</xdr:rowOff>
    </xdr:to>
    <xdr:graphicFrame macro="">
      <xdr:nvGraphicFramePr>
        <xdr:cNvPr id="11" name="Gráfico 16">
          <a:extLst>
            <a:ext uri="{FF2B5EF4-FFF2-40B4-BE49-F238E27FC236}">
              <a16:creationId xmlns:a16="http://schemas.microsoft.com/office/drawing/2014/main" id="{3F6C9C52-AC41-4A03-8CC8-D8E0C61BD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253131</xdr:colOff>
      <xdr:row>73</xdr:row>
      <xdr:rowOff>0</xdr:rowOff>
    </xdr:from>
    <xdr:to>
      <xdr:col>17</xdr:col>
      <xdr:colOff>393240</xdr:colOff>
      <xdr:row>95</xdr:row>
      <xdr:rowOff>21950</xdr:rowOff>
    </xdr:to>
    <xdr:graphicFrame macro="">
      <xdr:nvGraphicFramePr>
        <xdr:cNvPr id="12" name="Gráfico 17">
          <a:extLst>
            <a:ext uri="{FF2B5EF4-FFF2-40B4-BE49-F238E27FC236}">
              <a16:creationId xmlns:a16="http://schemas.microsoft.com/office/drawing/2014/main" id="{F7FCC957-F1DB-4DC3-8142-4B8704CF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476952</xdr:colOff>
      <xdr:row>73</xdr:row>
      <xdr:rowOff>1</xdr:rowOff>
    </xdr:from>
    <xdr:to>
      <xdr:col>26</xdr:col>
      <xdr:colOff>20450</xdr:colOff>
      <xdr:row>95</xdr:row>
      <xdr:rowOff>21951</xdr:rowOff>
    </xdr:to>
    <xdr:graphicFrame macro="">
      <xdr:nvGraphicFramePr>
        <xdr:cNvPr id="13" name="Gráfico 18">
          <a:extLst>
            <a:ext uri="{FF2B5EF4-FFF2-40B4-BE49-F238E27FC236}">
              <a16:creationId xmlns:a16="http://schemas.microsoft.com/office/drawing/2014/main" id="{059567D8-C98C-40DC-A2B9-737705131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97</xdr:row>
      <xdr:rowOff>26801</xdr:rowOff>
    </xdr:from>
    <xdr:to>
      <xdr:col>9</xdr:col>
      <xdr:colOff>149634</xdr:colOff>
      <xdr:row>119</xdr:row>
      <xdr:rowOff>51638</xdr:rowOff>
    </xdr:to>
    <xdr:graphicFrame macro="">
      <xdr:nvGraphicFramePr>
        <xdr:cNvPr id="14" name="Gráfico 19">
          <a:extLst>
            <a:ext uri="{FF2B5EF4-FFF2-40B4-BE49-F238E27FC236}">
              <a16:creationId xmlns:a16="http://schemas.microsoft.com/office/drawing/2014/main" id="{7137216E-629A-4726-8A95-147BD3910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256821</xdr:colOff>
      <xdr:row>97</xdr:row>
      <xdr:rowOff>20349</xdr:rowOff>
    </xdr:from>
    <xdr:to>
      <xdr:col>17</xdr:col>
      <xdr:colOff>396930</xdr:colOff>
      <xdr:row>119</xdr:row>
      <xdr:rowOff>45186</xdr:rowOff>
    </xdr:to>
    <xdr:graphicFrame macro="">
      <xdr:nvGraphicFramePr>
        <xdr:cNvPr id="15" name="Gráfico 20">
          <a:extLst>
            <a:ext uri="{FF2B5EF4-FFF2-40B4-BE49-F238E27FC236}">
              <a16:creationId xmlns:a16="http://schemas.microsoft.com/office/drawing/2014/main" id="{7900EA81-5C30-43EE-A8AE-94114AFEE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482573</xdr:colOff>
      <xdr:row>97</xdr:row>
      <xdr:rowOff>0</xdr:rowOff>
    </xdr:from>
    <xdr:to>
      <xdr:col>26</xdr:col>
      <xdr:colOff>26071</xdr:colOff>
      <xdr:row>119</xdr:row>
      <xdr:rowOff>35661</xdr:rowOff>
    </xdr:to>
    <xdr:graphicFrame macro="">
      <xdr:nvGraphicFramePr>
        <xdr:cNvPr id="16" name="Gráfico 21">
          <a:extLst>
            <a:ext uri="{FF2B5EF4-FFF2-40B4-BE49-F238E27FC236}">
              <a16:creationId xmlns:a16="http://schemas.microsoft.com/office/drawing/2014/main" id="{43BCBC57-D62A-4342-9EDF-07B1E88AA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121</xdr:row>
      <xdr:rowOff>18863</xdr:rowOff>
    </xdr:from>
    <xdr:to>
      <xdr:col>9</xdr:col>
      <xdr:colOff>149634</xdr:colOff>
      <xdr:row>143</xdr:row>
      <xdr:rowOff>40813</xdr:rowOff>
    </xdr:to>
    <xdr:graphicFrame macro="">
      <xdr:nvGraphicFramePr>
        <xdr:cNvPr id="17" name="Gráfico 19">
          <a:extLst>
            <a:ext uri="{FF2B5EF4-FFF2-40B4-BE49-F238E27FC236}">
              <a16:creationId xmlns:a16="http://schemas.microsoft.com/office/drawing/2014/main" id="{01EC939B-AE14-4943-BE76-5D65B9275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256820</xdr:colOff>
      <xdr:row>121</xdr:row>
      <xdr:rowOff>9525</xdr:rowOff>
    </xdr:from>
    <xdr:to>
      <xdr:col>17</xdr:col>
      <xdr:colOff>396929</xdr:colOff>
      <xdr:row>143</xdr:row>
      <xdr:rowOff>23537</xdr:rowOff>
    </xdr:to>
    <xdr:graphicFrame macro="">
      <xdr:nvGraphicFramePr>
        <xdr:cNvPr id="18" name="Gráfico 20">
          <a:extLst>
            <a:ext uri="{FF2B5EF4-FFF2-40B4-BE49-F238E27FC236}">
              <a16:creationId xmlns:a16="http://schemas.microsoft.com/office/drawing/2014/main" id="{FA96C6D5-6B73-426B-A452-F77E6E3BD7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482574</xdr:colOff>
      <xdr:row>121</xdr:row>
      <xdr:rowOff>0</xdr:rowOff>
    </xdr:from>
    <xdr:to>
      <xdr:col>26</xdr:col>
      <xdr:colOff>26072</xdr:colOff>
      <xdr:row>143</xdr:row>
      <xdr:rowOff>14012</xdr:rowOff>
    </xdr:to>
    <xdr:graphicFrame macro="">
      <xdr:nvGraphicFramePr>
        <xdr:cNvPr id="19" name="Gráfico 21">
          <a:extLst>
            <a:ext uri="{FF2B5EF4-FFF2-40B4-BE49-F238E27FC236}">
              <a16:creationId xmlns:a16="http://schemas.microsoft.com/office/drawing/2014/main" id="{BBAA76F9-C030-4386-BFA3-DCE049AD7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148</xdr:row>
      <xdr:rowOff>28577</xdr:rowOff>
    </xdr:from>
    <xdr:to>
      <xdr:col>9</xdr:col>
      <xdr:colOff>149634</xdr:colOff>
      <xdr:row>170</xdr:row>
      <xdr:rowOff>53414</xdr:rowOff>
    </xdr:to>
    <xdr:graphicFrame macro="">
      <xdr:nvGraphicFramePr>
        <xdr:cNvPr id="20" name="Gráfico 22">
          <a:extLst>
            <a:ext uri="{FF2B5EF4-FFF2-40B4-BE49-F238E27FC236}">
              <a16:creationId xmlns:a16="http://schemas.microsoft.com/office/drawing/2014/main" id="{55F76FF6-B226-4BB3-937F-46E13BE4A4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247069</xdr:colOff>
      <xdr:row>148</xdr:row>
      <xdr:rowOff>9525</xdr:rowOff>
    </xdr:from>
    <xdr:to>
      <xdr:col>17</xdr:col>
      <xdr:colOff>387178</xdr:colOff>
      <xdr:row>170</xdr:row>
      <xdr:rowOff>34362</xdr:rowOff>
    </xdr:to>
    <xdr:graphicFrame macro="">
      <xdr:nvGraphicFramePr>
        <xdr:cNvPr id="21" name="Gráfico 23">
          <a:extLst>
            <a:ext uri="{FF2B5EF4-FFF2-40B4-BE49-F238E27FC236}">
              <a16:creationId xmlns:a16="http://schemas.microsoft.com/office/drawing/2014/main" id="{C9184AFC-49C0-4590-AA58-100860D14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474801</xdr:colOff>
      <xdr:row>148</xdr:row>
      <xdr:rowOff>0</xdr:rowOff>
    </xdr:from>
    <xdr:to>
      <xdr:col>26</xdr:col>
      <xdr:colOff>27824</xdr:colOff>
      <xdr:row>170</xdr:row>
      <xdr:rowOff>24837</xdr:rowOff>
    </xdr:to>
    <xdr:graphicFrame macro="">
      <xdr:nvGraphicFramePr>
        <xdr:cNvPr id="22" name="Gráfico 24">
          <a:extLst>
            <a:ext uri="{FF2B5EF4-FFF2-40B4-BE49-F238E27FC236}">
              <a16:creationId xmlns:a16="http://schemas.microsoft.com/office/drawing/2014/main" id="{97CF83D8-4D69-4B40-AE52-C73ED1538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194</xdr:row>
      <xdr:rowOff>66180</xdr:rowOff>
    </xdr:from>
    <xdr:to>
      <xdr:col>9</xdr:col>
      <xdr:colOff>149634</xdr:colOff>
      <xdr:row>216</xdr:row>
      <xdr:rowOff>4045</xdr:rowOff>
    </xdr:to>
    <xdr:graphicFrame macro="">
      <xdr:nvGraphicFramePr>
        <xdr:cNvPr id="23" name="Gráfico 25">
          <a:extLst>
            <a:ext uri="{FF2B5EF4-FFF2-40B4-BE49-F238E27FC236}">
              <a16:creationId xmlns:a16="http://schemas.microsoft.com/office/drawing/2014/main" id="{C53EE7AE-03E2-4C16-90D3-3A45954C92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256595</xdr:colOff>
      <xdr:row>194</xdr:row>
      <xdr:rowOff>66180</xdr:rowOff>
    </xdr:from>
    <xdr:to>
      <xdr:col>17</xdr:col>
      <xdr:colOff>396704</xdr:colOff>
      <xdr:row>216</xdr:row>
      <xdr:rowOff>4045</xdr:rowOff>
    </xdr:to>
    <xdr:graphicFrame macro="">
      <xdr:nvGraphicFramePr>
        <xdr:cNvPr id="24" name="Gráfico 26">
          <a:extLst>
            <a:ext uri="{FF2B5EF4-FFF2-40B4-BE49-F238E27FC236}">
              <a16:creationId xmlns:a16="http://schemas.microsoft.com/office/drawing/2014/main" id="{402905E0-557C-4460-BDEA-812ADED92D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17</xdr:col>
      <xdr:colOff>514633</xdr:colOff>
      <xdr:row>194</xdr:row>
      <xdr:rowOff>50305</xdr:rowOff>
    </xdr:from>
    <xdr:to>
      <xdr:col>26</xdr:col>
      <xdr:colOff>45142</xdr:colOff>
      <xdr:row>215</xdr:row>
      <xdr:rowOff>150095</xdr:rowOff>
    </xdr:to>
    <xdr:graphicFrame macro="">
      <xdr:nvGraphicFramePr>
        <xdr:cNvPr id="25" name="Gráfico 27">
          <a:extLst>
            <a:ext uri="{FF2B5EF4-FFF2-40B4-BE49-F238E27FC236}">
              <a16:creationId xmlns:a16="http://schemas.microsoft.com/office/drawing/2014/main" id="{3A6AD5F7-8697-48BD-B4B0-53DBD6DD6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171</xdr:row>
      <xdr:rowOff>3468</xdr:rowOff>
    </xdr:from>
    <xdr:to>
      <xdr:col>9</xdr:col>
      <xdr:colOff>149634</xdr:colOff>
      <xdr:row>193</xdr:row>
      <xdr:rowOff>21954</xdr:rowOff>
    </xdr:to>
    <xdr:graphicFrame macro="">
      <xdr:nvGraphicFramePr>
        <xdr:cNvPr id="26" name="Gráfico 22">
          <a:extLst>
            <a:ext uri="{FF2B5EF4-FFF2-40B4-BE49-F238E27FC236}">
              <a16:creationId xmlns:a16="http://schemas.microsoft.com/office/drawing/2014/main" id="{858CE012-4A55-43A5-8261-79A9C7468A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255730</xdr:colOff>
      <xdr:row>170</xdr:row>
      <xdr:rowOff>146343</xdr:rowOff>
    </xdr:from>
    <xdr:to>
      <xdr:col>17</xdr:col>
      <xdr:colOff>395839</xdr:colOff>
      <xdr:row>193</xdr:row>
      <xdr:rowOff>2904</xdr:rowOff>
    </xdr:to>
    <xdr:graphicFrame macro="">
      <xdr:nvGraphicFramePr>
        <xdr:cNvPr id="27" name="Gráfico 23">
          <a:extLst>
            <a:ext uri="{FF2B5EF4-FFF2-40B4-BE49-F238E27FC236}">
              <a16:creationId xmlns:a16="http://schemas.microsoft.com/office/drawing/2014/main" id="{62F9068E-52C9-40E4-A2F0-C978E2A1A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17</xdr:col>
      <xdr:colOff>495461</xdr:colOff>
      <xdr:row>170</xdr:row>
      <xdr:rowOff>154136</xdr:rowOff>
    </xdr:from>
    <xdr:to>
      <xdr:col>26</xdr:col>
      <xdr:colOff>29434</xdr:colOff>
      <xdr:row>193</xdr:row>
      <xdr:rowOff>10697</xdr:rowOff>
    </xdr:to>
    <xdr:graphicFrame macro="">
      <xdr:nvGraphicFramePr>
        <xdr:cNvPr id="28" name="Gráfico 24">
          <a:extLst>
            <a:ext uri="{FF2B5EF4-FFF2-40B4-BE49-F238E27FC236}">
              <a16:creationId xmlns:a16="http://schemas.microsoft.com/office/drawing/2014/main" id="{2B251BB8-A735-4EC7-85D4-B432F7D91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0</xdr:colOff>
      <xdr:row>240</xdr:row>
      <xdr:rowOff>82378</xdr:rowOff>
    </xdr:from>
    <xdr:to>
      <xdr:col>9</xdr:col>
      <xdr:colOff>149634</xdr:colOff>
      <xdr:row>262</xdr:row>
      <xdr:rowOff>20242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90BCC35-14DA-4312-B112-43CBF8BD8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272181</xdr:colOff>
      <xdr:row>240</xdr:row>
      <xdr:rowOff>82378</xdr:rowOff>
    </xdr:from>
    <xdr:to>
      <xdr:col>17</xdr:col>
      <xdr:colOff>412290</xdr:colOff>
      <xdr:row>262</xdr:row>
      <xdr:rowOff>20242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95BB1A0E-F035-413C-87BA-1ED32E9D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17</xdr:col>
      <xdr:colOff>474801</xdr:colOff>
      <xdr:row>240</xdr:row>
      <xdr:rowOff>72853</xdr:rowOff>
    </xdr:from>
    <xdr:to>
      <xdr:col>26</xdr:col>
      <xdr:colOff>18299</xdr:colOff>
      <xdr:row>262</xdr:row>
      <xdr:rowOff>10717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763AE11D-AE2F-4989-B986-A4A94E563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217</xdr:row>
      <xdr:rowOff>9525</xdr:rowOff>
    </xdr:from>
    <xdr:to>
      <xdr:col>9</xdr:col>
      <xdr:colOff>149634</xdr:colOff>
      <xdr:row>239</xdr:row>
      <xdr:rowOff>34361</xdr:rowOff>
    </xdr:to>
    <xdr:graphicFrame macro="">
      <xdr:nvGraphicFramePr>
        <xdr:cNvPr id="32" name="Gráfico 25">
          <a:extLst>
            <a:ext uri="{FF2B5EF4-FFF2-40B4-BE49-F238E27FC236}">
              <a16:creationId xmlns:a16="http://schemas.microsoft.com/office/drawing/2014/main" id="{32D713B9-6388-4EB6-8ED2-1E98B275A1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256600</xdr:colOff>
      <xdr:row>217</xdr:row>
      <xdr:rowOff>9525</xdr:rowOff>
    </xdr:from>
    <xdr:to>
      <xdr:col>17</xdr:col>
      <xdr:colOff>396709</xdr:colOff>
      <xdr:row>239</xdr:row>
      <xdr:rowOff>34361</xdr:rowOff>
    </xdr:to>
    <xdr:graphicFrame macro="">
      <xdr:nvGraphicFramePr>
        <xdr:cNvPr id="33" name="Gráfico 26">
          <a:extLst>
            <a:ext uri="{FF2B5EF4-FFF2-40B4-BE49-F238E27FC236}">
              <a16:creationId xmlns:a16="http://schemas.microsoft.com/office/drawing/2014/main" id="{161980D3-94B4-43A3-85C5-97995BD40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17</xdr:col>
      <xdr:colOff>514639</xdr:colOff>
      <xdr:row>217</xdr:row>
      <xdr:rowOff>0</xdr:rowOff>
    </xdr:from>
    <xdr:to>
      <xdr:col>26</xdr:col>
      <xdr:colOff>45148</xdr:colOff>
      <xdr:row>239</xdr:row>
      <xdr:rowOff>28300</xdr:rowOff>
    </xdr:to>
    <xdr:graphicFrame macro="">
      <xdr:nvGraphicFramePr>
        <xdr:cNvPr id="34" name="Gráfico 27">
          <a:extLst>
            <a:ext uri="{FF2B5EF4-FFF2-40B4-BE49-F238E27FC236}">
              <a16:creationId xmlns:a16="http://schemas.microsoft.com/office/drawing/2014/main" id="{5D6C05C6-EB2D-4AF9-B89F-8ECE41130F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</xdr:col>
      <xdr:colOff>0</xdr:colOff>
      <xdr:row>262</xdr:row>
      <xdr:rowOff>149510</xdr:rowOff>
    </xdr:from>
    <xdr:to>
      <xdr:col>9</xdr:col>
      <xdr:colOff>149634</xdr:colOff>
      <xdr:row>285</xdr:row>
      <xdr:rowOff>15885</xdr:rowOff>
    </xdr:to>
    <xdr:graphicFrame macro="">
      <xdr:nvGraphicFramePr>
        <xdr:cNvPr id="35" name="Gráfico 28">
          <a:extLst>
            <a:ext uri="{FF2B5EF4-FFF2-40B4-BE49-F238E27FC236}">
              <a16:creationId xmlns:a16="http://schemas.microsoft.com/office/drawing/2014/main" id="{3D02C76A-498F-4326-885E-61011EBEB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272185</xdr:colOff>
      <xdr:row>262</xdr:row>
      <xdr:rowOff>149510</xdr:rowOff>
    </xdr:from>
    <xdr:to>
      <xdr:col>17</xdr:col>
      <xdr:colOff>412294</xdr:colOff>
      <xdr:row>285</xdr:row>
      <xdr:rowOff>15885</xdr:rowOff>
    </xdr:to>
    <xdr:graphicFrame macro="">
      <xdr:nvGraphicFramePr>
        <xdr:cNvPr id="36" name="Gráfico 29">
          <a:extLst>
            <a:ext uri="{FF2B5EF4-FFF2-40B4-BE49-F238E27FC236}">
              <a16:creationId xmlns:a16="http://schemas.microsoft.com/office/drawing/2014/main" id="{3A7340CB-EC16-4754-BDB3-85099E728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17</xdr:col>
      <xdr:colOff>492124</xdr:colOff>
      <xdr:row>262</xdr:row>
      <xdr:rowOff>139985</xdr:rowOff>
    </xdr:from>
    <xdr:to>
      <xdr:col>26</xdr:col>
      <xdr:colOff>35622</xdr:colOff>
      <xdr:row>285</xdr:row>
      <xdr:rowOff>6360</xdr:rowOff>
    </xdr:to>
    <xdr:graphicFrame macro="">
      <xdr:nvGraphicFramePr>
        <xdr:cNvPr id="37" name="Gráfico 30">
          <a:extLst>
            <a:ext uri="{FF2B5EF4-FFF2-40B4-BE49-F238E27FC236}">
              <a16:creationId xmlns:a16="http://schemas.microsoft.com/office/drawing/2014/main" id="{3E5D127C-544B-45FC-AC36-0C116A5E4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0</xdr:colOff>
      <xdr:row>290</xdr:row>
      <xdr:rowOff>14098</xdr:rowOff>
    </xdr:from>
    <xdr:to>
      <xdr:col>9</xdr:col>
      <xdr:colOff>185493</xdr:colOff>
      <xdr:row>313</xdr:row>
      <xdr:rowOff>3875</xdr:rowOff>
    </xdr:to>
    <xdr:graphicFrame macro="">
      <xdr:nvGraphicFramePr>
        <xdr:cNvPr id="38" name="Gráfico 13">
          <a:extLst>
            <a:ext uri="{FF2B5EF4-FFF2-40B4-BE49-F238E27FC236}">
              <a16:creationId xmlns:a16="http://schemas.microsoft.com/office/drawing/2014/main" id="{0C2D4517-F1FC-4B08-9781-D2629B817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9</xdr:col>
      <xdr:colOff>311944</xdr:colOff>
      <xdr:row>290</xdr:row>
      <xdr:rowOff>11476</xdr:rowOff>
    </xdr:from>
    <xdr:to>
      <xdr:col>17</xdr:col>
      <xdr:colOff>487912</xdr:colOff>
      <xdr:row>313</xdr:row>
      <xdr:rowOff>1253</xdr:rowOff>
    </xdr:to>
    <xdr:graphicFrame macro="">
      <xdr:nvGraphicFramePr>
        <xdr:cNvPr id="39" name="Gráfico 14">
          <a:extLst>
            <a:ext uri="{FF2B5EF4-FFF2-40B4-BE49-F238E27FC236}">
              <a16:creationId xmlns:a16="http://schemas.microsoft.com/office/drawing/2014/main" id="{E3146732-1E2E-47EA-96F7-DA3ECFD81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17</xdr:col>
      <xdr:colOff>563850</xdr:colOff>
      <xdr:row>290</xdr:row>
      <xdr:rowOff>0</xdr:rowOff>
    </xdr:from>
    <xdr:to>
      <xdr:col>26</xdr:col>
      <xdr:colOff>147689</xdr:colOff>
      <xdr:row>312</xdr:row>
      <xdr:rowOff>146659</xdr:rowOff>
    </xdr:to>
    <xdr:graphicFrame macro="">
      <xdr:nvGraphicFramePr>
        <xdr:cNvPr id="40" name="Gráfico 15">
          <a:extLst>
            <a:ext uri="{FF2B5EF4-FFF2-40B4-BE49-F238E27FC236}">
              <a16:creationId xmlns:a16="http://schemas.microsoft.com/office/drawing/2014/main" id="{84A4FB83-7BA1-4FA8-BD55-1C744A89B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0</xdr:colOff>
      <xdr:row>313</xdr:row>
      <xdr:rowOff>107940</xdr:rowOff>
    </xdr:from>
    <xdr:to>
      <xdr:col>9</xdr:col>
      <xdr:colOff>185493</xdr:colOff>
      <xdr:row>336</xdr:row>
      <xdr:rowOff>87905</xdr:rowOff>
    </xdr:to>
    <xdr:graphicFrame macro="">
      <xdr:nvGraphicFramePr>
        <xdr:cNvPr id="41" name="Gráfico 13">
          <a:extLst>
            <a:ext uri="{FF2B5EF4-FFF2-40B4-BE49-F238E27FC236}">
              <a16:creationId xmlns:a16="http://schemas.microsoft.com/office/drawing/2014/main" id="{A739EBD5-6BE0-4DB3-AC41-3A015FBC7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</xdr:col>
      <xdr:colOff>311941</xdr:colOff>
      <xdr:row>313</xdr:row>
      <xdr:rowOff>105318</xdr:rowOff>
    </xdr:from>
    <xdr:to>
      <xdr:col>17</xdr:col>
      <xdr:colOff>487909</xdr:colOff>
      <xdr:row>336</xdr:row>
      <xdr:rowOff>85283</xdr:rowOff>
    </xdr:to>
    <xdr:graphicFrame macro="">
      <xdr:nvGraphicFramePr>
        <xdr:cNvPr id="42" name="Gráfico 14">
          <a:extLst>
            <a:ext uri="{FF2B5EF4-FFF2-40B4-BE49-F238E27FC236}">
              <a16:creationId xmlns:a16="http://schemas.microsoft.com/office/drawing/2014/main" id="{6D2E5B76-C114-41A0-9578-B72ADA1063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17</xdr:col>
      <xdr:colOff>563849</xdr:colOff>
      <xdr:row>313</xdr:row>
      <xdr:rowOff>93842</xdr:rowOff>
    </xdr:from>
    <xdr:to>
      <xdr:col>26</xdr:col>
      <xdr:colOff>147688</xdr:colOff>
      <xdr:row>336</xdr:row>
      <xdr:rowOff>73807</xdr:rowOff>
    </xdr:to>
    <xdr:graphicFrame macro="">
      <xdr:nvGraphicFramePr>
        <xdr:cNvPr id="43" name="Gráfico 15">
          <a:extLst>
            <a:ext uri="{FF2B5EF4-FFF2-40B4-BE49-F238E27FC236}">
              <a16:creationId xmlns:a16="http://schemas.microsoft.com/office/drawing/2014/main" id="{2FEC8E71-4F02-4A86-966B-252F3577A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</xdr:col>
      <xdr:colOff>0</xdr:colOff>
      <xdr:row>337</xdr:row>
      <xdr:rowOff>118873</xdr:rowOff>
    </xdr:from>
    <xdr:to>
      <xdr:col>9</xdr:col>
      <xdr:colOff>185493</xdr:colOff>
      <xdr:row>360</xdr:row>
      <xdr:rowOff>102301</xdr:rowOff>
    </xdr:to>
    <xdr:graphicFrame macro="">
      <xdr:nvGraphicFramePr>
        <xdr:cNvPr id="44" name="Gráfico 16">
          <a:extLst>
            <a:ext uri="{FF2B5EF4-FFF2-40B4-BE49-F238E27FC236}">
              <a16:creationId xmlns:a16="http://schemas.microsoft.com/office/drawing/2014/main" id="{0C0B03F2-9B59-408A-A0B5-8C52BAB8C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</xdr:col>
      <xdr:colOff>310020</xdr:colOff>
      <xdr:row>337</xdr:row>
      <xdr:rowOff>118873</xdr:rowOff>
    </xdr:from>
    <xdr:to>
      <xdr:col>17</xdr:col>
      <xdr:colOff>485988</xdr:colOff>
      <xdr:row>360</xdr:row>
      <xdr:rowOff>102301</xdr:rowOff>
    </xdr:to>
    <xdr:graphicFrame macro="">
      <xdr:nvGraphicFramePr>
        <xdr:cNvPr id="45" name="Gráfico 17">
          <a:extLst>
            <a:ext uri="{FF2B5EF4-FFF2-40B4-BE49-F238E27FC236}">
              <a16:creationId xmlns:a16="http://schemas.microsoft.com/office/drawing/2014/main" id="{3F6F72C5-603C-4FC3-B723-C265E33C0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17</xdr:col>
      <xdr:colOff>585163</xdr:colOff>
      <xdr:row>337</xdr:row>
      <xdr:rowOff>118874</xdr:rowOff>
    </xdr:from>
    <xdr:to>
      <xdr:col>26</xdr:col>
      <xdr:colOff>156013</xdr:colOff>
      <xdr:row>360</xdr:row>
      <xdr:rowOff>102302</xdr:rowOff>
    </xdr:to>
    <xdr:graphicFrame macro="">
      <xdr:nvGraphicFramePr>
        <xdr:cNvPr id="46" name="Gráfico 18">
          <a:extLst>
            <a:ext uri="{FF2B5EF4-FFF2-40B4-BE49-F238E27FC236}">
              <a16:creationId xmlns:a16="http://schemas.microsoft.com/office/drawing/2014/main" id="{6E87916E-DF0D-4A96-A148-897172200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</xdr:col>
      <xdr:colOff>0</xdr:colOff>
      <xdr:row>409</xdr:row>
      <xdr:rowOff>28880</xdr:rowOff>
    </xdr:from>
    <xdr:to>
      <xdr:col>9</xdr:col>
      <xdr:colOff>185493</xdr:colOff>
      <xdr:row>432</xdr:row>
      <xdr:rowOff>352</xdr:rowOff>
    </xdr:to>
    <xdr:graphicFrame macro="">
      <xdr:nvGraphicFramePr>
        <xdr:cNvPr id="47" name="Gráfico 19">
          <a:extLst>
            <a:ext uri="{FF2B5EF4-FFF2-40B4-BE49-F238E27FC236}">
              <a16:creationId xmlns:a16="http://schemas.microsoft.com/office/drawing/2014/main" id="{7A37B643-6934-4E7E-8402-C25A66730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</xdr:col>
      <xdr:colOff>309998</xdr:colOff>
      <xdr:row>409</xdr:row>
      <xdr:rowOff>22428</xdr:rowOff>
    </xdr:from>
    <xdr:to>
      <xdr:col>17</xdr:col>
      <xdr:colOff>485966</xdr:colOff>
      <xdr:row>431</xdr:row>
      <xdr:rowOff>150782</xdr:rowOff>
    </xdr:to>
    <xdr:graphicFrame macro="">
      <xdr:nvGraphicFramePr>
        <xdr:cNvPr id="48" name="Gráfico 20">
          <a:extLst>
            <a:ext uri="{FF2B5EF4-FFF2-40B4-BE49-F238E27FC236}">
              <a16:creationId xmlns:a16="http://schemas.microsoft.com/office/drawing/2014/main" id="{655D60F7-7BE6-4B19-AD20-D1943574F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362</xdr:row>
      <xdr:rowOff>0</xdr:rowOff>
    </xdr:from>
    <xdr:to>
      <xdr:col>9</xdr:col>
      <xdr:colOff>185493</xdr:colOff>
      <xdr:row>384</xdr:row>
      <xdr:rowOff>129423</xdr:rowOff>
    </xdr:to>
    <xdr:graphicFrame macro="">
      <xdr:nvGraphicFramePr>
        <xdr:cNvPr id="49" name="Gráfico 16">
          <a:extLst>
            <a:ext uri="{FF2B5EF4-FFF2-40B4-BE49-F238E27FC236}">
              <a16:creationId xmlns:a16="http://schemas.microsoft.com/office/drawing/2014/main" id="{D4FF0563-62F2-4E76-91E2-8120866D0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</xdr:col>
      <xdr:colOff>306310</xdr:colOff>
      <xdr:row>362</xdr:row>
      <xdr:rowOff>0</xdr:rowOff>
    </xdr:from>
    <xdr:to>
      <xdr:col>17</xdr:col>
      <xdr:colOff>482278</xdr:colOff>
      <xdr:row>384</xdr:row>
      <xdr:rowOff>129423</xdr:rowOff>
    </xdr:to>
    <xdr:graphicFrame macro="">
      <xdr:nvGraphicFramePr>
        <xdr:cNvPr id="50" name="Gráfico 17">
          <a:extLst>
            <a:ext uri="{FF2B5EF4-FFF2-40B4-BE49-F238E27FC236}">
              <a16:creationId xmlns:a16="http://schemas.microsoft.com/office/drawing/2014/main" id="{578A154C-2195-4BFD-B113-AFEB027EA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17</xdr:col>
      <xdr:colOff>565989</xdr:colOff>
      <xdr:row>362</xdr:row>
      <xdr:rowOff>1</xdr:rowOff>
    </xdr:from>
    <xdr:to>
      <xdr:col>26</xdr:col>
      <xdr:colOff>140303</xdr:colOff>
      <xdr:row>384</xdr:row>
      <xdr:rowOff>129424</xdr:rowOff>
    </xdr:to>
    <xdr:graphicFrame macro="">
      <xdr:nvGraphicFramePr>
        <xdr:cNvPr id="51" name="Gráfico 18">
          <a:extLst>
            <a:ext uri="{FF2B5EF4-FFF2-40B4-BE49-F238E27FC236}">
              <a16:creationId xmlns:a16="http://schemas.microsoft.com/office/drawing/2014/main" id="{6DA6EFE9-E526-460D-B8B6-D0CADD060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</xdr:col>
      <xdr:colOff>0</xdr:colOff>
      <xdr:row>386</xdr:row>
      <xdr:rowOff>19983</xdr:rowOff>
    </xdr:from>
    <xdr:to>
      <xdr:col>9</xdr:col>
      <xdr:colOff>185493</xdr:colOff>
      <xdr:row>408</xdr:row>
      <xdr:rowOff>152868</xdr:rowOff>
    </xdr:to>
    <xdr:graphicFrame macro="">
      <xdr:nvGraphicFramePr>
        <xdr:cNvPr id="52" name="Gráfico 19">
          <a:extLst>
            <a:ext uri="{FF2B5EF4-FFF2-40B4-BE49-F238E27FC236}">
              <a16:creationId xmlns:a16="http://schemas.microsoft.com/office/drawing/2014/main" id="{79AEE2ED-5DF3-43C9-8BE9-00B86E721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</xdr:col>
      <xdr:colOff>309998</xdr:colOff>
      <xdr:row>386</xdr:row>
      <xdr:rowOff>13531</xdr:rowOff>
    </xdr:from>
    <xdr:to>
      <xdr:col>17</xdr:col>
      <xdr:colOff>485966</xdr:colOff>
      <xdr:row>408</xdr:row>
      <xdr:rowOff>146416</xdr:rowOff>
    </xdr:to>
    <xdr:graphicFrame macro="">
      <xdr:nvGraphicFramePr>
        <xdr:cNvPr id="53" name="Gráfico 20">
          <a:extLst>
            <a:ext uri="{FF2B5EF4-FFF2-40B4-BE49-F238E27FC236}">
              <a16:creationId xmlns:a16="http://schemas.microsoft.com/office/drawing/2014/main" id="{1EEC8703-00A8-4D2A-B985-E01DDCFD0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17</xdr:col>
      <xdr:colOff>588309</xdr:colOff>
      <xdr:row>385</xdr:row>
      <xdr:rowOff>154538</xdr:rowOff>
    </xdr:from>
    <xdr:to>
      <xdr:col>26</xdr:col>
      <xdr:colOff>159159</xdr:colOff>
      <xdr:row>408</xdr:row>
      <xdr:rowOff>136891</xdr:rowOff>
    </xdr:to>
    <xdr:graphicFrame macro="">
      <xdr:nvGraphicFramePr>
        <xdr:cNvPr id="54" name="Gráfico 21">
          <a:extLst>
            <a:ext uri="{FF2B5EF4-FFF2-40B4-BE49-F238E27FC236}">
              <a16:creationId xmlns:a16="http://schemas.microsoft.com/office/drawing/2014/main" id="{930CC5B4-6044-4D80-A223-9F698F292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17</xdr:col>
      <xdr:colOff>588309</xdr:colOff>
      <xdr:row>409</xdr:row>
      <xdr:rowOff>133553</xdr:rowOff>
    </xdr:from>
    <xdr:to>
      <xdr:col>26</xdr:col>
      <xdr:colOff>159159</xdr:colOff>
      <xdr:row>432</xdr:row>
      <xdr:rowOff>105025</xdr:rowOff>
    </xdr:to>
    <xdr:graphicFrame macro="">
      <xdr:nvGraphicFramePr>
        <xdr:cNvPr id="55" name="Gráfico 21">
          <a:extLst>
            <a:ext uri="{FF2B5EF4-FFF2-40B4-BE49-F238E27FC236}">
              <a16:creationId xmlns:a16="http://schemas.microsoft.com/office/drawing/2014/main" id="{4BDDEE35-023D-46BF-BB64-C5D910D25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77161</xdr:colOff>
      <xdr:row>44</xdr:row>
      <xdr:rowOff>73959</xdr:rowOff>
    </xdr:from>
    <xdr:to>
      <xdr:col>7</xdr:col>
      <xdr:colOff>456918</xdr:colOff>
      <xdr:row>66</xdr:row>
      <xdr:rowOff>33375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521394</xdr:colOff>
      <xdr:row>44</xdr:row>
      <xdr:rowOff>85163</xdr:rowOff>
    </xdr:from>
    <xdr:to>
      <xdr:col>15</xdr:col>
      <xdr:colOff>288828</xdr:colOff>
      <xdr:row>66</xdr:row>
      <xdr:rowOff>44579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0</xdr:row>
      <xdr:rowOff>38100</xdr:rowOff>
    </xdr:from>
    <xdr:to>
      <xdr:col>7</xdr:col>
      <xdr:colOff>455957</xdr:colOff>
      <xdr:row>21</xdr:row>
      <xdr:rowOff>159441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F9027C4-C216-433E-AE20-A047BDF14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22</xdr:row>
      <xdr:rowOff>38100</xdr:rowOff>
    </xdr:from>
    <xdr:to>
      <xdr:col>7</xdr:col>
      <xdr:colOff>455957</xdr:colOff>
      <xdr:row>43</xdr:row>
      <xdr:rowOff>159441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2FD4272-97FB-4866-B160-B3C7FFE76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523875</xdr:colOff>
      <xdr:row>0</xdr:row>
      <xdr:rowOff>38100</xdr:rowOff>
    </xdr:from>
    <xdr:to>
      <xdr:col>15</xdr:col>
      <xdr:colOff>291309</xdr:colOff>
      <xdr:row>21</xdr:row>
      <xdr:rowOff>159441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027AF6D-5C4D-4B7E-9B55-D3F67D5E9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523875</xdr:colOff>
      <xdr:row>22</xdr:row>
      <xdr:rowOff>47625</xdr:rowOff>
    </xdr:from>
    <xdr:to>
      <xdr:col>15</xdr:col>
      <xdr:colOff>291309</xdr:colOff>
      <xdr:row>44</xdr:row>
      <xdr:rowOff>7041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F5919E-4D2A-4311-9A13-4C1F72539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18491</xdr:colOff>
      <xdr:row>40</xdr:row>
      <xdr:rowOff>82363</xdr:rowOff>
    </xdr:from>
    <xdr:to>
      <xdr:col>8</xdr:col>
      <xdr:colOff>533961</xdr:colOff>
      <xdr:row>60</xdr:row>
      <xdr:rowOff>59951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586629</xdr:colOff>
      <xdr:row>40</xdr:row>
      <xdr:rowOff>80682</xdr:rowOff>
    </xdr:from>
    <xdr:to>
      <xdr:col>16</xdr:col>
      <xdr:colOff>911599</xdr:colOff>
      <xdr:row>60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0</xdr:row>
      <xdr:rowOff>57150</xdr:rowOff>
    </xdr:from>
    <xdr:to>
      <xdr:col>8</xdr:col>
      <xdr:colOff>534520</xdr:colOff>
      <xdr:row>20</xdr:row>
      <xdr:rowOff>34738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0B58279-D73C-4D9C-BBED-DA0A6963A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</xdr:colOff>
      <xdr:row>20</xdr:row>
      <xdr:rowOff>57150</xdr:rowOff>
    </xdr:from>
    <xdr:to>
      <xdr:col>8</xdr:col>
      <xdr:colOff>534520</xdr:colOff>
      <xdr:row>40</xdr:row>
      <xdr:rowOff>34738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4CAFB66-02C4-415C-9432-006F5FA06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571500</xdr:colOff>
      <xdr:row>0</xdr:row>
      <xdr:rowOff>38100</xdr:rowOff>
    </xdr:from>
    <xdr:to>
      <xdr:col>16</xdr:col>
      <xdr:colOff>896470</xdr:colOff>
      <xdr:row>20</xdr:row>
      <xdr:rowOff>15688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CCFA473-37E7-4D3E-871D-13D699217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571500</xdr:colOff>
      <xdr:row>20</xdr:row>
      <xdr:rowOff>47625</xdr:rowOff>
    </xdr:from>
    <xdr:to>
      <xdr:col>16</xdr:col>
      <xdr:colOff>896470</xdr:colOff>
      <xdr:row>40</xdr:row>
      <xdr:rowOff>25213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FFEF4-179D-4471-9930-BF1F5C238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41</xdr:row>
      <xdr:rowOff>19050</xdr:rowOff>
    </xdr:from>
    <xdr:to>
      <xdr:col>6</xdr:col>
      <xdr:colOff>266699</xdr:colOff>
      <xdr:row>61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304799</xdr:colOff>
      <xdr:row>41</xdr:row>
      <xdr:rowOff>19050</xdr:rowOff>
    </xdr:from>
    <xdr:to>
      <xdr:col>12</xdr:col>
      <xdr:colOff>561973</xdr:colOff>
      <xdr:row>61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36636</xdr:colOff>
      <xdr:row>0</xdr:row>
      <xdr:rowOff>36634</xdr:rowOff>
    </xdr:from>
    <xdr:to>
      <xdr:col>6</xdr:col>
      <xdr:colOff>265235</xdr:colOff>
      <xdr:row>20</xdr:row>
      <xdr:rowOff>65209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3706B46-CF38-44F4-B9CF-115652C38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35718</xdr:colOff>
      <xdr:row>20</xdr:row>
      <xdr:rowOff>113108</xdr:rowOff>
    </xdr:from>
    <xdr:to>
      <xdr:col>6</xdr:col>
      <xdr:colOff>264317</xdr:colOff>
      <xdr:row>40</xdr:row>
      <xdr:rowOff>141684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A7B95A4-134D-4FE3-B34A-DC4CE9B35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304800</xdr:colOff>
      <xdr:row>0</xdr:row>
      <xdr:rowOff>38100</xdr:rowOff>
    </xdr:from>
    <xdr:to>
      <xdr:col>12</xdr:col>
      <xdr:colOff>561974</xdr:colOff>
      <xdr:row>20</xdr:row>
      <xdr:rowOff>66675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0D98DCA-240F-4FF6-9301-369F11AAA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308741</xdr:colOff>
      <xdr:row>20</xdr:row>
      <xdr:rowOff>105103</xdr:rowOff>
    </xdr:from>
    <xdr:to>
      <xdr:col>12</xdr:col>
      <xdr:colOff>565915</xdr:colOff>
      <xdr:row>40</xdr:row>
      <xdr:rowOff>133677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2029214-1009-49F2-80B2-1C30F8E20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152400</xdr:rowOff>
    </xdr:from>
    <xdr:to>
      <xdr:col>12</xdr:col>
      <xdr:colOff>94350</xdr:colOff>
      <xdr:row>23</xdr:row>
      <xdr:rowOff>10050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6CFE804-FA68-453B-846C-0E5B48303D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550" y="31432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581025</xdr:colOff>
      <xdr:row>1</xdr:row>
      <xdr:rowOff>133350</xdr:rowOff>
    </xdr:from>
    <xdr:to>
      <xdr:col>25</xdr:col>
      <xdr:colOff>465826</xdr:colOff>
      <xdr:row>22</xdr:row>
      <xdr:rowOff>152925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02F907C-FE9C-422A-91EA-0CE675544A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5825" y="295275"/>
              <a:ext cx="720000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200025</xdr:colOff>
      <xdr:row>24</xdr:row>
      <xdr:rowOff>9525</xdr:rowOff>
    </xdr:from>
    <xdr:to>
      <xdr:col>12</xdr:col>
      <xdr:colOff>84825</xdr:colOff>
      <xdr:row>45</xdr:row>
      <xdr:rowOff>29100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A2A970A-0BF4-47F8-8BE3-7D4D2AA94F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5" y="389572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523875</xdr:colOff>
      <xdr:row>24</xdr:row>
      <xdr:rowOff>0</xdr:rowOff>
    </xdr:from>
    <xdr:to>
      <xdr:col>25</xdr:col>
      <xdr:colOff>408676</xdr:colOff>
      <xdr:row>45</xdr:row>
      <xdr:rowOff>19575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A91134F-9705-4261-B134-B955E5F95E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48675" y="3886200"/>
              <a:ext cx="720000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46</xdr:row>
      <xdr:rowOff>142875</xdr:rowOff>
    </xdr:from>
    <xdr:to>
      <xdr:col>12</xdr:col>
      <xdr:colOff>65775</xdr:colOff>
      <xdr:row>68</xdr:row>
      <xdr:rowOff>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CED865B-765F-497A-AA39-5A45ECA01B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759142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409575</xdr:colOff>
      <xdr:row>46</xdr:row>
      <xdr:rowOff>142875</xdr:rowOff>
    </xdr:from>
    <xdr:to>
      <xdr:col>25</xdr:col>
      <xdr:colOff>294376</xdr:colOff>
      <xdr:row>68</xdr:row>
      <xdr:rowOff>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2B4C6F0C-EF01-4D40-9307-DADFAE46EC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34375" y="7591425"/>
              <a:ext cx="720000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171450</xdr:colOff>
      <xdr:row>69</xdr:row>
      <xdr:rowOff>0</xdr:rowOff>
    </xdr:from>
    <xdr:to>
      <xdr:col>12</xdr:col>
      <xdr:colOff>56250</xdr:colOff>
      <xdr:row>90</xdr:row>
      <xdr:rowOff>19575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B450FF76-E7C9-40D2-BA62-FDE9F9CF40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50" y="1117282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342900</xdr:colOff>
      <xdr:row>69</xdr:row>
      <xdr:rowOff>0</xdr:rowOff>
    </xdr:from>
    <xdr:to>
      <xdr:col>25</xdr:col>
      <xdr:colOff>227701</xdr:colOff>
      <xdr:row>90</xdr:row>
      <xdr:rowOff>19575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366A7784-DE84-49DB-B68E-D8CDA0D4A8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7700" y="11172825"/>
              <a:ext cx="720000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91</xdr:row>
      <xdr:rowOff>0</xdr:rowOff>
    </xdr:from>
    <xdr:to>
      <xdr:col>12</xdr:col>
      <xdr:colOff>75300</xdr:colOff>
      <xdr:row>112</xdr:row>
      <xdr:rowOff>19575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0C0F5EDE-570B-497C-91B8-F9DDAA0100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" y="1473517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228600</xdr:colOff>
      <xdr:row>90</xdr:row>
      <xdr:rowOff>142875</xdr:rowOff>
    </xdr:from>
    <xdr:to>
      <xdr:col>25</xdr:col>
      <xdr:colOff>113401</xdr:colOff>
      <xdr:row>112</xdr:row>
      <xdr:rowOff>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49991F87-F2A2-4E7E-A194-16C60A4E7E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53400" y="14716125"/>
              <a:ext cx="720000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219075</xdr:colOff>
      <xdr:row>112</xdr:row>
      <xdr:rowOff>142875</xdr:rowOff>
    </xdr:from>
    <xdr:to>
      <xdr:col>12</xdr:col>
      <xdr:colOff>103875</xdr:colOff>
      <xdr:row>134</xdr:row>
      <xdr:rowOff>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BFEBAACD-4828-4655-9F57-68F8145DE4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" y="1827847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112</xdr:row>
      <xdr:rowOff>123825</xdr:rowOff>
    </xdr:from>
    <xdr:to>
      <xdr:col>24</xdr:col>
      <xdr:colOff>494401</xdr:colOff>
      <xdr:row>133</xdr:row>
      <xdr:rowOff>143400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DFF15F82-1424-4D10-8452-C569020A33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18259425"/>
              <a:ext cx="720000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136</xdr:row>
      <xdr:rowOff>117475</xdr:rowOff>
    </xdr:from>
    <xdr:to>
      <xdr:col>12</xdr:col>
      <xdr:colOff>189600</xdr:colOff>
      <xdr:row>157</xdr:row>
      <xdr:rowOff>137050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76A656D4-6C3B-4E49-BB5C-C46A19AE6C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" y="2213927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31750</xdr:colOff>
      <xdr:row>136</xdr:row>
      <xdr:rowOff>101600</xdr:rowOff>
    </xdr:from>
    <xdr:to>
      <xdr:col>24</xdr:col>
      <xdr:colOff>519801</xdr:colOff>
      <xdr:row>157</xdr:row>
      <xdr:rowOff>110352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59E8ED94-94BF-4AC5-8E9F-C6B9A2BAD7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6550" y="22123400"/>
              <a:ext cx="7193651" cy="34091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266700</xdr:colOff>
      <xdr:row>158</xdr:row>
      <xdr:rowOff>152400</xdr:rowOff>
    </xdr:from>
    <xdr:to>
      <xdr:col>12</xdr:col>
      <xdr:colOff>151500</xdr:colOff>
      <xdr:row>180</xdr:row>
      <xdr:rowOff>2402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0C150A58-EF30-4567-AF15-6B0973584C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25736550"/>
              <a:ext cx="7200000" cy="34123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66675</xdr:colOff>
      <xdr:row>158</xdr:row>
      <xdr:rowOff>117475</xdr:rowOff>
    </xdr:from>
    <xdr:to>
      <xdr:col>24</xdr:col>
      <xdr:colOff>554726</xdr:colOff>
      <xdr:row>179</xdr:row>
      <xdr:rowOff>121185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79C63F31-B48B-4A38-9584-6F664C4564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91475" y="25701625"/>
              <a:ext cx="7193651" cy="34041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184150</xdr:colOff>
      <xdr:row>180</xdr:row>
      <xdr:rowOff>136525</xdr:rowOff>
    </xdr:from>
    <xdr:to>
      <xdr:col>12</xdr:col>
      <xdr:colOff>68950</xdr:colOff>
      <xdr:row>202</xdr:row>
      <xdr:rowOff>3980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2BAF9C3A-E5FB-410D-AA83-80EE7883BB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" y="29283025"/>
              <a:ext cx="7200000" cy="34298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568325</xdr:colOff>
      <xdr:row>180</xdr:row>
      <xdr:rowOff>120650</xdr:rowOff>
    </xdr:from>
    <xdr:to>
      <xdr:col>24</xdr:col>
      <xdr:colOff>453126</xdr:colOff>
      <xdr:row>201</xdr:row>
      <xdr:rowOff>129402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2537AF02-6B44-4758-AE25-39723F610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83525" y="29267150"/>
              <a:ext cx="7200001" cy="34091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149225</xdr:colOff>
      <xdr:row>203</xdr:row>
      <xdr:rowOff>95250</xdr:rowOff>
    </xdr:from>
    <xdr:to>
      <xdr:col>12</xdr:col>
      <xdr:colOff>34025</xdr:colOff>
      <xdr:row>224</xdr:row>
      <xdr:rowOff>121455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533E2A7B-767B-42A7-8A5B-53670C415C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225" y="32966025"/>
              <a:ext cx="7200000" cy="3426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15875</xdr:colOff>
      <xdr:row>203</xdr:row>
      <xdr:rowOff>111125</xdr:rowOff>
    </xdr:from>
    <xdr:to>
      <xdr:col>24</xdr:col>
      <xdr:colOff>510276</xdr:colOff>
      <xdr:row>224</xdr:row>
      <xdr:rowOff>140505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7AC3BE3-97EA-4DD5-9445-6945D7A52F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40675" y="32981900"/>
              <a:ext cx="7200001" cy="34298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161925</xdr:colOff>
      <xdr:row>226</xdr:row>
      <xdr:rowOff>25400</xdr:rowOff>
    </xdr:from>
    <xdr:to>
      <xdr:col>12</xdr:col>
      <xdr:colOff>46725</xdr:colOff>
      <xdr:row>247</xdr:row>
      <xdr:rowOff>51325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54A4A2BB-142E-4F10-B64A-471DB058BC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" y="36620450"/>
              <a:ext cx="7200000" cy="342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31750</xdr:colOff>
      <xdr:row>226</xdr:row>
      <xdr:rowOff>0</xdr:rowOff>
    </xdr:from>
    <xdr:to>
      <xdr:col>24</xdr:col>
      <xdr:colOff>526151</xdr:colOff>
      <xdr:row>247</xdr:row>
      <xdr:rowOff>29100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75F79A79-116A-4A12-AD1C-7C61E211FB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6550" y="36595050"/>
              <a:ext cx="7200001" cy="3429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155575</xdr:colOff>
      <xdr:row>249</xdr:row>
      <xdr:rowOff>47625</xdr:rowOff>
    </xdr:from>
    <xdr:to>
      <xdr:col>12</xdr:col>
      <xdr:colOff>40375</xdr:colOff>
      <xdr:row>270</xdr:row>
      <xdr:rowOff>91294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0C49EDEA-3E32-4364-B68E-5722FD78B5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575" y="40366950"/>
              <a:ext cx="7200000" cy="3444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19050</xdr:colOff>
      <xdr:row>249</xdr:row>
      <xdr:rowOff>152400</xdr:rowOff>
    </xdr:from>
    <xdr:to>
      <xdr:col>24</xdr:col>
      <xdr:colOff>513451</xdr:colOff>
      <xdr:row>271</xdr:row>
      <xdr:rowOff>37319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B7D10F77-E195-438C-902B-4A3C1F01DA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43850" y="40471725"/>
              <a:ext cx="7200001" cy="34472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200025</xdr:colOff>
      <xdr:row>274</xdr:row>
      <xdr:rowOff>9525</xdr:rowOff>
    </xdr:from>
    <xdr:to>
      <xdr:col>12</xdr:col>
      <xdr:colOff>84825</xdr:colOff>
      <xdr:row>295</xdr:row>
      <xdr:rowOff>29100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47962D18-55A5-4B6B-A044-D365F45CDF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5" y="44376975"/>
              <a:ext cx="7200000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15875</xdr:colOff>
      <xdr:row>274</xdr:row>
      <xdr:rowOff>79375</xdr:rowOff>
    </xdr:from>
    <xdr:to>
      <xdr:col>24</xdr:col>
      <xdr:colOff>510276</xdr:colOff>
      <xdr:row>295</xdr:row>
      <xdr:rowOff>102351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559C33B9-0734-42F6-A78A-31594F45C0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40675" y="44446825"/>
              <a:ext cx="7200001" cy="3423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174625</xdr:colOff>
      <xdr:row>297</xdr:row>
      <xdr:rowOff>127000</xdr:rowOff>
    </xdr:from>
    <xdr:to>
      <xdr:col>12</xdr:col>
      <xdr:colOff>59425</xdr:colOff>
      <xdr:row>318</xdr:row>
      <xdr:rowOff>143399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CF44FEF0-90C7-4BCF-B721-3DCF928A2E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625" y="48218725"/>
              <a:ext cx="7200000" cy="3416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12700</xdr:colOff>
      <xdr:row>298</xdr:row>
      <xdr:rowOff>0</xdr:rowOff>
    </xdr:from>
    <xdr:to>
      <xdr:col>24</xdr:col>
      <xdr:colOff>500751</xdr:colOff>
      <xdr:row>319</xdr:row>
      <xdr:rowOff>19574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18837207-6DD5-4815-B04F-86B4E5EE01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37500" y="48253650"/>
              <a:ext cx="7193651" cy="3419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320</xdr:row>
      <xdr:rowOff>111125</xdr:rowOff>
    </xdr:from>
    <xdr:to>
      <xdr:col>24</xdr:col>
      <xdr:colOff>494401</xdr:colOff>
      <xdr:row>341</xdr:row>
      <xdr:rowOff>130701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A80A83CC-78B4-4A24-93AC-2895B3F19B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51927125"/>
              <a:ext cx="7200001" cy="342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149225</xdr:colOff>
      <xdr:row>320</xdr:row>
      <xdr:rowOff>79375</xdr:rowOff>
    </xdr:from>
    <xdr:to>
      <xdr:col>11</xdr:col>
      <xdr:colOff>571501</xdr:colOff>
      <xdr:row>341</xdr:row>
      <xdr:rowOff>98951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3812CE94-5DF4-44B2-A219-C72643D99D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225" y="51895375"/>
              <a:ext cx="7127876" cy="342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142875</xdr:colOff>
      <xdr:row>344</xdr:row>
      <xdr:rowOff>73025</xdr:rowOff>
    </xdr:from>
    <xdr:to>
      <xdr:col>12</xdr:col>
      <xdr:colOff>27675</xdr:colOff>
      <xdr:row>365</xdr:row>
      <xdr:rowOff>95487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BE688481-BA18-41A1-ACD5-9DECD865E6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5" y="55775225"/>
              <a:ext cx="7200000" cy="3422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9525</xdr:colOff>
      <xdr:row>344</xdr:row>
      <xdr:rowOff>136525</xdr:rowOff>
    </xdr:from>
    <xdr:to>
      <xdr:col>24</xdr:col>
      <xdr:colOff>503926</xdr:colOff>
      <xdr:row>365</xdr:row>
      <xdr:rowOff>152926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1170121F-7C21-4812-9A42-B2F7E2D585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34325" y="55838725"/>
              <a:ext cx="7200001" cy="34168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367</xdr:row>
      <xdr:rowOff>57150</xdr:rowOff>
    </xdr:from>
    <xdr:to>
      <xdr:col>11</xdr:col>
      <xdr:colOff>488050</xdr:colOff>
      <xdr:row>388</xdr:row>
      <xdr:rowOff>73550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4" name="Chart 33">
              <a:extLst>
                <a:ext uri="{FF2B5EF4-FFF2-40B4-BE49-F238E27FC236}">
                  <a16:creationId xmlns:a16="http://schemas.microsoft.com/office/drawing/2014/main" id="{C97EB458-209B-4C40-B92D-470135B216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9483625"/>
              <a:ext cx="7193650" cy="3416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587375</xdr:colOff>
      <xdr:row>367</xdr:row>
      <xdr:rowOff>127000</xdr:rowOff>
    </xdr:from>
    <xdr:to>
      <xdr:col>24</xdr:col>
      <xdr:colOff>478526</xdr:colOff>
      <xdr:row>388</xdr:row>
      <xdr:rowOff>146575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5" name="Chart 34">
              <a:extLst>
                <a:ext uri="{FF2B5EF4-FFF2-40B4-BE49-F238E27FC236}">
                  <a16:creationId xmlns:a16="http://schemas.microsoft.com/office/drawing/2014/main" id="{8820C9AF-75DE-4995-A387-85F3B033E3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2575" y="59553475"/>
              <a:ext cx="7206351" cy="34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117475</xdr:colOff>
      <xdr:row>390</xdr:row>
      <xdr:rowOff>57150</xdr:rowOff>
    </xdr:from>
    <xdr:to>
      <xdr:col>12</xdr:col>
      <xdr:colOff>2275</xdr:colOff>
      <xdr:row>411</xdr:row>
      <xdr:rowOff>77745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6" name="Chart 35">
              <a:extLst>
                <a:ext uri="{FF2B5EF4-FFF2-40B4-BE49-F238E27FC236}">
                  <a16:creationId xmlns:a16="http://schemas.microsoft.com/office/drawing/2014/main" id="{6FB9F5F8-56D3-4D23-91FC-63636702FA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75" y="63207900"/>
              <a:ext cx="7200000" cy="3421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390</xdr:row>
      <xdr:rowOff>142875</xdr:rowOff>
    </xdr:from>
    <xdr:to>
      <xdr:col>24</xdr:col>
      <xdr:colOff>494401</xdr:colOff>
      <xdr:row>412</xdr:row>
      <xdr:rowOff>3700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7" name="Chart 36">
              <a:extLst>
                <a:ext uri="{FF2B5EF4-FFF2-40B4-BE49-F238E27FC236}">
                  <a16:creationId xmlns:a16="http://schemas.microsoft.com/office/drawing/2014/main" id="{9219123B-57E7-4E18-9F56-F8513B02F1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0" y="63293625"/>
              <a:ext cx="7200001" cy="3423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28575</xdr:rowOff>
    </xdr:from>
    <xdr:to>
      <xdr:col>9</xdr:col>
      <xdr:colOff>69325</xdr:colOff>
      <xdr:row>24</xdr:row>
      <xdr:rowOff>120065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8BFE93E7-DA4C-49F2-A76E-7B449150D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</xdr:row>
      <xdr:rowOff>133350</xdr:rowOff>
    </xdr:from>
    <xdr:to>
      <xdr:col>18</xdr:col>
      <xdr:colOff>164575</xdr:colOff>
      <xdr:row>24</xdr:row>
      <xdr:rowOff>62915</xdr:rowOff>
    </xdr:to>
    <xdr:graphicFrame macro="">
      <xdr:nvGraphicFramePr>
        <xdr:cNvPr id="3" name="Gráfico 14">
          <a:extLst>
            <a:ext uri="{FF2B5EF4-FFF2-40B4-BE49-F238E27FC236}">
              <a16:creationId xmlns:a16="http://schemas.microsoft.com/office/drawing/2014/main" id="{FB5C0A5C-126C-4993-A98B-B54EEBDA6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571500</xdr:colOff>
      <xdr:row>1</xdr:row>
      <xdr:rowOff>133350</xdr:rowOff>
    </xdr:from>
    <xdr:to>
      <xdr:col>27</xdr:col>
      <xdr:colOff>129939</xdr:colOff>
      <xdr:row>24</xdr:row>
      <xdr:rowOff>43865</xdr:rowOff>
    </xdr:to>
    <xdr:graphicFrame macro="">
      <xdr:nvGraphicFramePr>
        <xdr:cNvPr id="4" name="Gráfico 15">
          <a:extLst>
            <a:ext uri="{FF2B5EF4-FFF2-40B4-BE49-F238E27FC236}">
              <a16:creationId xmlns:a16="http://schemas.microsoft.com/office/drawing/2014/main" id="{36976B9B-005D-4188-A8DA-37FB717BB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26</xdr:row>
      <xdr:rowOff>59991</xdr:rowOff>
    </xdr:from>
    <xdr:to>
      <xdr:col>9</xdr:col>
      <xdr:colOff>174100</xdr:colOff>
      <xdr:row>48</xdr:row>
      <xdr:rowOff>140686</xdr:rowOff>
    </xdr:to>
    <xdr:graphicFrame macro="">
      <xdr:nvGraphicFramePr>
        <xdr:cNvPr id="5" name="Gráfico 13">
          <a:extLst>
            <a:ext uri="{FF2B5EF4-FFF2-40B4-BE49-F238E27FC236}">
              <a16:creationId xmlns:a16="http://schemas.microsoft.com/office/drawing/2014/main" id="{898C8BC6-897C-4E22-9807-E63EE3B69E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298074</xdr:colOff>
      <xdr:row>26</xdr:row>
      <xdr:rowOff>66894</xdr:rowOff>
    </xdr:from>
    <xdr:to>
      <xdr:col>17</xdr:col>
      <xdr:colOff>453124</xdr:colOff>
      <xdr:row>48</xdr:row>
      <xdr:rowOff>138064</xdr:rowOff>
    </xdr:to>
    <xdr:graphicFrame macro="">
      <xdr:nvGraphicFramePr>
        <xdr:cNvPr id="6" name="Gráfico 14">
          <a:extLst>
            <a:ext uri="{FF2B5EF4-FFF2-40B4-BE49-F238E27FC236}">
              <a16:creationId xmlns:a16="http://schemas.microsoft.com/office/drawing/2014/main" id="{29EB1C61-B18B-4647-939A-C87A3A10F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558764</xdr:colOff>
      <xdr:row>26</xdr:row>
      <xdr:rowOff>38100</xdr:rowOff>
    </xdr:from>
    <xdr:to>
      <xdr:col>26</xdr:col>
      <xdr:colOff>104214</xdr:colOff>
      <xdr:row>48</xdr:row>
      <xdr:rowOff>136113</xdr:rowOff>
    </xdr:to>
    <xdr:graphicFrame macro="">
      <xdr:nvGraphicFramePr>
        <xdr:cNvPr id="7" name="Gráfico 15">
          <a:extLst>
            <a:ext uri="{FF2B5EF4-FFF2-40B4-BE49-F238E27FC236}">
              <a16:creationId xmlns:a16="http://schemas.microsoft.com/office/drawing/2014/main" id="{4DA83122-65B6-440C-84E8-52D71E8D9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9</xdr:col>
      <xdr:colOff>164575</xdr:colOff>
      <xdr:row>72</xdr:row>
      <xdr:rowOff>93061</xdr:rowOff>
    </xdr:to>
    <xdr:graphicFrame macro="">
      <xdr:nvGraphicFramePr>
        <xdr:cNvPr id="8" name="Gráfico 16">
          <a:extLst>
            <a:ext uri="{FF2B5EF4-FFF2-40B4-BE49-F238E27FC236}">
              <a16:creationId xmlns:a16="http://schemas.microsoft.com/office/drawing/2014/main" id="{5620BF52-B2B9-4338-A8CC-E402EE468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268074</xdr:colOff>
      <xdr:row>50</xdr:row>
      <xdr:rowOff>0</xdr:rowOff>
    </xdr:from>
    <xdr:to>
      <xdr:col>17</xdr:col>
      <xdr:colOff>423124</xdr:colOff>
      <xdr:row>72</xdr:row>
      <xdr:rowOff>93061</xdr:rowOff>
    </xdr:to>
    <xdr:graphicFrame macro="">
      <xdr:nvGraphicFramePr>
        <xdr:cNvPr id="9" name="Gráfico 17">
          <a:extLst>
            <a:ext uri="{FF2B5EF4-FFF2-40B4-BE49-F238E27FC236}">
              <a16:creationId xmlns:a16="http://schemas.microsoft.com/office/drawing/2014/main" id="{B2698BF1-086B-4331-8E4F-60D02202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508703</xdr:colOff>
      <xdr:row>50</xdr:row>
      <xdr:rowOff>1</xdr:rowOff>
    </xdr:from>
    <xdr:to>
      <xdr:col>26</xdr:col>
      <xdr:colOff>67142</xdr:colOff>
      <xdr:row>72</xdr:row>
      <xdr:rowOff>93062</xdr:rowOff>
    </xdr:to>
    <xdr:graphicFrame macro="">
      <xdr:nvGraphicFramePr>
        <xdr:cNvPr id="10" name="Gráfico 18">
          <a:extLst>
            <a:ext uri="{FF2B5EF4-FFF2-40B4-BE49-F238E27FC236}">
              <a16:creationId xmlns:a16="http://schemas.microsoft.com/office/drawing/2014/main" id="{C1955B37-C21B-4709-AC11-DFC74C384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9</xdr:col>
      <xdr:colOff>164575</xdr:colOff>
      <xdr:row>95</xdr:row>
      <xdr:rowOff>128219</xdr:rowOff>
    </xdr:to>
    <xdr:graphicFrame macro="">
      <xdr:nvGraphicFramePr>
        <xdr:cNvPr id="11" name="Gráfico 16">
          <a:extLst>
            <a:ext uri="{FF2B5EF4-FFF2-40B4-BE49-F238E27FC236}">
              <a16:creationId xmlns:a16="http://schemas.microsoft.com/office/drawing/2014/main" id="{006A1A10-9D60-4CE8-B981-8134C6086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268072</xdr:colOff>
      <xdr:row>74</xdr:row>
      <xdr:rowOff>0</xdr:rowOff>
    </xdr:from>
    <xdr:to>
      <xdr:col>17</xdr:col>
      <xdr:colOff>423122</xdr:colOff>
      <xdr:row>95</xdr:row>
      <xdr:rowOff>128219</xdr:rowOff>
    </xdr:to>
    <xdr:graphicFrame macro="">
      <xdr:nvGraphicFramePr>
        <xdr:cNvPr id="12" name="Gráfico 17">
          <a:extLst>
            <a:ext uri="{FF2B5EF4-FFF2-40B4-BE49-F238E27FC236}">
              <a16:creationId xmlns:a16="http://schemas.microsoft.com/office/drawing/2014/main" id="{15D4C28A-1121-4916-9425-BE38855E19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508702</xdr:colOff>
      <xdr:row>74</xdr:row>
      <xdr:rowOff>1</xdr:rowOff>
    </xdr:from>
    <xdr:to>
      <xdr:col>26</xdr:col>
      <xdr:colOff>67141</xdr:colOff>
      <xdr:row>95</xdr:row>
      <xdr:rowOff>128220</xdr:rowOff>
    </xdr:to>
    <xdr:graphicFrame macro="">
      <xdr:nvGraphicFramePr>
        <xdr:cNvPr id="13" name="Gráfico 18">
          <a:extLst>
            <a:ext uri="{FF2B5EF4-FFF2-40B4-BE49-F238E27FC236}">
              <a16:creationId xmlns:a16="http://schemas.microsoft.com/office/drawing/2014/main" id="{B8D768C0-354E-4663-8B95-E9387C3C2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97</xdr:row>
      <xdr:rowOff>26801</xdr:rowOff>
    </xdr:from>
    <xdr:to>
      <xdr:col>9</xdr:col>
      <xdr:colOff>164575</xdr:colOff>
      <xdr:row>119</xdr:row>
      <xdr:rowOff>18207</xdr:rowOff>
    </xdr:to>
    <xdr:graphicFrame macro="">
      <xdr:nvGraphicFramePr>
        <xdr:cNvPr id="14" name="Gráfico 19">
          <a:extLst>
            <a:ext uri="{FF2B5EF4-FFF2-40B4-BE49-F238E27FC236}">
              <a16:creationId xmlns:a16="http://schemas.microsoft.com/office/drawing/2014/main" id="{82342037-ACF7-4AF4-898F-17F73A9C0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271762</xdr:colOff>
      <xdr:row>97</xdr:row>
      <xdr:rowOff>10824</xdr:rowOff>
    </xdr:from>
    <xdr:to>
      <xdr:col>17</xdr:col>
      <xdr:colOff>426812</xdr:colOff>
      <xdr:row>119</xdr:row>
      <xdr:rowOff>21280</xdr:rowOff>
    </xdr:to>
    <xdr:graphicFrame macro="">
      <xdr:nvGraphicFramePr>
        <xdr:cNvPr id="15" name="Gráfico 20">
          <a:extLst>
            <a:ext uri="{FF2B5EF4-FFF2-40B4-BE49-F238E27FC236}">
              <a16:creationId xmlns:a16="http://schemas.microsoft.com/office/drawing/2014/main" id="{25A4C1D7-45B7-49E3-86F1-1AB6F9A9A9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514323</xdr:colOff>
      <xdr:row>97</xdr:row>
      <xdr:rowOff>0</xdr:rowOff>
    </xdr:from>
    <xdr:to>
      <xdr:col>26</xdr:col>
      <xdr:colOff>72762</xdr:colOff>
      <xdr:row>119</xdr:row>
      <xdr:rowOff>2230</xdr:rowOff>
    </xdr:to>
    <xdr:graphicFrame macro="">
      <xdr:nvGraphicFramePr>
        <xdr:cNvPr id="16" name="Gráfico 21">
          <a:extLst>
            <a:ext uri="{FF2B5EF4-FFF2-40B4-BE49-F238E27FC236}">
              <a16:creationId xmlns:a16="http://schemas.microsoft.com/office/drawing/2014/main" id="{0A0A6458-2649-4E6F-BE57-3B883D1F0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120</xdr:row>
      <xdr:rowOff>15977</xdr:rowOff>
    </xdr:from>
    <xdr:to>
      <xdr:col>9</xdr:col>
      <xdr:colOff>164575</xdr:colOff>
      <xdr:row>141</xdr:row>
      <xdr:rowOff>130188</xdr:rowOff>
    </xdr:to>
    <xdr:graphicFrame macro="">
      <xdr:nvGraphicFramePr>
        <xdr:cNvPr id="17" name="Gráfico 19">
          <a:extLst>
            <a:ext uri="{FF2B5EF4-FFF2-40B4-BE49-F238E27FC236}">
              <a16:creationId xmlns:a16="http://schemas.microsoft.com/office/drawing/2014/main" id="{D686B7E1-9BEA-4556-8FB6-5EA5F66B2E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271761</xdr:colOff>
      <xdr:row>120</xdr:row>
      <xdr:rowOff>0</xdr:rowOff>
    </xdr:from>
    <xdr:to>
      <xdr:col>17</xdr:col>
      <xdr:colOff>426811</xdr:colOff>
      <xdr:row>141</xdr:row>
      <xdr:rowOff>122437</xdr:rowOff>
    </xdr:to>
    <xdr:graphicFrame macro="">
      <xdr:nvGraphicFramePr>
        <xdr:cNvPr id="18" name="Gráfico 20">
          <a:extLst>
            <a:ext uri="{FF2B5EF4-FFF2-40B4-BE49-F238E27FC236}">
              <a16:creationId xmlns:a16="http://schemas.microsoft.com/office/drawing/2014/main" id="{5219B428-CCA1-4276-AEEF-85A10D927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514324</xdr:colOff>
      <xdr:row>120</xdr:row>
      <xdr:rowOff>0</xdr:rowOff>
    </xdr:from>
    <xdr:to>
      <xdr:col>26</xdr:col>
      <xdr:colOff>72763</xdr:colOff>
      <xdr:row>141</xdr:row>
      <xdr:rowOff>112912</xdr:rowOff>
    </xdr:to>
    <xdr:graphicFrame macro="">
      <xdr:nvGraphicFramePr>
        <xdr:cNvPr id="19" name="Gráfico 21">
          <a:extLst>
            <a:ext uri="{FF2B5EF4-FFF2-40B4-BE49-F238E27FC236}">
              <a16:creationId xmlns:a16="http://schemas.microsoft.com/office/drawing/2014/main" id="{CE458401-D668-4526-A465-321860024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150</xdr:row>
      <xdr:rowOff>28577</xdr:rowOff>
    </xdr:from>
    <xdr:to>
      <xdr:col>9</xdr:col>
      <xdr:colOff>192284</xdr:colOff>
      <xdr:row>172</xdr:row>
      <xdr:rowOff>143808</xdr:rowOff>
    </xdr:to>
    <xdr:graphicFrame macro="">
      <xdr:nvGraphicFramePr>
        <xdr:cNvPr id="20" name="Gráfico 22">
          <a:extLst>
            <a:ext uri="{FF2B5EF4-FFF2-40B4-BE49-F238E27FC236}">
              <a16:creationId xmlns:a16="http://schemas.microsoft.com/office/drawing/2014/main" id="{CE4CBB46-7504-4293-86BB-88825F531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289719</xdr:colOff>
      <xdr:row>150</xdr:row>
      <xdr:rowOff>9525</xdr:rowOff>
    </xdr:from>
    <xdr:to>
      <xdr:col>17</xdr:col>
      <xdr:colOff>472478</xdr:colOff>
      <xdr:row>172</xdr:row>
      <xdr:rowOff>124756</xdr:rowOff>
    </xdr:to>
    <xdr:graphicFrame macro="">
      <xdr:nvGraphicFramePr>
        <xdr:cNvPr id="21" name="Gráfico 23">
          <a:extLst>
            <a:ext uri="{FF2B5EF4-FFF2-40B4-BE49-F238E27FC236}">
              <a16:creationId xmlns:a16="http://schemas.microsoft.com/office/drawing/2014/main" id="{280705EE-2D35-41D2-B3F1-61B804F0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561969</xdr:colOff>
      <xdr:row>150</xdr:row>
      <xdr:rowOff>0</xdr:rowOff>
    </xdr:from>
    <xdr:to>
      <xdr:col>26</xdr:col>
      <xdr:colOff>161106</xdr:colOff>
      <xdr:row>172</xdr:row>
      <xdr:rowOff>115231</xdr:rowOff>
    </xdr:to>
    <xdr:graphicFrame macro="">
      <xdr:nvGraphicFramePr>
        <xdr:cNvPr id="22" name="Gráfico 24">
          <a:extLst>
            <a:ext uri="{FF2B5EF4-FFF2-40B4-BE49-F238E27FC236}">
              <a16:creationId xmlns:a16="http://schemas.microsoft.com/office/drawing/2014/main" id="{3B8CD00F-C1AD-4DEE-BA43-ADA0EC84A4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571500</xdr:colOff>
      <xdr:row>174</xdr:row>
      <xdr:rowOff>41462</xdr:rowOff>
    </xdr:from>
    <xdr:to>
      <xdr:col>9</xdr:col>
      <xdr:colOff>166816</xdr:colOff>
      <xdr:row>196</xdr:row>
      <xdr:rowOff>129797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FF51A3A9-2C11-41F3-A762-26CECA431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272912</xdr:colOff>
      <xdr:row>174</xdr:row>
      <xdr:rowOff>22412</xdr:rowOff>
    </xdr:from>
    <xdr:to>
      <xdr:col>17</xdr:col>
      <xdr:colOff>463821</xdr:colOff>
      <xdr:row>196</xdr:row>
      <xdr:rowOff>110747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238F1FD-AD59-464E-A016-61353C823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17</xdr:col>
      <xdr:colOff>565311</xdr:colOff>
      <xdr:row>174</xdr:row>
      <xdr:rowOff>30205</xdr:rowOff>
    </xdr:from>
    <xdr:to>
      <xdr:col>26</xdr:col>
      <xdr:colOff>154566</xdr:colOff>
      <xdr:row>196</xdr:row>
      <xdr:rowOff>118540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739AF1CF-08EA-4571-A5FB-0A8EA45F4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582707</xdr:colOff>
      <xdr:row>198</xdr:row>
      <xdr:rowOff>67235</xdr:rowOff>
    </xdr:from>
    <xdr:to>
      <xdr:col>9</xdr:col>
      <xdr:colOff>178023</xdr:colOff>
      <xdr:row>220</xdr:row>
      <xdr:rowOff>84475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C4F3D840-0D67-4E96-85A5-53A171FEC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284984</xdr:colOff>
      <xdr:row>198</xdr:row>
      <xdr:rowOff>67235</xdr:rowOff>
    </xdr:from>
    <xdr:to>
      <xdr:col>17</xdr:col>
      <xdr:colOff>475893</xdr:colOff>
      <xdr:row>220</xdr:row>
      <xdr:rowOff>84475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E04E59F6-EFBA-40EA-AFE3-D93A93A4C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17</xdr:col>
      <xdr:colOff>595690</xdr:colOff>
      <xdr:row>198</xdr:row>
      <xdr:rowOff>67235</xdr:rowOff>
    </xdr:from>
    <xdr:to>
      <xdr:col>26</xdr:col>
      <xdr:colOff>181481</xdr:colOff>
      <xdr:row>220</xdr:row>
      <xdr:rowOff>65425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61F95A02-C493-4BA1-9E46-821D54D77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582707</xdr:colOff>
      <xdr:row>221</xdr:row>
      <xdr:rowOff>24286</xdr:rowOff>
    </xdr:from>
    <xdr:to>
      <xdr:col>9</xdr:col>
      <xdr:colOff>178023</xdr:colOff>
      <xdr:row>243</xdr:row>
      <xdr:rowOff>117105</xdr:rowOff>
    </xdr:to>
    <xdr:graphicFrame macro="">
      <xdr:nvGraphicFramePr>
        <xdr:cNvPr id="29" name="Gráfico 25">
          <a:extLst>
            <a:ext uri="{FF2B5EF4-FFF2-40B4-BE49-F238E27FC236}">
              <a16:creationId xmlns:a16="http://schemas.microsoft.com/office/drawing/2014/main" id="{65B1578A-C0E5-4AE2-9AC1-546D94D59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284989</xdr:colOff>
      <xdr:row>221</xdr:row>
      <xdr:rowOff>24286</xdr:rowOff>
    </xdr:from>
    <xdr:to>
      <xdr:col>17</xdr:col>
      <xdr:colOff>475898</xdr:colOff>
      <xdr:row>243</xdr:row>
      <xdr:rowOff>117105</xdr:rowOff>
    </xdr:to>
    <xdr:graphicFrame macro="">
      <xdr:nvGraphicFramePr>
        <xdr:cNvPr id="30" name="Gráfico 26">
          <a:extLst>
            <a:ext uri="{FF2B5EF4-FFF2-40B4-BE49-F238E27FC236}">
              <a16:creationId xmlns:a16="http://schemas.microsoft.com/office/drawing/2014/main" id="{0A763C5C-AAA4-4EE2-8385-94B262352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17</xdr:col>
      <xdr:colOff>595696</xdr:colOff>
      <xdr:row>221</xdr:row>
      <xdr:rowOff>5236</xdr:rowOff>
    </xdr:from>
    <xdr:to>
      <xdr:col>26</xdr:col>
      <xdr:colOff>181487</xdr:colOff>
      <xdr:row>243</xdr:row>
      <xdr:rowOff>107580</xdr:rowOff>
    </xdr:to>
    <xdr:graphicFrame macro="">
      <xdr:nvGraphicFramePr>
        <xdr:cNvPr id="31" name="Gráfico 27">
          <a:extLst>
            <a:ext uri="{FF2B5EF4-FFF2-40B4-BE49-F238E27FC236}">
              <a16:creationId xmlns:a16="http://schemas.microsoft.com/office/drawing/2014/main" id="{21576E94-578B-4DA8-9A16-BA4C00BF9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33618</xdr:colOff>
      <xdr:row>245</xdr:row>
      <xdr:rowOff>67236</xdr:rowOff>
    </xdr:from>
    <xdr:to>
      <xdr:col>9</xdr:col>
      <xdr:colOff>234052</xdr:colOff>
      <xdr:row>267</xdr:row>
      <xdr:rowOff>84475</xdr:rowOff>
    </xdr:to>
    <xdr:graphicFrame macro="">
      <xdr:nvGraphicFramePr>
        <xdr:cNvPr id="32" name="Gráfico 28">
          <a:extLst>
            <a:ext uri="{FF2B5EF4-FFF2-40B4-BE49-F238E27FC236}">
              <a16:creationId xmlns:a16="http://schemas.microsoft.com/office/drawing/2014/main" id="{2D6E3349-27F8-4492-AABB-4BA161DF1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356599</xdr:colOff>
      <xdr:row>245</xdr:row>
      <xdr:rowOff>67236</xdr:rowOff>
    </xdr:from>
    <xdr:to>
      <xdr:col>17</xdr:col>
      <xdr:colOff>547508</xdr:colOff>
      <xdr:row>267</xdr:row>
      <xdr:rowOff>84475</xdr:rowOff>
    </xdr:to>
    <xdr:graphicFrame macro="">
      <xdr:nvGraphicFramePr>
        <xdr:cNvPr id="33" name="Gráfico 29">
          <a:extLst>
            <a:ext uri="{FF2B5EF4-FFF2-40B4-BE49-F238E27FC236}">
              <a16:creationId xmlns:a16="http://schemas.microsoft.com/office/drawing/2014/main" id="{854A7C2B-006D-49C9-B9E4-57FAC4317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6769</xdr:colOff>
      <xdr:row>245</xdr:row>
      <xdr:rowOff>67236</xdr:rowOff>
    </xdr:from>
    <xdr:to>
      <xdr:col>26</xdr:col>
      <xdr:colOff>210667</xdr:colOff>
      <xdr:row>267</xdr:row>
      <xdr:rowOff>74950</xdr:rowOff>
    </xdr:to>
    <xdr:graphicFrame macro="">
      <xdr:nvGraphicFramePr>
        <xdr:cNvPr id="34" name="Gráfico 30">
          <a:extLst>
            <a:ext uri="{FF2B5EF4-FFF2-40B4-BE49-F238E27FC236}">
              <a16:creationId xmlns:a16="http://schemas.microsoft.com/office/drawing/2014/main" id="{3218CF14-A921-4BEE-AE5A-0F4EE5B06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</xdr:col>
      <xdr:colOff>33618</xdr:colOff>
      <xdr:row>268</xdr:row>
      <xdr:rowOff>54991</xdr:rowOff>
    </xdr:from>
    <xdr:to>
      <xdr:col>9</xdr:col>
      <xdr:colOff>234052</xdr:colOff>
      <xdr:row>290</xdr:row>
      <xdr:rowOff>151275</xdr:rowOff>
    </xdr:to>
    <xdr:graphicFrame macro="">
      <xdr:nvGraphicFramePr>
        <xdr:cNvPr id="35" name="Gráfico 28">
          <a:extLst>
            <a:ext uri="{FF2B5EF4-FFF2-40B4-BE49-F238E27FC236}">
              <a16:creationId xmlns:a16="http://schemas.microsoft.com/office/drawing/2014/main" id="{55D16EF6-48A3-437C-BAF3-1658A1ACB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356603</xdr:colOff>
      <xdr:row>268</xdr:row>
      <xdr:rowOff>54991</xdr:rowOff>
    </xdr:from>
    <xdr:to>
      <xdr:col>17</xdr:col>
      <xdr:colOff>547512</xdr:colOff>
      <xdr:row>290</xdr:row>
      <xdr:rowOff>151275</xdr:rowOff>
    </xdr:to>
    <xdr:graphicFrame macro="">
      <xdr:nvGraphicFramePr>
        <xdr:cNvPr id="36" name="Gráfico 29">
          <a:extLst>
            <a:ext uri="{FF2B5EF4-FFF2-40B4-BE49-F238E27FC236}">
              <a16:creationId xmlns:a16="http://schemas.microsoft.com/office/drawing/2014/main" id="{A599A0DB-DD9F-4A38-89CF-EDA0F132E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24092</xdr:colOff>
      <xdr:row>268</xdr:row>
      <xdr:rowOff>45466</xdr:rowOff>
    </xdr:from>
    <xdr:to>
      <xdr:col>26</xdr:col>
      <xdr:colOff>227990</xdr:colOff>
      <xdr:row>290</xdr:row>
      <xdr:rowOff>132225</xdr:rowOff>
    </xdr:to>
    <xdr:graphicFrame macro="">
      <xdr:nvGraphicFramePr>
        <xdr:cNvPr id="37" name="Gráfico 30">
          <a:extLst>
            <a:ext uri="{FF2B5EF4-FFF2-40B4-BE49-F238E27FC236}">
              <a16:creationId xmlns:a16="http://schemas.microsoft.com/office/drawing/2014/main" id="{1D58AD18-1138-4825-95D3-8D7B32F91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0</xdr:colOff>
      <xdr:row>297</xdr:row>
      <xdr:rowOff>14098</xdr:rowOff>
    </xdr:from>
    <xdr:to>
      <xdr:col>9</xdr:col>
      <xdr:colOff>200434</xdr:colOff>
      <xdr:row>319</xdr:row>
      <xdr:rowOff>106916</xdr:rowOff>
    </xdr:to>
    <xdr:graphicFrame macro="">
      <xdr:nvGraphicFramePr>
        <xdr:cNvPr id="38" name="Gráfico 13">
          <a:extLst>
            <a:ext uri="{FF2B5EF4-FFF2-40B4-BE49-F238E27FC236}">
              <a16:creationId xmlns:a16="http://schemas.microsoft.com/office/drawing/2014/main" id="{5F8BD857-9280-4A0F-ACED-CB6CEAE24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9</xdr:col>
      <xdr:colOff>326885</xdr:colOff>
      <xdr:row>297</xdr:row>
      <xdr:rowOff>11476</xdr:rowOff>
    </xdr:from>
    <xdr:to>
      <xdr:col>17</xdr:col>
      <xdr:colOff>517794</xdr:colOff>
      <xdr:row>319</xdr:row>
      <xdr:rowOff>104294</xdr:rowOff>
    </xdr:to>
    <xdr:graphicFrame macro="">
      <xdr:nvGraphicFramePr>
        <xdr:cNvPr id="39" name="Gráfico 14">
          <a:extLst>
            <a:ext uri="{FF2B5EF4-FFF2-40B4-BE49-F238E27FC236}">
              <a16:creationId xmlns:a16="http://schemas.microsoft.com/office/drawing/2014/main" id="{21DB9AE5-3D7C-413D-AD88-1C68B2E16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17</xdr:col>
      <xdr:colOff>595600</xdr:colOff>
      <xdr:row>297</xdr:row>
      <xdr:rowOff>0</xdr:rowOff>
    </xdr:from>
    <xdr:to>
      <xdr:col>26</xdr:col>
      <xdr:colOff>194380</xdr:colOff>
      <xdr:row>319</xdr:row>
      <xdr:rowOff>92818</xdr:rowOff>
    </xdr:to>
    <xdr:graphicFrame macro="">
      <xdr:nvGraphicFramePr>
        <xdr:cNvPr id="40" name="Gráfico 15">
          <a:extLst>
            <a:ext uri="{FF2B5EF4-FFF2-40B4-BE49-F238E27FC236}">
              <a16:creationId xmlns:a16="http://schemas.microsoft.com/office/drawing/2014/main" id="{12D6FFB6-FF14-4597-B274-15EAD2D20D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0</xdr:colOff>
      <xdr:row>320</xdr:row>
      <xdr:rowOff>67075</xdr:rowOff>
    </xdr:from>
    <xdr:to>
      <xdr:col>9</xdr:col>
      <xdr:colOff>200434</xdr:colOff>
      <xdr:row>343</xdr:row>
      <xdr:rowOff>1993</xdr:rowOff>
    </xdr:to>
    <xdr:graphicFrame macro="">
      <xdr:nvGraphicFramePr>
        <xdr:cNvPr id="41" name="Gráfico 13">
          <a:extLst>
            <a:ext uri="{FF2B5EF4-FFF2-40B4-BE49-F238E27FC236}">
              <a16:creationId xmlns:a16="http://schemas.microsoft.com/office/drawing/2014/main" id="{ABA7DCEC-FD21-4FBA-936F-76D4BCD825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</xdr:col>
      <xdr:colOff>326882</xdr:colOff>
      <xdr:row>320</xdr:row>
      <xdr:rowOff>64453</xdr:rowOff>
    </xdr:from>
    <xdr:to>
      <xdr:col>17</xdr:col>
      <xdr:colOff>517791</xdr:colOff>
      <xdr:row>342</xdr:row>
      <xdr:rowOff>156253</xdr:rowOff>
    </xdr:to>
    <xdr:graphicFrame macro="">
      <xdr:nvGraphicFramePr>
        <xdr:cNvPr id="42" name="Gráfico 14">
          <a:extLst>
            <a:ext uri="{FF2B5EF4-FFF2-40B4-BE49-F238E27FC236}">
              <a16:creationId xmlns:a16="http://schemas.microsoft.com/office/drawing/2014/main" id="{B3238494-8A5F-4BFB-A96D-29EE52E54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17</xdr:col>
      <xdr:colOff>595599</xdr:colOff>
      <xdr:row>320</xdr:row>
      <xdr:rowOff>51958</xdr:rowOff>
    </xdr:from>
    <xdr:to>
      <xdr:col>26</xdr:col>
      <xdr:colOff>194379</xdr:colOff>
      <xdr:row>342</xdr:row>
      <xdr:rowOff>144777</xdr:rowOff>
    </xdr:to>
    <xdr:graphicFrame macro="">
      <xdr:nvGraphicFramePr>
        <xdr:cNvPr id="43" name="Gráfico 15">
          <a:extLst>
            <a:ext uri="{FF2B5EF4-FFF2-40B4-BE49-F238E27FC236}">
              <a16:creationId xmlns:a16="http://schemas.microsoft.com/office/drawing/2014/main" id="{9484CB4A-B68B-469B-B212-FC2BDB1DC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</xdr:col>
      <xdr:colOff>0</xdr:colOff>
      <xdr:row>344</xdr:row>
      <xdr:rowOff>47626</xdr:rowOff>
    </xdr:from>
    <xdr:to>
      <xdr:col>9</xdr:col>
      <xdr:colOff>200434</xdr:colOff>
      <xdr:row>366</xdr:row>
      <xdr:rowOff>149969</xdr:rowOff>
    </xdr:to>
    <xdr:graphicFrame macro="">
      <xdr:nvGraphicFramePr>
        <xdr:cNvPr id="44" name="Gráfico 16">
          <a:extLst>
            <a:ext uri="{FF2B5EF4-FFF2-40B4-BE49-F238E27FC236}">
              <a16:creationId xmlns:a16="http://schemas.microsoft.com/office/drawing/2014/main" id="{F48EAAAD-C438-429B-AE27-613A6C821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</xdr:col>
      <xdr:colOff>324961</xdr:colOff>
      <xdr:row>344</xdr:row>
      <xdr:rowOff>47626</xdr:rowOff>
    </xdr:from>
    <xdr:to>
      <xdr:col>17</xdr:col>
      <xdr:colOff>515870</xdr:colOff>
      <xdr:row>366</xdr:row>
      <xdr:rowOff>149969</xdr:rowOff>
    </xdr:to>
    <xdr:graphicFrame macro="">
      <xdr:nvGraphicFramePr>
        <xdr:cNvPr id="45" name="Gráfico 17">
          <a:extLst>
            <a:ext uri="{FF2B5EF4-FFF2-40B4-BE49-F238E27FC236}">
              <a16:creationId xmlns:a16="http://schemas.microsoft.com/office/drawing/2014/main" id="{15E0E120-32D0-4A8B-A67B-D41D673743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18</xdr:col>
      <xdr:colOff>11795</xdr:colOff>
      <xdr:row>344</xdr:row>
      <xdr:rowOff>47627</xdr:rowOff>
    </xdr:from>
    <xdr:to>
      <xdr:col>26</xdr:col>
      <xdr:colOff>202704</xdr:colOff>
      <xdr:row>366</xdr:row>
      <xdr:rowOff>149970</xdr:rowOff>
    </xdr:to>
    <xdr:graphicFrame macro="">
      <xdr:nvGraphicFramePr>
        <xdr:cNvPr id="46" name="Gráfico 18">
          <a:extLst>
            <a:ext uri="{FF2B5EF4-FFF2-40B4-BE49-F238E27FC236}">
              <a16:creationId xmlns:a16="http://schemas.microsoft.com/office/drawing/2014/main" id="{A9313C20-EBBE-4E66-97DE-AF6B3BBE2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</xdr:col>
      <xdr:colOff>0</xdr:colOff>
      <xdr:row>367</xdr:row>
      <xdr:rowOff>127443</xdr:rowOff>
    </xdr:from>
    <xdr:to>
      <xdr:col>9</xdr:col>
      <xdr:colOff>200434</xdr:colOff>
      <xdr:row>390</xdr:row>
      <xdr:rowOff>62360</xdr:rowOff>
    </xdr:to>
    <xdr:graphicFrame macro="">
      <xdr:nvGraphicFramePr>
        <xdr:cNvPr id="47" name="Gráfico 16">
          <a:extLst>
            <a:ext uri="{FF2B5EF4-FFF2-40B4-BE49-F238E27FC236}">
              <a16:creationId xmlns:a16="http://schemas.microsoft.com/office/drawing/2014/main" id="{3276B33B-D670-4E1D-B01A-37383EBB2D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</xdr:col>
      <xdr:colOff>321251</xdr:colOff>
      <xdr:row>367</xdr:row>
      <xdr:rowOff>127443</xdr:rowOff>
    </xdr:from>
    <xdr:to>
      <xdr:col>17</xdr:col>
      <xdr:colOff>512160</xdr:colOff>
      <xdr:row>390</xdr:row>
      <xdr:rowOff>62360</xdr:rowOff>
    </xdr:to>
    <xdr:graphicFrame macro="">
      <xdr:nvGraphicFramePr>
        <xdr:cNvPr id="48" name="Gráfico 17">
          <a:extLst>
            <a:ext uri="{FF2B5EF4-FFF2-40B4-BE49-F238E27FC236}">
              <a16:creationId xmlns:a16="http://schemas.microsoft.com/office/drawing/2014/main" id="{2E822737-84A5-406F-8B37-CD02FBDD6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17</xdr:col>
      <xdr:colOff>597739</xdr:colOff>
      <xdr:row>367</xdr:row>
      <xdr:rowOff>127444</xdr:rowOff>
    </xdr:from>
    <xdr:to>
      <xdr:col>26</xdr:col>
      <xdr:colOff>186994</xdr:colOff>
      <xdr:row>390</xdr:row>
      <xdr:rowOff>62361</xdr:rowOff>
    </xdr:to>
    <xdr:graphicFrame macro="">
      <xdr:nvGraphicFramePr>
        <xdr:cNvPr id="49" name="Gráfico 18">
          <a:extLst>
            <a:ext uri="{FF2B5EF4-FFF2-40B4-BE49-F238E27FC236}">
              <a16:creationId xmlns:a16="http://schemas.microsoft.com/office/drawing/2014/main" id="{9F8D5027-1DEA-489D-99EF-43B387111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391</xdr:row>
      <xdr:rowOff>54078</xdr:rowOff>
    </xdr:from>
    <xdr:to>
      <xdr:col>9</xdr:col>
      <xdr:colOff>200434</xdr:colOff>
      <xdr:row>413</xdr:row>
      <xdr:rowOff>146896</xdr:rowOff>
    </xdr:to>
    <xdr:graphicFrame macro="">
      <xdr:nvGraphicFramePr>
        <xdr:cNvPr id="50" name="Gráfico 19">
          <a:extLst>
            <a:ext uri="{FF2B5EF4-FFF2-40B4-BE49-F238E27FC236}">
              <a16:creationId xmlns:a16="http://schemas.microsoft.com/office/drawing/2014/main" id="{7D9C2F07-0ABE-4403-8BDB-CFFA394B2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9</xdr:col>
      <xdr:colOff>324939</xdr:colOff>
      <xdr:row>391</xdr:row>
      <xdr:rowOff>47626</xdr:rowOff>
    </xdr:from>
    <xdr:to>
      <xdr:col>17</xdr:col>
      <xdr:colOff>515848</xdr:colOff>
      <xdr:row>413</xdr:row>
      <xdr:rowOff>140444</xdr:rowOff>
    </xdr:to>
    <xdr:graphicFrame macro="">
      <xdr:nvGraphicFramePr>
        <xdr:cNvPr id="51" name="Gráfico 20">
          <a:extLst>
            <a:ext uri="{FF2B5EF4-FFF2-40B4-BE49-F238E27FC236}">
              <a16:creationId xmlns:a16="http://schemas.microsoft.com/office/drawing/2014/main" id="{1CCB09E1-309A-435E-8130-9AF6463B9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18</xdr:col>
      <xdr:colOff>14941</xdr:colOff>
      <xdr:row>391</xdr:row>
      <xdr:rowOff>28576</xdr:rowOff>
    </xdr:from>
    <xdr:to>
      <xdr:col>26</xdr:col>
      <xdr:colOff>205850</xdr:colOff>
      <xdr:row>413</xdr:row>
      <xdr:rowOff>130919</xdr:rowOff>
    </xdr:to>
    <xdr:graphicFrame macro="">
      <xdr:nvGraphicFramePr>
        <xdr:cNvPr id="52" name="Gráfico 21">
          <a:extLst>
            <a:ext uri="{FF2B5EF4-FFF2-40B4-BE49-F238E27FC236}">
              <a16:creationId xmlns:a16="http://schemas.microsoft.com/office/drawing/2014/main" id="{932EC636-857F-4090-B796-A7B0CAFA9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</xdr:col>
      <xdr:colOff>0</xdr:colOff>
      <xdr:row>414</xdr:row>
      <xdr:rowOff>141689</xdr:rowOff>
    </xdr:from>
    <xdr:to>
      <xdr:col>9</xdr:col>
      <xdr:colOff>200434</xdr:colOff>
      <xdr:row>437</xdr:row>
      <xdr:rowOff>67082</xdr:rowOff>
    </xdr:to>
    <xdr:graphicFrame macro="">
      <xdr:nvGraphicFramePr>
        <xdr:cNvPr id="53" name="Gráfico 19">
          <a:extLst>
            <a:ext uri="{FF2B5EF4-FFF2-40B4-BE49-F238E27FC236}">
              <a16:creationId xmlns:a16="http://schemas.microsoft.com/office/drawing/2014/main" id="{6DE6EF6B-8FC8-4ADB-A37A-0BB5A21C0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9</xdr:col>
      <xdr:colOff>324939</xdr:colOff>
      <xdr:row>414</xdr:row>
      <xdr:rowOff>135237</xdr:rowOff>
    </xdr:from>
    <xdr:to>
      <xdr:col>17</xdr:col>
      <xdr:colOff>515848</xdr:colOff>
      <xdr:row>437</xdr:row>
      <xdr:rowOff>70155</xdr:rowOff>
    </xdr:to>
    <xdr:graphicFrame macro="">
      <xdr:nvGraphicFramePr>
        <xdr:cNvPr id="54" name="Gráfico 20">
          <a:extLst>
            <a:ext uri="{FF2B5EF4-FFF2-40B4-BE49-F238E27FC236}">
              <a16:creationId xmlns:a16="http://schemas.microsoft.com/office/drawing/2014/main" id="{787ABC34-EBDD-4289-AD45-CDF61F2E3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18</xdr:col>
      <xdr:colOff>14941</xdr:colOff>
      <xdr:row>414</xdr:row>
      <xdr:rowOff>125712</xdr:rowOff>
    </xdr:from>
    <xdr:to>
      <xdr:col>26</xdr:col>
      <xdr:colOff>205850</xdr:colOff>
      <xdr:row>437</xdr:row>
      <xdr:rowOff>60630</xdr:rowOff>
    </xdr:to>
    <xdr:graphicFrame macro="">
      <xdr:nvGraphicFramePr>
        <xdr:cNvPr id="55" name="Gráfico 21">
          <a:extLst>
            <a:ext uri="{FF2B5EF4-FFF2-40B4-BE49-F238E27FC236}">
              <a16:creationId xmlns:a16="http://schemas.microsoft.com/office/drawing/2014/main" id="{76CF9E5B-89EB-4F84-AD15-8B2B4E64A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561975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0</xdr:row>
      <xdr:rowOff>0</xdr:rowOff>
    </xdr:from>
    <xdr:to>
      <xdr:col>24</xdr:col>
      <xdr:colOff>0</xdr:colOff>
      <xdr:row>19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57150</xdr:rowOff>
    </xdr:from>
    <xdr:to>
      <xdr:col>11</xdr:col>
      <xdr:colOff>571500</xdr:colOff>
      <xdr:row>40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</xdr:colOff>
      <xdr:row>20</xdr:row>
      <xdr:rowOff>57150</xdr:rowOff>
    </xdr:from>
    <xdr:to>
      <xdr:col>23</xdr:col>
      <xdr:colOff>600075</xdr:colOff>
      <xdr:row>40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104775</xdr:rowOff>
    </xdr:from>
    <xdr:to>
      <xdr:col>11</xdr:col>
      <xdr:colOff>571500</xdr:colOff>
      <xdr:row>60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19050</xdr:colOff>
      <xdr:row>40</xdr:row>
      <xdr:rowOff>114300</xdr:rowOff>
    </xdr:from>
    <xdr:to>
      <xdr:col>23</xdr:col>
      <xdr:colOff>600075</xdr:colOff>
      <xdr:row>60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60</xdr:row>
      <xdr:rowOff>168087</xdr:rowOff>
    </xdr:from>
    <xdr:to>
      <xdr:col>11</xdr:col>
      <xdr:colOff>560294</xdr:colOff>
      <xdr:row>84</xdr:row>
      <xdr:rowOff>152399</xdr:rowOff>
    </xdr:to>
    <xdr:graphicFrame macro="">
      <xdr:nvGraphicFramePr>
        <xdr:cNvPr id="14" name="Chart 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33617</xdr:colOff>
      <xdr:row>61</xdr:row>
      <xdr:rowOff>11206</xdr:rowOff>
    </xdr:from>
    <xdr:to>
      <xdr:col>23</xdr:col>
      <xdr:colOff>582707</xdr:colOff>
      <xdr:row>85</xdr:row>
      <xdr:rowOff>30817</xdr:rowOff>
    </xdr:to>
    <xdr:graphicFrame macro="">
      <xdr:nvGraphicFramePr>
        <xdr:cNvPr id="15" name="Chart 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85</xdr:row>
      <xdr:rowOff>67235</xdr:rowOff>
    </xdr:from>
    <xdr:to>
      <xdr:col>11</xdr:col>
      <xdr:colOff>560294</xdr:colOff>
      <xdr:row>109</xdr:row>
      <xdr:rowOff>64433</xdr:rowOff>
    </xdr:to>
    <xdr:graphicFrame macro="">
      <xdr:nvGraphicFramePr>
        <xdr:cNvPr id="16" name="Chart 9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22413</xdr:colOff>
      <xdr:row>85</xdr:row>
      <xdr:rowOff>78441</xdr:rowOff>
    </xdr:from>
    <xdr:to>
      <xdr:col>23</xdr:col>
      <xdr:colOff>593912</xdr:colOff>
      <xdr:row>109</xdr:row>
      <xdr:rowOff>56589</xdr:rowOff>
    </xdr:to>
    <xdr:graphicFrame macro="">
      <xdr:nvGraphicFramePr>
        <xdr:cNvPr id="18" name="Chart 15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110</xdr:row>
      <xdr:rowOff>0</xdr:rowOff>
    </xdr:from>
    <xdr:to>
      <xdr:col>11</xdr:col>
      <xdr:colOff>573181</xdr:colOff>
      <xdr:row>136</xdr:row>
      <xdr:rowOff>33618</xdr:rowOff>
    </xdr:to>
    <xdr:graphicFrame macro="">
      <xdr:nvGraphicFramePr>
        <xdr:cNvPr id="19" name="Chart 1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33619</xdr:colOff>
      <xdr:row>110</xdr:row>
      <xdr:rowOff>0</xdr:rowOff>
    </xdr:from>
    <xdr:to>
      <xdr:col>23</xdr:col>
      <xdr:colOff>571500</xdr:colOff>
      <xdr:row>136</xdr:row>
      <xdr:rowOff>33618</xdr:rowOff>
    </xdr:to>
    <xdr:graphicFrame macro="">
      <xdr:nvGraphicFramePr>
        <xdr:cNvPr id="20" name="Chart 16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114300</xdr:rowOff>
    </xdr:from>
    <xdr:to>
      <xdr:col>4</xdr:col>
      <xdr:colOff>704850</xdr:colOff>
      <xdr:row>3</xdr:row>
      <xdr:rowOff>38100</xdr:rowOff>
    </xdr:to>
    <xdr:pic>
      <xdr:nvPicPr>
        <xdr:cNvPr id="23012553" name="Picture 1">
          <a:extLst>
            <a:ext uri="{FF2B5EF4-FFF2-40B4-BE49-F238E27FC236}">
              <a16:creationId xmlns:a16="http://schemas.microsoft.com/office/drawing/2014/main" id="{00000000-0008-0000-0F00-0000C9245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14300"/>
          <a:ext cx="5762625" cy="4095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59361B7-85C7-4172-BABF-B9DC33C09403}"/>
            </a:ext>
          </a:extLst>
        </xdr:cNvPr>
        <xdr:cNvSpPr>
          <a:spLocks noChangeArrowheads="1"/>
        </xdr:cNvSpPr>
      </xdr:nvSpPr>
      <xdr:spPr bwMode="auto">
        <a:xfrm>
          <a:off x="4876800" y="485775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0EC60FD-6346-439A-9BCF-2B4EE9CCB4DC}"/>
            </a:ext>
          </a:extLst>
        </xdr:cNvPr>
        <xdr:cNvSpPr>
          <a:spLocks noChangeArrowheads="1"/>
        </xdr:cNvSpPr>
      </xdr:nvSpPr>
      <xdr:spPr bwMode="auto">
        <a:xfrm>
          <a:off x="4876800" y="485775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7688605-96A4-44A1-931B-D1C9946D2408}"/>
            </a:ext>
          </a:extLst>
        </xdr:cNvPr>
        <xdr:cNvSpPr>
          <a:spLocks noChangeArrowheads="1"/>
        </xdr:cNvSpPr>
      </xdr:nvSpPr>
      <xdr:spPr bwMode="auto">
        <a:xfrm>
          <a:off x="4876800" y="485775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3</xdr:row>
      <xdr:rowOff>9525</xdr:rowOff>
    </xdr:from>
    <xdr:to>
      <xdr:col>8</xdr:col>
      <xdr:colOff>0</xdr:colOff>
      <xdr:row>4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B53B18C-27B9-4ECE-8D07-24CD340AEE4D}"/>
            </a:ext>
          </a:extLst>
        </xdr:cNvPr>
        <xdr:cNvSpPr>
          <a:spLocks noChangeArrowheads="1"/>
        </xdr:cNvSpPr>
      </xdr:nvSpPr>
      <xdr:spPr bwMode="auto">
        <a:xfrm>
          <a:off x="4876800" y="495300"/>
          <a:ext cx="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23149321" name="Rectangle 1">
          <a:extLst>
            <a:ext uri="{FF2B5EF4-FFF2-40B4-BE49-F238E27FC236}">
              <a16:creationId xmlns:a16="http://schemas.microsoft.com/office/drawing/2014/main" id="{00000000-0008-0000-1000-0000093B6101}"/>
            </a:ext>
          </a:extLst>
        </xdr:cNvPr>
        <xdr:cNvSpPr>
          <a:spLocks noChangeArrowheads="1"/>
        </xdr:cNvSpPr>
      </xdr:nvSpPr>
      <xdr:spPr bwMode="auto">
        <a:xfrm>
          <a:off x="15868650" y="495300"/>
          <a:ext cx="0" cy="1714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23149322" name="Rectangle 2">
          <a:extLst>
            <a:ext uri="{FF2B5EF4-FFF2-40B4-BE49-F238E27FC236}">
              <a16:creationId xmlns:a16="http://schemas.microsoft.com/office/drawing/2014/main" id="{00000000-0008-0000-1000-00000A3B6101}"/>
            </a:ext>
          </a:extLst>
        </xdr:cNvPr>
        <xdr:cNvSpPr>
          <a:spLocks noChangeArrowheads="1"/>
        </xdr:cNvSpPr>
      </xdr:nvSpPr>
      <xdr:spPr bwMode="auto">
        <a:xfrm>
          <a:off x="15868650" y="495300"/>
          <a:ext cx="0" cy="1714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23149323" name="Rectangle 3">
          <a:extLst>
            <a:ext uri="{FF2B5EF4-FFF2-40B4-BE49-F238E27FC236}">
              <a16:creationId xmlns:a16="http://schemas.microsoft.com/office/drawing/2014/main" id="{00000000-0008-0000-1000-00000B3B6101}"/>
            </a:ext>
          </a:extLst>
        </xdr:cNvPr>
        <xdr:cNvSpPr>
          <a:spLocks noChangeArrowheads="1"/>
        </xdr:cNvSpPr>
      </xdr:nvSpPr>
      <xdr:spPr bwMode="auto">
        <a:xfrm>
          <a:off x="15868650" y="495300"/>
          <a:ext cx="0" cy="1714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3</xdr:row>
      <xdr:rowOff>9525</xdr:rowOff>
    </xdr:from>
    <xdr:to>
      <xdr:col>8</xdr:col>
      <xdr:colOff>0</xdr:colOff>
      <xdr:row>4</xdr:row>
      <xdr:rowOff>9525</xdr:rowOff>
    </xdr:to>
    <xdr:sp macro="" textlink="">
      <xdr:nvSpPr>
        <xdr:cNvPr id="23149324" name="Rectangle 4">
          <a:extLst>
            <a:ext uri="{FF2B5EF4-FFF2-40B4-BE49-F238E27FC236}">
              <a16:creationId xmlns:a16="http://schemas.microsoft.com/office/drawing/2014/main" id="{00000000-0008-0000-1000-00000C3B6101}"/>
            </a:ext>
          </a:extLst>
        </xdr:cNvPr>
        <xdr:cNvSpPr>
          <a:spLocks noChangeArrowheads="1"/>
        </xdr:cNvSpPr>
      </xdr:nvSpPr>
      <xdr:spPr bwMode="auto">
        <a:xfrm>
          <a:off x="15868650" y="504825"/>
          <a:ext cx="0" cy="1714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114300</xdr:rowOff>
    </xdr:from>
    <xdr:to>
      <xdr:col>6</xdr:col>
      <xdr:colOff>171450</xdr:colOff>
      <xdr:row>10</xdr:row>
      <xdr:rowOff>0</xdr:rowOff>
    </xdr:to>
    <xdr:sp macro="" textlink="">
      <xdr:nvSpPr>
        <xdr:cNvPr id="17409" name="esperar">
          <a:extLst>
            <a:ext uri="{FF2B5EF4-FFF2-40B4-BE49-F238E27FC236}">
              <a16:creationId xmlns:a16="http://schemas.microsoft.com/office/drawing/2014/main" id="{00000000-0008-0000-1400-000001440000}"/>
            </a:ext>
          </a:extLst>
        </xdr:cNvPr>
        <xdr:cNvSpPr txBox="1">
          <a:spLocks noChangeArrowheads="1"/>
        </xdr:cNvSpPr>
      </xdr:nvSpPr>
      <xdr:spPr bwMode="auto">
        <a:xfrm>
          <a:off x="676275" y="438150"/>
          <a:ext cx="3152775" cy="1181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endParaRPr lang="es-PE" sz="1800" b="1" i="0" u="none" strike="noStrike" baseline="0">
            <a:solidFill>
              <a:srgbClr val="0000FF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s-PE" sz="1800" b="1" i="0" u="none" strike="noStrike" baseline="0">
              <a:solidFill>
                <a:srgbClr val="0000FF"/>
              </a:solidFill>
              <a:latin typeface="Arial"/>
              <a:cs typeface="Arial"/>
            </a:rPr>
            <a:t>ACTUALIZANDO DATOS</a:t>
          </a:r>
        </a:p>
        <a:p>
          <a:pPr algn="ctr" rtl="0">
            <a:defRPr sz="1000"/>
          </a:pPr>
          <a:r>
            <a:rPr lang="es-PE" sz="1800" b="1" i="0" u="none" strike="noStrike" baseline="0">
              <a:solidFill>
                <a:srgbClr val="0000FF"/>
              </a:solidFill>
              <a:latin typeface="Arial"/>
              <a:cs typeface="Arial"/>
            </a:rPr>
            <a:t>ESPERE UN MOMENTO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s/tbecacariass/Desktop/Comparacio%20Courier_C2%2020-03-23.xlsm" TargetMode="External"/><Relationship Id="rId1" Type="http://schemas.openxmlformats.org/officeDocument/2006/relationships/externalLinkPath" Target="/Users/tbecacariass/Desktop/Comparacio%20Courier_C2%2020-03-2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s/tbecacariass/Desktop/Courier_AUTO-1_____TEST.xlsm" TargetMode="External"/><Relationship Id="rId1" Type="http://schemas.openxmlformats.org/officeDocument/2006/relationships/externalLinkPath" Target="/Users/tbecacariass/Desktop/Courier_AUTO-1_____TEST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s/tbecacariass/Desktop/Courier_AUTO-1.xlsm" TargetMode="External"/><Relationship Id="rId1" Type="http://schemas.openxmlformats.org/officeDocument/2006/relationships/externalLinkPath" Target="/Users/tbecacariass/Desktop/Courier_AUTO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ortada"/>
      <sheetName val="Gráf. Cu-Mo"/>
      <sheetName val="Graf. Fe-Zn-Ox"/>
      <sheetName val="Graf1_Cu_Mo"/>
      <sheetName val="Graf2_Cu_Mo"/>
      <sheetName val="Graf3_Cu_Mo"/>
      <sheetName val="Graf1_Cu_Mo_M"/>
      <sheetName val="Graf2_Cu_Mo_M"/>
      <sheetName val="Graf3_Cu_Mo_M"/>
      <sheetName val="Graf_des_ptCu"/>
      <sheetName val="Calculos"/>
      <sheetName val="Calculos_M"/>
      <sheetName val="TABLA"/>
      <sheetName val="TABLA_DESV"/>
      <sheetName val="TABLA_M"/>
      <sheetName val="Courier"/>
      <sheetName val="Courier_M."/>
      <sheetName val="Laboratorio"/>
      <sheetName val="Sta_Cu"/>
      <sheetName val="BloxPlot_Cu"/>
      <sheetName val="Laboratorio_M"/>
      <sheetName val="Sta_Mo"/>
      <sheetName val="BloxPlot_Mo"/>
      <sheetName val="DistrN_Mo"/>
      <sheetName val="%Tiempo Oper."/>
      <sheetName val="Laboratorio_M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5">
          <cell r="Q15">
            <v>8.9899805607274175E-4</v>
          </cell>
        </row>
      </sheetData>
      <sheetData sheetId="16"/>
      <sheetData sheetId="17">
        <row r="7">
          <cell r="Q7">
            <v>2E-3</v>
          </cell>
        </row>
      </sheetData>
      <sheetData sheetId="18">
        <row r="4">
          <cell r="H4" t="str">
            <v>Courier</v>
          </cell>
          <cell r="BB4" t="str">
            <v>Courier</v>
          </cell>
        </row>
        <row r="5">
          <cell r="BB5">
            <v>5.5731508880853653E-2</v>
          </cell>
        </row>
        <row r="6">
          <cell r="BB6">
            <v>5.7875871658325195E-2</v>
          </cell>
        </row>
        <row r="7">
          <cell r="BB7">
            <v>5.2844729274511337E-2</v>
          </cell>
        </row>
        <row r="8">
          <cell r="BB8">
            <v>5.2718035876750946E-2</v>
          </cell>
        </row>
        <row r="9">
          <cell r="BB9">
            <v>4.0969286113977432E-2</v>
          </cell>
        </row>
        <row r="10">
          <cell r="BB10">
            <v>3.2369289547204971E-2</v>
          </cell>
        </row>
        <row r="11">
          <cell r="BB11">
            <v>3.2947443425655365E-2</v>
          </cell>
        </row>
        <row r="12">
          <cell r="BB12">
            <v>4.4387932866811752E-2</v>
          </cell>
        </row>
        <row r="13">
          <cell r="BB13">
            <v>6.0856521129608154E-2</v>
          </cell>
        </row>
        <row r="14">
          <cell r="BB14">
            <v>6.2054663896560669E-2</v>
          </cell>
        </row>
        <row r="15">
          <cell r="BB15" t="str">
            <v xml:space="preserve"> </v>
          </cell>
        </row>
        <row r="16">
          <cell r="BB16">
            <v>5.0480686128139496E-2</v>
          </cell>
        </row>
        <row r="17">
          <cell r="BB17">
            <v>5.4493404924869537E-2</v>
          </cell>
        </row>
        <row r="18">
          <cell r="BB18">
            <v>5.9241887181997299E-2</v>
          </cell>
        </row>
        <row r="19">
          <cell r="BB19">
            <v>6.1165694147348404E-2</v>
          </cell>
        </row>
        <row r="20">
          <cell r="BB20">
            <v>6.0698207467794418E-2</v>
          </cell>
        </row>
        <row r="21">
          <cell r="BB21">
            <v>4.1434962302446365E-2</v>
          </cell>
        </row>
        <row r="22">
          <cell r="BB22">
            <v>4.3467316776514053E-2</v>
          </cell>
        </row>
        <row r="23">
          <cell r="BB23">
            <v>3.9544194936752319E-2</v>
          </cell>
        </row>
        <row r="24">
          <cell r="BB24">
            <v>2.9899818822741508E-2</v>
          </cell>
        </row>
        <row r="25">
          <cell r="BB25">
            <v>2.9899818822741508E-2</v>
          </cell>
        </row>
        <row r="26">
          <cell r="BB26">
            <v>4.5675221830606461E-2</v>
          </cell>
        </row>
        <row r="27">
          <cell r="BB27">
            <v>5.1759485155344009E-2</v>
          </cell>
        </row>
        <row r="28">
          <cell r="BB28">
            <v>5.1759485155344009E-2</v>
          </cell>
        </row>
        <row r="29">
          <cell r="BB29">
            <v>4.9744129180908203E-2</v>
          </cell>
        </row>
        <row r="30">
          <cell r="BB30">
            <v>5.318368598818779E-2</v>
          </cell>
        </row>
        <row r="31">
          <cell r="BB31">
            <v>4.7424051910638809E-2</v>
          </cell>
        </row>
        <row r="32">
          <cell r="BB32">
            <v>4.4806059449911118E-2</v>
          </cell>
        </row>
        <row r="33">
          <cell r="BB33">
            <v>4.5961961150169373E-2</v>
          </cell>
        </row>
        <row r="34">
          <cell r="BB34">
            <v>4.597211629152298E-2</v>
          </cell>
        </row>
        <row r="35">
          <cell r="BB35">
            <v>4.2739544063806534E-2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ortada"/>
      <sheetName val="Laboratorio"/>
      <sheetName val="Courier"/>
      <sheetName val="Laboratorio_M"/>
      <sheetName val="Courier_M."/>
      <sheetName val="Gráf. Cu-Mo"/>
      <sheetName val="Graf. Fe-Zn-Ox"/>
      <sheetName val="TABLA"/>
      <sheetName val="Sta_Cu"/>
      <sheetName val="Calc_Cu"/>
      <sheetName val="Graf_calc_Cu"/>
      <sheetName val="Graf_Circ_Cu"/>
      <sheetName val="BoxPlot_Cu"/>
      <sheetName val="DistrN_Cu"/>
      <sheetName val="TABLA_M"/>
      <sheetName val="Sta_Mo"/>
      <sheetName val="Calc_Mo"/>
      <sheetName val="Graf_calc_Mo"/>
      <sheetName val="Graf_Circ_Mo"/>
      <sheetName val="BoxPlot_Mo"/>
      <sheetName val="DistrN_Mo"/>
      <sheetName val="%Tiempo Oper."/>
      <sheetName val="DibEspe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5">
          <cell r="C85">
            <v>3.3000000000000002E-2</v>
          </cell>
          <cell r="D85">
            <v>3.3000000000000002E-2</v>
          </cell>
          <cell r="E85">
            <v>-0.3</v>
          </cell>
          <cell r="G85">
            <v>1E-3</v>
          </cell>
          <cell r="H85">
            <v>1E-3</v>
          </cell>
          <cell r="I85">
            <v>-0.04</v>
          </cell>
          <cell r="K85">
            <v>1</v>
          </cell>
          <cell r="L85">
            <v>1</v>
          </cell>
          <cell r="M85">
            <v>-0.8</v>
          </cell>
          <cell r="O85">
            <v>2.5000000000000001E-2</v>
          </cell>
          <cell r="P85">
            <v>1.4999999999999999E-2</v>
          </cell>
          <cell r="Q85">
            <v>-4.4999999999999998E-2</v>
          </cell>
          <cell r="S85">
            <v>8.0000000000000007E-5</v>
          </cell>
          <cell r="T85">
            <v>8.0000000000000007E-5</v>
          </cell>
          <cell r="U85">
            <v>-7.0000000000000001E-3</v>
          </cell>
          <cell r="W85">
            <v>1</v>
          </cell>
          <cell r="X85">
            <v>1</v>
          </cell>
          <cell r="Y85">
            <v>-1</v>
          </cell>
          <cell r="AA85">
            <v>20</v>
          </cell>
          <cell r="AB85">
            <v>20</v>
          </cell>
          <cell r="AC85">
            <v>-5</v>
          </cell>
          <cell r="AE85">
            <v>-0.4</v>
          </cell>
          <cell r="AF85">
            <v>-0.4</v>
          </cell>
          <cell r="AG85">
            <v>-2</v>
          </cell>
          <cell r="AI85">
            <v>24</v>
          </cell>
          <cell r="AJ85">
            <v>25</v>
          </cell>
          <cell r="AK85">
            <v>-3.1</v>
          </cell>
          <cell r="AO85">
            <v>3.3000000000000002E-2</v>
          </cell>
          <cell r="AP85">
            <v>3.3000000000000002E-2</v>
          </cell>
          <cell r="AQ85">
            <v>-0.4</v>
          </cell>
          <cell r="AS85">
            <v>1E-4</v>
          </cell>
          <cell r="AT85">
            <v>1E-4</v>
          </cell>
          <cell r="AU85">
            <v>-0.04</v>
          </cell>
          <cell r="AW85">
            <v>1</v>
          </cell>
          <cell r="AX85">
            <v>1</v>
          </cell>
          <cell r="AY85">
            <v>-0.8</v>
          </cell>
          <cell r="BA85">
            <v>2.5000000000000001E-2</v>
          </cell>
          <cell r="BB85">
            <v>1.4999999999999999E-2</v>
          </cell>
          <cell r="BC85">
            <v>-4.4999999999999998E-2</v>
          </cell>
          <cell r="BE85">
            <v>6.0000000000000002E-5</v>
          </cell>
          <cell r="BF85">
            <v>6.0000000000000002E-5</v>
          </cell>
          <cell r="BG85">
            <v>-7.0000000000000001E-3</v>
          </cell>
          <cell r="BI85">
            <v>1</v>
          </cell>
          <cell r="BJ85">
            <v>0.3</v>
          </cell>
          <cell r="BK85">
            <v>-1</v>
          </cell>
          <cell r="BM85">
            <v>20</v>
          </cell>
          <cell r="BN85">
            <v>20</v>
          </cell>
          <cell r="BO85">
            <v>-5</v>
          </cell>
          <cell r="BQ85">
            <v>-0.4</v>
          </cell>
          <cell r="BR85">
            <v>-0.4</v>
          </cell>
          <cell r="BS85">
            <v>-2</v>
          </cell>
          <cell r="BU85">
            <v>24</v>
          </cell>
          <cell r="BV85">
            <v>25</v>
          </cell>
          <cell r="BW85">
            <v>-3.5</v>
          </cell>
        </row>
        <row r="86">
          <cell r="C86">
            <v>6.6000000000000003E-2</v>
          </cell>
          <cell r="D86">
            <v>6.6000000000000003E-2</v>
          </cell>
          <cell r="E86">
            <v>-0.27999999999999997</v>
          </cell>
          <cell r="G86">
            <v>3.5000000000000001E-3</v>
          </cell>
          <cell r="H86">
            <v>3.5000000000000001E-3</v>
          </cell>
          <cell r="I86">
            <v>-3.7499999999999999E-2</v>
          </cell>
          <cell r="K86">
            <v>1.1000000000000001</v>
          </cell>
          <cell r="L86">
            <v>1.1000000000000001</v>
          </cell>
          <cell r="M86">
            <v>-0.73</v>
          </cell>
          <cell r="O86">
            <v>2.75E-2</v>
          </cell>
          <cell r="P86">
            <v>1.7999999999999999E-2</v>
          </cell>
          <cell r="Q86">
            <v>-4.2099999999999999E-2</v>
          </cell>
          <cell r="S86">
            <v>5.8E-4</v>
          </cell>
          <cell r="T86">
            <v>5.8E-4</v>
          </cell>
          <cell r="U86">
            <v>-6.4900000000000001E-3</v>
          </cell>
          <cell r="W86">
            <v>1.08</v>
          </cell>
          <cell r="X86">
            <v>1.07</v>
          </cell>
          <cell r="Y86">
            <v>-0.92</v>
          </cell>
          <cell r="AA86">
            <v>20.399999999999999</v>
          </cell>
          <cell r="AB86">
            <v>20.399999999999999</v>
          </cell>
          <cell r="AC86">
            <v>-4.7</v>
          </cell>
          <cell r="AE86">
            <v>-0.26</v>
          </cell>
          <cell r="AF86">
            <v>-0.26</v>
          </cell>
          <cell r="AG86">
            <v>-1.85</v>
          </cell>
          <cell r="AI86">
            <v>24.35</v>
          </cell>
          <cell r="AJ86">
            <v>25.28</v>
          </cell>
          <cell r="AK86">
            <v>-2.89</v>
          </cell>
          <cell r="AO86">
            <v>6.6000000000000003E-2</v>
          </cell>
          <cell r="AP86">
            <v>6.6000000000000003E-2</v>
          </cell>
          <cell r="AQ86">
            <v>-0.374</v>
          </cell>
          <cell r="AS86">
            <v>2.5999999999999999E-3</v>
          </cell>
          <cell r="AT86">
            <v>2.5999999999999999E-3</v>
          </cell>
          <cell r="AU86">
            <v>-3.7499999999999999E-2</v>
          </cell>
          <cell r="AW86">
            <v>1.1000000000000001</v>
          </cell>
          <cell r="AX86">
            <v>1.1000000000000001</v>
          </cell>
          <cell r="AY86">
            <v>-0.73</v>
          </cell>
          <cell r="BA86">
            <v>2.75E-2</v>
          </cell>
          <cell r="BB86">
            <v>1.7999999999999999E-2</v>
          </cell>
          <cell r="BC86">
            <v>-4.2099999999999999E-2</v>
          </cell>
          <cell r="BE86">
            <v>5.6000000000000006E-4</v>
          </cell>
          <cell r="BF86">
            <v>5.6000000000000006E-4</v>
          </cell>
          <cell r="BG86">
            <v>-6.5100000000000002E-3</v>
          </cell>
          <cell r="BI86">
            <v>1.0900000000000001</v>
          </cell>
          <cell r="BJ86">
            <v>0.4</v>
          </cell>
          <cell r="BK86">
            <v>-0.92</v>
          </cell>
          <cell r="BM86">
            <v>20.399999999999999</v>
          </cell>
          <cell r="BN86">
            <v>20.399999999999999</v>
          </cell>
          <cell r="BO86">
            <v>-4.6399999999999997</v>
          </cell>
          <cell r="BQ86">
            <v>-0.26</v>
          </cell>
          <cell r="BR86">
            <v>-0.26</v>
          </cell>
          <cell r="BS86">
            <v>-1.85</v>
          </cell>
          <cell r="BU86">
            <v>24.35</v>
          </cell>
          <cell r="BV86">
            <v>25.28</v>
          </cell>
          <cell r="BW86">
            <v>-3.25</v>
          </cell>
        </row>
        <row r="87">
          <cell r="C87">
            <v>9.9000000000000005E-2</v>
          </cell>
          <cell r="D87">
            <v>9.9000000000000005E-2</v>
          </cell>
          <cell r="E87">
            <v>-0.25999999999999995</v>
          </cell>
          <cell r="G87">
            <v>6.0000000000000001E-3</v>
          </cell>
          <cell r="H87">
            <v>6.0000000000000001E-3</v>
          </cell>
          <cell r="I87">
            <v>-3.4999999999999996E-2</v>
          </cell>
          <cell r="K87">
            <v>1.2000000000000002</v>
          </cell>
          <cell r="L87">
            <v>1.2000000000000002</v>
          </cell>
          <cell r="M87">
            <v>-0.65999999999999992</v>
          </cell>
          <cell r="O87">
            <v>0.03</v>
          </cell>
          <cell r="P87">
            <v>2.0999999999999998E-2</v>
          </cell>
          <cell r="Q87">
            <v>-3.9199999999999999E-2</v>
          </cell>
          <cell r="S87">
            <v>1.08E-3</v>
          </cell>
          <cell r="T87">
            <v>1.08E-3</v>
          </cell>
          <cell r="U87">
            <v>-5.9800000000000001E-3</v>
          </cell>
          <cell r="W87">
            <v>1.1600000000000001</v>
          </cell>
          <cell r="X87">
            <v>1.1400000000000001</v>
          </cell>
          <cell r="Y87">
            <v>-0.84000000000000008</v>
          </cell>
          <cell r="AA87">
            <v>20.799999999999997</v>
          </cell>
          <cell r="AB87">
            <v>20.799999999999997</v>
          </cell>
          <cell r="AC87">
            <v>-4.4000000000000004</v>
          </cell>
          <cell r="AE87">
            <v>-0.12</v>
          </cell>
          <cell r="AF87">
            <v>-0.12</v>
          </cell>
          <cell r="AG87">
            <v>-1.7000000000000002</v>
          </cell>
          <cell r="AI87">
            <v>24.700000000000003</v>
          </cell>
          <cell r="AJ87">
            <v>25.560000000000002</v>
          </cell>
          <cell r="AK87">
            <v>-2.68</v>
          </cell>
          <cell r="AO87">
            <v>9.9000000000000005E-2</v>
          </cell>
          <cell r="AP87">
            <v>9.9000000000000005E-2</v>
          </cell>
          <cell r="AQ87">
            <v>-0.34799999999999998</v>
          </cell>
          <cell r="AS87">
            <v>5.1000000000000004E-3</v>
          </cell>
          <cell r="AT87">
            <v>5.1000000000000004E-3</v>
          </cell>
          <cell r="AU87">
            <v>-3.4999999999999996E-2</v>
          </cell>
          <cell r="AW87">
            <v>1.2000000000000002</v>
          </cell>
          <cell r="AX87">
            <v>1.2000000000000002</v>
          </cell>
          <cell r="AY87">
            <v>-0.65999999999999992</v>
          </cell>
          <cell r="BA87">
            <v>0.03</v>
          </cell>
          <cell r="BB87">
            <v>2.0999999999999998E-2</v>
          </cell>
          <cell r="BC87">
            <v>-3.9199999999999999E-2</v>
          </cell>
          <cell r="BE87">
            <v>1.0600000000000002E-3</v>
          </cell>
          <cell r="BF87">
            <v>1.0600000000000002E-3</v>
          </cell>
          <cell r="BG87">
            <v>-6.0200000000000002E-3</v>
          </cell>
          <cell r="BI87">
            <v>1.1800000000000002</v>
          </cell>
          <cell r="BJ87">
            <v>0.5</v>
          </cell>
          <cell r="BK87">
            <v>-0.84000000000000008</v>
          </cell>
          <cell r="BM87">
            <v>20.799999999999997</v>
          </cell>
          <cell r="BN87">
            <v>20.799999999999997</v>
          </cell>
          <cell r="BO87">
            <v>-4.2799999999999994</v>
          </cell>
          <cell r="BQ87">
            <v>-0.12</v>
          </cell>
          <cell r="BR87">
            <v>-0.12</v>
          </cell>
          <cell r="BS87">
            <v>-1.7000000000000002</v>
          </cell>
          <cell r="BU87">
            <v>24.700000000000003</v>
          </cell>
          <cell r="BV87">
            <v>25.560000000000002</v>
          </cell>
          <cell r="BW87">
            <v>-3</v>
          </cell>
        </row>
        <row r="88">
          <cell r="C88">
            <v>0.13200000000000001</v>
          </cell>
          <cell r="D88">
            <v>0.13200000000000001</v>
          </cell>
          <cell r="E88">
            <v>-0.23999999999999996</v>
          </cell>
          <cell r="G88">
            <v>8.5000000000000006E-3</v>
          </cell>
          <cell r="H88">
            <v>8.5000000000000006E-3</v>
          </cell>
          <cell r="I88">
            <v>-3.2499999999999994E-2</v>
          </cell>
          <cell r="K88">
            <v>1.3000000000000003</v>
          </cell>
          <cell r="L88">
            <v>1.3000000000000003</v>
          </cell>
          <cell r="M88">
            <v>-0.58999999999999986</v>
          </cell>
          <cell r="O88">
            <v>3.2500000000000001E-2</v>
          </cell>
          <cell r="P88">
            <v>2.3999999999999997E-2</v>
          </cell>
          <cell r="Q88">
            <v>-3.6299999999999999E-2</v>
          </cell>
          <cell r="S88">
            <v>1.58E-3</v>
          </cell>
          <cell r="T88">
            <v>1.58E-3</v>
          </cell>
          <cell r="U88">
            <v>-5.47E-3</v>
          </cell>
          <cell r="W88">
            <v>1.2400000000000002</v>
          </cell>
          <cell r="X88">
            <v>1.2100000000000002</v>
          </cell>
          <cell r="Y88">
            <v>-0.76000000000000012</v>
          </cell>
          <cell r="AA88">
            <v>21.199999999999996</v>
          </cell>
          <cell r="AB88">
            <v>21.199999999999996</v>
          </cell>
          <cell r="AC88">
            <v>-4.1000000000000005</v>
          </cell>
          <cell r="AE88">
            <v>2.0000000000000018E-2</v>
          </cell>
          <cell r="AF88">
            <v>2.0000000000000018E-2</v>
          </cell>
          <cell r="AG88">
            <v>-1.5500000000000003</v>
          </cell>
          <cell r="AI88">
            <v>25.050000000000004</v>
          </cell>
          <cell r="AJ88">
            <v>25.840000000000003</v>
          </cell>
          <cell r="AK88">
            <v>-2.4700000000000002</v>
          </cell>
          <cell r="AO88">
            <v>0.13200000000000001</v>
          </cell>
          <cell r="AP88">
            <v>0.13200000000000001</v>
          </cell>
          <cell r="AQ88">
            <v>-0.32199999999999995</v>
          </cell>
          <cell r="AS88">
            <v>7.6000000000000009E-3</v>
          </cell>
          <cell r="AT88">
            <v>7.6000000000000009E-3</v>
          </cell>
          <cell r="AU88">
            <v>-3.2499999999999994E-2</v>
          </cell>
          <cell r="AW88">
            <v>1.3000000000000003</v>
          </cell>
          <cell r="AX88">
            <v>1.3000000000000003</v>
          </cell>
          <cell r="AY88">
            <v>-0.58999999999999986</v>
          </cell>
          <cell r="BA88">
            <v>3.2500000000000001E-2</v>
          </cell>
          <cell r="BB88">
            <v>2.3999999999999997E-2</v>
          </cell>
          <cell r="BC88">
            <v>-3.6299999999999999E-2</v>
          </cell>
          <cell r="BE88">
            <v>1.5600000000000002E-3</v>
          </cell>
          <cell r="BF88">
            <v>1.5600000000000002E-3</v>
          </cell>
          <cell r="BG88">
            <v>-5.5300000000000002E-3</v>
          </cell>
          <cell r="BI88">
            <v>1.2700000000000002</v>
          </cell>
          <cell r="BJ88">
            <v>0.6</v>
          </cell>
          <cell r="BK88">
            <v>-0.76000000000000012</v>
          </cell>
          <cell r="BM88">
            <v>21.199999999999996</v>
          </cell>
          <cell r="BN88">
            <v>21.199999999999996</v>
          </cell>
          <cell r="BO88">
            <v>-3.9199999999999995</v>
          </cell>
          <cell r="BQ88">
            <v>2.0000000000000018E-2</v>
          </cell>
          <cell r="BR88">
            <v>2.0000000000000018E-2</v>
          </cell>
          <cell r="BS88">
            <v>-1.5500000000000003</v>
          </cell>
          <cell r="BU88">
            <v>25.050000000000004</v>
          </cell>
          <cell r="BV88">
            <v>25.840000000000003</v>
          </cell>
          <cell r="BW88">
            <v>-2.75</v>
          </cell>
        </row>
        <row r="89">
          <cell r="C89">
            <v>0.16500000000000001</v>
          </cell>
          <cell r="D89">
            <v>0.16500000000000001</v>
          </cell>
          <cell r="E89">
            <v>-0.21999999999999997</v>
          </cell>
          <cell r="G89">
            <v>1.0999999999999999E-2</v>
          </cell>
          <cell r="H89">
            <v>1.0999999999999999E-2</v>
          </cell>
          <cell r="I89">
            <v>-2.9999999999999995E-2</v>
          </cell>
          <cell r="K89">
            <v>1.4000000000000004</v>
          </cell>
          <cell r="L89">
            <v>1.4000000000000004</v>
          </cell>
          <cell r="M89">
            <v>-0.5199999999999998</v>
          </cell>
          <cell r="O89">
            <v>3.5000000000000003E-2</v>
          </cell>
          <cell r="P89">
            <v>2.6999999999999996E-2</v>
          </cell>
          <cell r="Q89">
            <v>-3.3399999999999999E-2</v>
          </cell>
          <cell r="S89">
            <v>2.0800000000000003E-3</v>
          </cell>
          <cell r="T89">
            <v>2.0800000000000003E-3</v>
          </cell>
          <cell r="U89">
            <v>-4.96E-3</v>
          </cell>
          <cell r="W89">
            <v>1.3200000000000003</v>
          </cell>
          <cell r="X89">
            <v>1.2800000000000002</v>
          </cell>
          <cell r="Y89">
            <v>-0.68000000000000016</v>
          </cell>
          <cell r="AA89">
            <v>21.599999999999994</v>
          </cell>
          <cell r="AB89">
            <v>21.599999999999994</v>
          </cell>
          <cell r="AC89">
            <v>-3.8000000000000007</v>
          </cell>
          <cell r="AE89">
            <v>0.16000000000000003</v>
          </cell>
          <cell r="AF89">
            <v>0.16000000000000003</v>
          </cell>
          <cell r="AG89">
            <v>-1.4000000000000004</v>
          </cell>
          <cell r="AI89">
            <v>25.400000000000006</v>
          </cell>
          <cell r="AJ89">
            <v>26.120000000000005</v>
          </cell>
          <cell r="AK89">
            <v>-2.2600000000000002</v>
          </cell>
          <cell r="AO89">
            <v>0.16500000000000001</v>
          </cell>
          <cell r="AP89">
            <v>0.16500000000000001</v>
          </cell>
          <cell r="AQ89">
            <v>-0.29599999999999993</v>
          </cell>
          <cell r="AS89">
            <v>1.0100000000000001E-2</v>
          </cell>
          <cell r="AT89">
            <v>1.0100000000000001E-2</v>
          </cell>
          <cell r="AU89">
            <v>-2.9999999999999995E-2</v>
          </cell>
          <cell r="AW89">
            <v>1.4000000000000004</v>
          </cell>
          <cell r="AX89">
            <v>1.4000000000000004</v>
          </cell>
          <cell r="AY89">
            <v>-0.5199999999999998</v>
          </cell>
          <cell r="BA89">
            <v>3.5000000000000003E-2</v>
          </cell>
          <cell r="BB89">
            <v>2.6999999999999996E-2</v>
          </cell>
          <cell r="BC89">
            <v>-3.3399999999999999E-2</v>
          </cell>
          <cell r="BE89">
            <v>2.0600000000000002E-3</v>
          </cell>
          <cell r="BF89">
            <v>2.0600000000000002E-3</v>
          </cell>
          <cell r="BG89">
            <v>-5.0400000000000002E-3</v>
          </cell>
          <cell r="BI89">
            <v>1.3600000000000003</v>
          </cell>
          <cell r="BJ89">
            <v>0.7</v>
          </cell>
          <cell r="BK89">
            <v>-0.68000000000000016</v>
          </cell>
          <cell r="BM89">
            <v>21.599999999999994</v>
          </cell>
          <cell r="BN89">
            <v>21.599999999999994</v>
          </cell>
          <cell r="BO89">
            <v>-3.5599999999999996</v>
          </cell>
          <cell r="BQ89">
            <v>0.16000000000000003</v>
          </cell>
          <cell r="BR89">
            <v>0.16000000000000003</v>
          </cell>
          <cell r="BS89">
            <v>-1.4000000000000004</v>
          </cell>
          <cell r="BU89">
            <v>25.400000000000006</v>
          </cell>
          <cell r="BV89">
            <v>26.120000000000005</v>
          </cell>
          <cell r="BW89">
            <v>-2.5</v>
          </cell>
        </row>
        <row r="90">
          <cell r="C90">
            <v>0.19800000000000001</v>
          </cell>
          <cell r="D90">
            <v>0.19800000000000001</v>
          </cell>
          <cell r="E90">
            <v>-0.19999999999999998</v>
          </cell>
          <cell r="G90">
            <v>1.35E-2</v>
          </cell>
          <cell r="H90">
            <v>1.35E-2</v>
          </cell>
          <cell r="I90">
            <v>-2.7499999999999997E-2</v>
          </cell>
          <cell r="K90">
            <v>1.5000000000000004</v>
          </cell>
          <cell r="L90">
            <v>1.5000000000000004</v>
          </cell>
          <cell r="M90">
            <v>-0.44999999999999979</v>
          </cell>
          <cell r="O90">
            <v>3.7500000000000006E-2</v>
          </cell>
          <cell r="P90">
            <v>2.9999999999999995E-2</v>
          </cell>
          <cell r="Q90">
            <v>-3.0499999999999999E-2</v>
          </cell>
          <cell r="S90">
            <v>2.5800000000000003E-3</v>
          </cell>
          <cell r="T90">
            <v>2.5800000000000003E-3</v>
          </cell>
          <cell r="U90">
            <v>-4.45E-3</v>
          </cell>
          <cell r="W90">
            <v>1.4000000000000004</v>
          </cell>
          <cell r="X90">
            <v>1.3500000000000003</v>
          </cell>
          <cell r="Y90">
            <v>-0.6000000000000002</v>
          </cell>
          <cell r="AA90">
            <v>21.999999999999993</v>
          </cell>
          <cell r="AB90">
            <v>21.999999999999993</v>
          </cell>
          <cell r="AC90">
            <v>-3.5000000000000009</v>
          </cell>
          <cell r="AE90">
            <v>0.30000000000000004</v>
          </cell>
          <cell r="AF90">
            <v>0.30000000000000004</v>
          </cell>
          <cell r="AG90">
            <v>-1.2500000000000004</v>
          </cell>
          <cell r="AI90">
            <v>25.750000000000007</v>
          </cell>
          <cell r="AJ90">
            <v>26.400000000000006</v>
          </cell>
          <cell r="AK90">
            <v>-2.0500000000000003</v>
          </cell>
          <cell r="AO90">
            <v>0.19800000000000001</v>
          </cell>
          <cell r="AP90">
            <v>0.19800000000000001</v>
          </cell>
          <cell r="AQ90">
            <v>-0.26999999999999991</v>
          </cell>
          <cell r="AS90">
            <v>1.2600000000000002E-2</v>
          </cell>
          <cell r="AT90">
            <v>1.2600000000000002E-2</v>
          </cell>
          <cell r="AU90">
            <v>-2.7499999999999997E-2</v>
          </cell>
          <cell r="AW90">
            <v>1.5000000000000004</v>
          </cell>
          <cell r="AX90">
            <v>1.5000000000000004</v>
          </cell>
          <cell r="AY90">
            <v>-0.44999999999999979</v>
          </cell>
          <cell r="BA90">
            <v>3.7500000000000006E-2</v>
          </cell>
          <cell r="BB90">
            <v>2.9999999999999995E-2</v>
          </cell>
          <cell r="BC90">
            <v>-3.0499999999999999E-2</v>
          </cell>
          <cell r="BE90">
            <v>2.5600000000000002E-3</v>
          </cell>
          <cell r="BF90">
            <v>2.5600000000000002E-3</v>
          </cell>
          <cell r="BG90">
            <v>-4.5500000000000002E-3</v>
          </cell>
          <cell r="BI90">
            <v>1.4500000000000004</v>
          </cell>
          <cell r="BJ90">
            <v>0.79999999999999993</v>
          </cell>
          <cell r="BK90">
            <v>-0.6000000000000002</v>
          </cell>
          <cell r="BM90">
            <v>21.999999999999993</v>
          </cell>
          <cell r="BN90">
            <v>21.999999999999993</v>
          </cell>
          <cell r="BO90">
            <v>-3.1999999999999997</v>
          </cell>
          <cell r="BQ90">
            <v>0.30000000000000004</v>
          </cell>
          <cell r="BR90">
            <v>0.30000000000000004</v>
          </cell>
          <cell r="BS90">
            <v>-1.2500000000000004</v>
          </cell>
          <cell r="BU90">
            <v>25.750000000000007</v>
          </cell>
          <cell r="BV90">
            <v>26.400000000000006</v>
          </cell>
          <cell r="BW90">
            <v>-2.25</v>
          </cell>
        </row>
        <row r="91">
          <cell r="C91">
            <v>0.23100000000000001</v>
          </cell>
          <cell r="D91">
            <v>0.23100000000000001</v>
          </cell>
          <cell r="E91">
            <v>-0.18</v>
          </cell>
          <cell r="G91">
            <v>1.6E-2</v>
          </cell>
          <cell r="H91">
            <v>1.6E-2</v>
          </cell>
          <cell r="I91">
            <v>-2.4999999999999998E-2</v>
          </cell>
          <cell r="K91">
            <v>1.6000000000000005</v>
          </cell>
          <cell r="L91">
            <v>1.6000000000000005</v>
          </cell>
          <cell r="M91">
            <v>-0.37999999999999978</v>
          </cell>
          <cell r="O91">
            <v>4.0000000000000008E-2</v>
          </cell>
          <cell r="P91">
            <v>3.2999999999999995E-2</v>
          </cell>
          <cell r="Q91">
            <v>-2.76E-2</v>
          </cell>
          <cell r="S91">
            <v>3.0800000000000003E-3</v>
          </cell>
          <cell r="T91">
            <v>3.0800000000000003E-3</v>
          </cell>
          <cell r="U91">
            <v>-3.9399999999999999E-3</v>
          </cell>
          <cell r="W91">
            <v>1.4800000000000004</v>
          </cell>
          <cell r="X91">
            <v>1.4200000000000004</v>
          </cell>
          <cell r="Y91">
            <v>-0.52000000000000024</v>
          </cell>
          <cell r="AA91">
            <v>22.399999999999991</v>
          </cell>
          <cell r="AB91">
            <v>22.399999999999991</v>
          </cell>
          <cell r="AC91">
            <v>-3.2000000000000011</v>
          </cell>
          <cell r="AE91">
            <v>0.44000000000000006</v>
          </cell>
          <cell r="AF91">
            <v>0.44000000000000006</v>
          </cell>
          <cell r="AG91">
            <v>-1.1000000000000005</v>
          </cell>
          <cell r="AI91">
            <v>26.100000000000009</v>
          </cell>
          <cell r="AJ91">
            <v>26.680000000000007</v>
          </cell>
          <cell r="AK91">
            <v>-1.8400000000000003</v>
          </cell>
          <cell r="AO91">
            <v>0.23100000000000001</v>
          </cell>
          <cell r="AP91">
            <v>0.23100000000000001</v>
          </cell>
          <cell r="AQ91">
            <v>-0.24399999999999991</v>
          </cell>
          <cell r="AS91">
            <v>1.5100000000000002E-2</v>
          </cell>
          <cell r="AT91">
            <v>1.5100000000000002E-2</v>
          </cell>
          <cell r="AU91">
            <v>-2.4999999999999998E-2</v>
          </cell>
          <cell r="AW91">
            <v>1.6000000000000005</v>
          </cell>
          <cell r="AX91">
            <v>1.6000000000000005</v>
          </cell>
          <cell r="AY91">
            <v>-0.37999999999999978</v>
          </cell>
          <cell r="BA91">
            <v>4.0000000000000008E-2</v>
          </cell>
          <cell r="BB91">
            <v>3.2999999999999995E-2</v>
          </cell>
          <cell r="BC91">
            <v>-2.76E-2</v>
          </cell>
          <cell r="BE91">
            <v>3.0600000000000002E-3</v>
          </cell>
          <cell r="BF91">
            <v>3.0600000000000002E-3</v>
          </cell>
          <cell r="BG91">
            <v>-4.0600000000000002E-3</v>
          </cell>
          <cell r="BI91">
            <v>1.5400000000000005</v>
          </cell>
          <cell r="BJ91">
            <v>0.89999999999999991</v>
          </cell>
          <cell r="BK91">
            <v>-0.52000000000000024</v>
          </cell>
          <cell r="BM91">
            <v>22.399999999999991</v>
          </cell>
          <cell r="BN91">
            <v>22.399999999999991</v>
          </cell>
          <cell r="BO91">
            <v>-2.84</v>
          </cell>
          <cell r="BQ91">
            <v>0.44000000000000006</v>
          </cell>
          <cell r="BR91">
            <v>0.44000000000000006</v>
          </cell>
          <cell r="BS91">
            <v>-1.1000000000000005</v>
          </cell>
          <cell r="BU91">
            <v>26.100000000000009</v>
          </cell>
          <cell r="BV91">
            <v>26.680000000000007</v>
          </cell>
          <cell r="BW91">
            <v>-2</v>
          </cell>
        </row>
        <row r="92">
          <cell r="C92">
            <v>0.26400000000000001</v>
          </cell>
          <cell r="D92">
            <v>0.26400000000000001</v>
          </cell>
          <cell r="E92">
            <v>-0.16</v>
          </cell>
          <cell r="G92">
            <v>1.8499999999999999E-2</v>
          </cell>
          <cell r="H92">
            <v>1.8499999999999999E-2</v>
          </cell>
          <cell r="I92">
            <v>-2.2499999999999999E-2</v>
          </cell>
          <cell r="K92">
            <v>1.7000000000000006</v>
          </cell>
          <cell r="L92">
            <v>1.7000000000000006</v>
          </cell>
          <cell r="M92">
            <v>-0.30999999999999978</v>
          </cell>
          <cell r="O92">
            <v>4.250000000000001E-2</v>
          </cell>
          <cell r="P92">
            <v>3.5999999999999997E-2</v>
          </cell>
          <cell r="Q92">
            <v>-2.47E-2</v>
          </cell>
          <cell r="S92">
            <v>3.5800000000000003E-3</v>
          </cell>
          <cell r="T92">
            <v>3.5800000000000003E-3</v>
          </cell>
          <cell r="U92">
            <v>-3.4299999999999999E-3</v>
          </cell>
          <cell r="W92">
            <v>1.5600000000000005</v>
          </cell>
          <cell r="X92">
            <v>1.4900000000000004</v>
          </cell>
          <cell r="Y92">
            <v>-0.44000000000000022</v>
          </cell>
          <cell r="AA92">
            <v>22.79999999999999</v>
          </cell>
          <cell r="AB92">
            <v>22.79999999999999</v>
          </cell>
          <cell r="AC92">
            <v>-2.9000000000000012</v>
          </cell>
          <cell r="AE92">
            <v>0.58000000000000007</v>
          </cell>
          <cell r="AF92">
            <v>0.58000000000000007</v>
          </cell>
          <cell r="AG92">
            <v>-0.95000000000000051</v>
          </cell>
          <cell r="AI92">
            <v>26.45000000000001</v>
          </cell>
          <cell r="AJ92">
            <v>26.960000000000008</v>
          </cell>
          <cell r="AK92">
            <v>-1.6300000000000003</v>
          </cell>
          <cell r="AO92">
            <v>0.26400000000000001</v>
          </cell>
          <cell r="AP92">
            <v>0.26400000000000001</v>
          </cell>
          <cell r="AQ92">
            <v>-0.21799999999999992</v>
          </cell>
          <cell r="AS92">
            <v>1.7600000000000001E-2</v>
          </cell>
          <cell r="AT92">
            <v>1.7600000000000001E-2</v>
          </cell>
          <cell r="AU92">
            <v>-2.2499999999999999E-2</v>
          </cell>
          <cell r="AW92">
            <v>1.7000000000000006</v>
          </cell>
          <cell r="AX92">
            <v>1.7000000000000006</v>
          </cell>
          <cell r="AY92">
            <v>-0.30999999999999978</v>
          </cell>
          <cell r="BA92">
            <v>4.250000000000001E-2</v>
          </cell>
          <cell r="BB92">
            <v>3.5999999999999997E-2</v>
          </cell>
          <cell r="BC92">
            <v>-2.47E-2</v>
          </cell>
          <cell r="BE92">
            <v>3.5600000000000002E-3</v>
          </cell>
          <cell r="BF92">
            <v>3.5600000000000002E-3</v>
          </cell>
          <cell r="BG92">
            <v>-3.5700000000000003E-3</v>
          </cell>
          <cell r="BI92">
            <v>1.6300000000000006</v>
          </cell>
          <cell r="BJ92">
            <v>0.99999999999999989</v>
          </cell>
          <cell r="BK92">
            <v>-0.44000000000000022</v>
          </cell>
          <cell r="BM92">
            <v>22.79999999999999</v>
          </cell>
          <cell r="BN92">
            <v>22.79999999999999</v>
          </cell>
          <cell r="BO92">
            <v>-2.48</v>
          </cell>
          <cell r="BQ92">
            <v>0.58000000000000007</v>
          </cell>
          <cell r="BR92">
            <v>0.58000000000000007</v>
          </cell>
          <cell r="BS92">
            <v>-0.95000000000000051</v>
          </cell>
          <cell r="BU92">
            <v>26.45000000000001</v>
          </cell>
          <cell r="BV92">
            <v>26.960000000000008</v>
          </cell>
          <cell r="BW92">
            <v>-1.75</v>
          </cell>
        </row>
        <row r="93">
          <cell r="C93">
            <v>0.29699999999999999</v>
          </cell>
          <cell r="D93">
            <v>0.29699999999999999</v>
          </cell>
          <cell r="E93">
            <v>-0.14000000000000001</v>
          </cell>
          <cell r="G93">
            <v>2.1000000000000001E-2</v>
          </cell>
          <cell r="H93">
            <v>2.1000000000000001E-2</v>
          </cell>
          <cell r="I93">
            <v>-0.02</v>
          </cell>
          <cell r="K93">
            <v>1.8000000000000007</v>
          </cell>
          <cell r="L93">
            <v>1.8000000000000007</v>
          </cell>
          <cell r="M93">
            <v>-0.23999999999999977</v>
          </cell>
          <cell r="O93">
            <v>4.5000000000000012E-2</v>
          </cell>
          <cell r="P93">
            <v>3.9E-2</v>
          </cell>
          <cell r="Q93">
            <v>-2.18E-2</v>
          </cell>
          <cell r="S93">
            <v>4.0800000000000003E-3</v>
          </cell>
          <cell r="T93">
            <v>4.0800000000000003E-3</v>
          </cell>
          <cell r="U93">
            <v>-2.9199999999999999E-3</v>
          </cell>
          <cell r="W93">
            <v>1.6400000000000006</v>
          </cell>
          <cell r="X93">
            <v>1.5600000000000005</v>
          </cell>
          <cell r="Y93">
            <v>-0.36000000000000021</v>
          </cell>
          <cell r="AA93">
            <v>23.199999999999989</v>
          </cell>
          <cell r="AB93">
            <v>23.199999999999989</v>
          </cell>
          <cell r="AC93">
            <v>-2.6000000000000014</v>
          </cell>
          <cell r="AE93">
            <v>0.72000000000000008</v>
          </cell>
          <cell r="AF93">
            <v>0.72000000000000008</v>
          </cell>
          <cell r="AG93">
            <v>-0.80000000000000049</v>
          </cell>
          <cell r="AI93">
            <v>26.800000000000011</v>
          </cell>
          <cell r="AJ93">
            <v>27.240000000000009</v>
          </cell>
          <cell r="AK93">
            <v>-1.4200000000000004</v>
          </cell>
          <cell r="AO93">
            <v>0.29699999999999999</v>
          </cell>
          <cell r="AP93">
            <v>0.29699999999999999</v>
          </cell>
          <cell r="AQ93">
            <v>-0.19199999999999992</v>
          </cell>
          <cell r="AS93">
            <v>2.01E-2</v>
          </cell>
          <cell r="AT93">
            <v>2.01E-2</v>
          </cell>
          <cell r="AU93">
            <v>-0.02</v>
          </cell>
          <cell r="AW93">
            <v>1.8000000000000007</v>
          </cell>
          <cell r="AX93">
            <v>1.8000000000000007</v>
          </cell>
          <cell r="AY93">
            <v>-0.23999999999999977</v>
          </cell>
          <cell r="BA93">
            <v>4.5000000000000012E-2</v>
          </cell>
          <cell r="BB93">
            <v>3.9E-2</v>
          </cell>
          <cell r="BC93">
            <v>-2.18E-2</v>
          </cell>
          <cell r="BE93">
            <v>4.0600000000000002E-3</v>
          </cell>
          <cell r="BF93">
            <v>4.0600000000000002E-3</v>
          </cell>
          <cell r="BG93">
            <v>-3.0800000000000003E-3</v>
          </cell>
          <cell r="BI93">
            <v>1.7200000000000006</v>
          </cell>
          <cell r="BJ93">
            <v>1.0999999999999999</v>
          </cell>
          <cell r="BK93">
            <v>-0.36000000000000021</v>
          </cell>
          <cell r="BM93">
            <v>23.199999999999989</v>
          </cell>
          <cell r="BN93">
            <v>23.199999999999989</v>
          </cell>
          <cell r="BO93">
            <v>-2.12</v>
          </cell>
          <cell r="BQ93">
            <v>0.72000000000000008</v>
          </cell>
          <cell r="BR93">
            <v>0.72000000000000008</v>
          </cell>
          <cell r="BS93">
            <v>-0.80000000000000049</v>
          </cell>
          <cell r="BU93">
            <v>26.800000000000011</v>
          </cell>
          <cell r="BV93">
            <v>27.240000000000009</v>
          </cell>
          <cell r="BW93">
            <v>-1.5</v>
          </cell>
        </row>
        <row r="94">
          <cell r="C94">
            <v>0.33</v>
          </cell>
          <cell r="D94">
            <v>0.33</v>
          </cell>
          <cell r="E94">
            <v>-0.12000000000000001</v>
          </cell>
          <cell r="G94">
            <v>2.35E-2</v>
          </cell>
          <cell r="H94">
            <v>2.35E-2</v>
          </cell>
          <cell r="I94">
            <v>-1.7500000000000002E-2</v>
          </cell>
          <cell r="K94">
            <v>1.9000000000000008</v>
          </cell>
          <cell r="L94">
            <v>1.9000000000000008</v>
          </cell>
          <cell r="M94">
            <v>-0.16999999999999976</v>
          </cell>
          <cell r="O94">
            <v>4.7500000000000014E-2</v>
          </cell>
          <cell r="P94">
            <v>4.2000000000000003E-2</v>
          </cell>
          <cell r="Q94">
            <v>-1.89E-2</v>
          </cell>
          <cell r="S94">
            <v>4.5800000000000007E-3</v>
          </cell>
          <cell r="T94">
            <v>4.5800000000000007E-3</v>
          </cell>
          <cell r="U94">
            <v>-2.4099999999999998E-3</v>
          </cell>
          <cell r="W94">
            <v>1.7200000000000006</v>
          </cell>
          <cell r="X94">
            <v>1.6300000000000006</v>
          </cell>
          <cell r="Y94">
            <v>-0.28000000000000019</v>
          </cell>
          <cell r="AA94">
            <v>23.599999999999987</v>
          </cell>
          <cell r="AB94">
            <v>23.599999999999987</v>
          </cell>
          <cell r="AC94">
            <v>-2.3000000000000016</v>
          </cell>
          <cell r="AE94">
            <v>0.8600000000000001</v>
          </cell>
          <cell r="AF94">
            <v>0.8600000000000001</v>
          </cell>
          <cell r="AG94">
            <v>-0.65000000000000047</v>
          </cell>
          <cell r="AI94">
            <v>27.150000000000013</v>
          </cell>
          <cell r="AJ94">
            <v>27.52000000000001</v>
          </cell>
          <cell r="AK94">
            <v>-1.2100000000000004</v>
          </cell>
          <cell r="AO94">
            <v>0.33</v>
          </cell>
          <cell r="AP94">
            <v>0.33</v>
          </cell>
          <cell r="AQ94">
            <v>-0.16599999999999993</v>
          </cell>
          <cell r="AS94">
            <v>2.2599999999999999E-2</v>
          </cell>
          <cell r="AT94">
            <v>2.2599999999999999E-2</v>
          </cell>
          <cell r="AU94">
            <v>-1.7500000000000002E-2</v>
          </cell>
          <cell r="AW94">
            <v>1.9000000000000008</v>
          </cell>
          <cell r="AX94">
            <v>1.9000000000000008</v>
          </cell>
          <cell r="AY94">
            <v>-0.16999999999999976</v>
          </cell>
          <cell r="BA94">
            <v>4.7500000000000014E-2</v>
          </cell>
          <cell r="BB94">
            <v>4.2000000000000003E-2</v>
          </cell>
          <cell r="BC94">
            <v>-1.89E-2</v>
          </cell>
          <cell r="BE94">
            <v>4.5599999999999998E-3</v>
          </cell>
          <cell r="BF94">
            <v>4.5599999999999998E-3</v>
          </cell>
          <cell r="BG94">
            <v>-2.5900000000000003E-3</v>
          </cell>
          <cell r="BI94">
            <v>1.8100000000000007</v>
          </cell>
          <cell r="BJ94">
            <v>1.2</v>
          </cell>
          <cell r="BK94">
            <v>-0.28000000000000019</v>
          </cell>
          <cell r="BM94">
            <v>23.599999999999987</v>
          </cell>
          <cell r="BN94">
            <v>23.599999999999987</v>
          </cell>
          <cell r="BO94">
            <v>-1.7600000000000002</v>
          </cell>
          <cell r="BQ94">
            <v>0.8600000000000001</v>
          </cell>
          <cell r="BR94">
            <v>0.8600000000000001</v>
          </cell>
          <cell r="BS94">
            <v>-0.65000000000000047</v>
          </cell>
          <cell r="BU94">
            <v>27.150000000000013</v>
          </cell>
          <cell r="BV94">
            <v>27.52000000000001</v>
          </cell>
          <cell r="BW94">
            <v>-1.25</v>
          </cell>
        </row>
        <row r="95">
          <cell r="C95">
            <v>0.36299999999999999</v>
          </cell>
          <cell r="D95">
            <v>0.36299999999999999</v>
          </cell>
          <cell r="E95">
            <v>-0.1</v>
          </cell>
          <cell r="G95">
            <v>2.5999999999999999E-2</v>
          </cell>
          <cell r="H95">
            <v>2.5999999999999999E-2</v>
          </cell>
          <cell r="I95">
            <v>-1.5000000000000001E-2</v>
          </cell>
          <cell r="K95">
            <v>2.0000000000000009</v>
          </cell>
          <cell r="L95">
            <v>2.0000000000000009</v>
          </cell>
          <cell r="M95">
            <v>-9.9999999999999756E-2</v>
          </cell>
          <cell r="O95">
            <v>5.0000000000000017E-2</v>
          </cell>
          <cell r="P95">
            <v>4.5000000000000005E-2</v>
          </cell>
          <cell r="Q95">
            <v>-1.6E-2</v>
          </cell>
          <cell r="S95">
            <v>5.0800000000000012E-3</v>
          </cell>
          <cell r="T95">
            <v>5.0800000000000012E-3</v>
          </cell>
          <cell r="U95">
            <v>-1.8999999999999998E-3</v>
          </cell>
          <cell r="W95">
            <v>1.8000000000000007</v>
          </cell>
          <cell r="X95">
            <v>1.7000000000000006</v>
          </cell>
          <cell r="Y95">
            <v>-0.20000000000000018</v>
          </cell>
          <cell r="AA95">
            <v>23.999999999999986</v>
          </cell>
          <cell r="AB95">
            <v>23.999999999999986</v>
          </cell>
          <cell r="AC95">
            <v>-2.0000000000000018</v>
          </cell>
          <cell r="AE95">
            <v>1</v>
          </cell>
          <cell r="AF95">
            <v>1</v>
          </cell>
          <cell r="AG95">
            <v>-0.50000000000000044</v>
          </cell>
          <cell r="AI95">
            <v>27.500000000000014</v>
          </cell>
          <cell r="AJ95">
            <v>27.800000000000011</v>
          </cell>
          <cell r="AK95">
            <v>-1.0000000000000004</v>
          </cell>
          <cell r="AO95">
            <v>0.36299999999999999</v>
          </cell>
          <cell r="AP95">
            <v>0.36299999999999999</v>
          </cell>
          <cell r="AQ95">
            <v>-0.13999999999999993</v>
          </cell>
          <cell r="AS95">
            <v>2.5099999999999997E-2</v>
          </cell>
          <cell r="AT95">
            <v>2.5099999999999997E-2</v>
          </cell>
          <cell r="AU95">
            <v>-1.5000000000000001E-2</v>
          </cell>
          <cell r="AW95">
            <v>2.0000000000000009</v>
          </cell>
          <cell r="AX95">
            <v>2.0000000000000009</v>
          </cell>
          <cell r="AY95">
            <v>-9.9999999999999756E-2</v>
          </cell>
          <cell r="BA95">
            <v>5.0000000000000017E-2</v>
          </cell>
          <cell r="BB95">
            <v>4.5000000000000005E-2</v>
          </cell>
          <cell r="BC95">
            <v>-1.6E-2</v>
          </cell>
          <cell r="BE95">
            <v>5.0600000000000003E-3</v>
          </cell>
          <cell r="BF95">
            <v>5.0600000000000003E-3</v>
          </cell>
          <cell r="BG95">
            <v>-2.1000000000000003E-3</v>
          </cell>
          <cell r="BI95">
            <v>1.9000000000000008</v>
          </cell>
          <cell r="BJ95">
            <v>1.3</v>
          </cell>
          <cell r="BK95">
            <v>-0.20000000000000018</v>
          </cell>
          <cell r="BM95">
            <v>23.999999999999986</v>
          </cell>
          <cell r="BN95">
            <v>23.999999999999986</v>
          </cell>
          <cell r="BO95">
            <v>-1.4000000000000004</v>
          </cell>
          <cell r="BQ95">
            <v>1</v>
          </cell>
          <cell r="BR95">
            <v>1</v>
          </cell>
          <cell r="BS95">
            <v>-0.50000000000000044</v>
          </cell>
          <cell r="BU95">
            <v>27.500000000000014</v>
          </cell>
          <cell r="BV95">
            <v>27.800000000000011</v>
          </cell>
          <cell r="BW95">
            <v>-1</v>
          </cell>
        </row>
        <row r="96">
          <cell r="C96">
            <v>0.39600000000000002</v>
          </cell>
          <cell r="D96">
            <v>0.39600000000000002</v>
          </cell>
          <cell r="E96">
            <v>-0.08</v>
          </cell>
          <cell r="G96">
            <v>2.8500000000000001E-2</v>
          </cell>
          <cell r="H96">
            <v>2.8500000000000001E-2</v>
          </cell>
          <cell r="I96">
            <v>-1.2500000000000001E-2</v>
          </cell>
          <cell r="K96">
            <v>2.100000000000001</v>
          </cell>
          <cell r="L96">
            <v>2.100000000000001</v>
          </cell>
          <cell r="M96">
            <v>-2.9999999999999749E-2</v>
          </cell>
          <cell r="O96">
            <v>5.2500000000000019E-2</v>
          </cell>
          <cell r="P96">
            <v>4.8000000000000008E-2</v>
          </cell>
          <cell r="Q96">
            <v>-1.3100000000000001E-2</v>
          </cell>
          <cell r="S96">
            <v>5.5800000000000016E-3</v>
          </cell>
          <cell r="T96">
            <v>5.5800000000000016E-3</v>
          </cell>
          <cell r="U96">
            <v>-1.3899999999999997E-3</v>
          </cell>
          <cell r="W96">
            <v>1.8800000000000008</v>
          </cell>
          <cell r="X96">
            <v>1.7700000000000007</v>
          </cell>
          <cell r="Y96">
            <v>-0.12000000000000018</v>
          </cell>
          <cell r="AA96">
            <v>24.399999999999984</v>
          </cell>
          <cell r="AB96">
            <v>24.399999999999984</v>
          </cell>
          <cell r="AC96">
            <v>-1.7000000000000017</v>
          </cell>
          <cell r="AE96">
            <v>1.1400000000000001</v>
          </cell>
          <cell r="AF96">
            <v>1.1400000000000001</v>
          </cell>
          <cell r="AG96">
            <v>-0.35000000000000042</v>
          </cell>
          <cell r="AI96">
            <v>27.850000000000016</v>
          </cell>
          <cell r="AJ96">
            <v>28.080000000000013</v>
          </cell>
          <cell r="AK96">
            <v>-0.79000000000000048</v>
          </cell>
          <cell r="AO96">
            <v>0.39600000000000002</v>
          </cell>
          <cell r="AP96">
            <v>0.39600000000000002</v>
          </cell>
          <cell r="AQ96">
            <v>-0.11399999999999993</v>
          </cell>
          <cell r="AS96">
            <v>2.7599999999999996E-2</v>
          </cell>
          <cell r="AT96">
            <v>2.7599999999999996E-2</v>
          </cell>
          <cell r="AU96">
            <v>-1.2500000000000001E-2</v>
          </cell>
          <cell r="AW96">
            <v>2.100000000000001</v>
          </cell>
          <cell r="AX96">
            <v>2.100000000000001</v>
          </cell>
          <cell r="AY96">
            <v>-2.9999999999999749E-2</v>
          </cell>
          <cell r="BA96">
            <v>5.2500000000000019E-2</v>
          </cell>
          <cell r="BB96">
            <v>4.8000000000000008E-2</v>
          </cell>
          <cell r="BC96">
            <v>-1.3100000000000001E-2</v>
          </cell>
          <cell r="BE96">
            <v>5.5600000000000007E-3</v>
          </cell>
          <cell r="BF96">
            <v>5.5600000000000007E-3</v>
          </cell>
          <cell r="BG96">
            <v>-1.6100000000000003E-3</v>
          </cell>
          <cell r="BI96">
            <v>1.9900000000000009</v>
          </cell>
          <cell r="BJ96">
            <v>1.4000000000000001</v>
          </cell>
          <cell r="BK96">
            <v>-0.12000000000000018</v>
          </cell>
          <cell r="BM96">
            <v>24.399999999999984</v>
          </cell>
          <cell r="BN96">
            <v>24.399999999999984</v>
          </cell>
          <cell r="BO96">
            <v>-1.0400000000000005</v>
          </cell>
          <cell r="BQ96">
            <v>1.1400000000000001</v>
          </cell>
          <cell r="BR96">
            <v>1.1400000000000001</v>
          </cell>
          <cell r="BS96">
            <v>-0.35000000000000042</v>
          </cell>
          <cell r="BU96">
            <v>27.850000000000016</v>
          </cell>
          <cell r="BV96">
            <v>28.080000000000013</v>
          </cell>
          <cell r="BW96">
            <v>-0.75</v>
          </cell>
        </row>
        <row r="97">
          <cell r="C97">
            <v>0.42899999999999999</v>
          </cell>
          <cell r="D97">
            <v>0.42899999999999999</v>
          </cell>
          <cell r="E97">
            <v>-0.06</v>
          </cell>
          <cell r="G97">
            <v>3.1E-2</v>
          </cell>
          <cell r="H97">
            <v>3.1E-2</v>
          </cell>
          <cell r="I97">
            <v>-0.01</v>
          </cell>
          <cell r="K97">
            <v>2.2000000000000011</v>
          </cell>
          <cell r="L97">
            <v>2.2000000000000011</v>
          </cell>
          <cell r="M97">
            <v>4.0000000000000258E-2</v>
          </cell>
          <cell r="O97">
            <v>5.5000000000000021E-2</v>
          </cell>
          <cell r="P97">
            <v>5.1000000000000011E-2</v>
          </cell>
          <cell r="Q97">
            <v>-1.0200000000000001E-2</v>
          </cell>
          <cell r="S97">
            <v>6.0800000000000021E-3</v>
          </cell>
          <cell r="T97">
            <v>6.0800000000000021E-3</v>
          </cell>
          <cell r="U97">
            <v>-8.7999999999999971E-4</v>
          </cell>
          <cell r="W97">
            <v>1.9600000000000009</v>
          </cell>
          <cell r="X97">
            <v>1.8400000000000007</v>
          </cell>
          <cell r="Y97">
            <v>-4.0000000000000174E-2</v>
          </cell>
          <cell r="AA97">
            <v>24.799999999999983</v>
          </cell>
          <cell r="AB97">
            <v>24.799999999999983</v>
          </cell>
          <cell r="AC97">
            <v>-1.4000000000000017</v>
          </cell>
          <cell r="AE97">
            <v>1.2800000000000002</v>
          </cell>
          <cell r="AF97">
            <v>1.2800000000000002</v>
          </cell>
          <cell r="AG97">
            <v>-0.20000000000000043</v>
          </cell>
          <cell r="AI97">
            <v>28.200000000000017</v>
          </cell>
          <cell r="AJ97">
            <v>28.360000000000014</v>
          </cell>
          <cell r="AK97">
            <v>-0.58000000000000052</v>
          </cell>
          <cell r="AO97">
            <v>0.42899999999999999</v>
          </cell>
          <cell r="AP97">
            <v>0.42899999999999999</v>
          </cell>
          <cell r="AQ97">
            <v>-8.7999999999999939E-2</v>
          </cell>
          <cell r="AS97">
            <v>3.0099999999999995E-2</v>
          </cell>
          <cell r="AT97">
            <v>3.0099999999999995E-2</v>
          </cell>
          <cell r="AU97">
            <v>-0.01</v>
          </cell>
          <cell r="AW97">
            <v>2.2000000000000011</v>
          </cell>
          <cell r="AX97">
            <v>2.2000000000000011</v>
          </cell>
          <cell r="AY97">
            <v>4.0000000000000258E-2</v>
          </cell>
          <cell r="BA97">
            <v>5.5000000000000021E-2</v>
          </cell>
          <cell r="BB97">
            <v>5.1000000000000011E-2</v>
          </cell>
          <cell r="BC97">
            <v>-1.0200000000000001E-2</v>
          </cell>
          <cell r="BE97">
            <v>6.0600000000000011E-3</v>
          </cell>
          <cell r="BF97">
            <v>6.0600000000000011E-3</v>
          </cell>
          <cell r="BG97">
            <v>-1.1200000000000003E-3</v>
          </cell>
          <cell r="BI97">
            <v>2.080000000000001</v>
          </cell>
          <cell r="BJ97">
            <v>1.5000000000000002</v>
          </cell>
          <cell r="BK97">
            <v>-4.0000000000000174E-2</v>
          </cell>
          <cell r="BM97">
            <v>24.799999999999983</v>
          </cell>
          <cell r="BN97">
            <v>24.799999999999983</v>
          </cell>
          <cell r="BO97">
            <v>-0.68000000000000049</v>
          </cell>
          <cell r="BQ97">
            <v>1.2800000000000002</v>
          </cell>
          <cell r="BR97">
            <v>1.2800000000000002</v>
          </cell>
          <cell r="BS97">
            <v>-0.20000000000000043</v>
          </cell>
          <cell r="BU97">
            <v>28.200000000000017</v>
          </cell>
          <cell r="BV97">
            <v>28.360000000000014</v>
          </cell>
          <cell r="BW97">
            <v>-0.5</v>
          </cell>
        </row>
        <row r="98">
          <cell r="C98">
            <v>0.46200000000000002</v>
          </cell>
          <cell r="D98">
            <v>0.46200000000000002</v>
          </cell>
          <cell r="E98">
            <v>-3.9999999999999994E-2</v>
          </cell>
          <cell r="G98">
            <v>3.3500000000000002E-2</v>
          </cell>
          <cell r="H98">
            <v>3.3500000000000002E-2</v>
          </cell>
          <cell r="I98">
            <v>-7.4999999999999997E-3</v>
          </cell>
          <cell r="K98">
            <v>2.3000000000000012</v>
          </cell>
          <cell r="L98">
            <v>2.3000000000000012</v>
          </cell>
          <cell r="M98">
            <v>0.11000000000000026</v>
          </cell>
          <cell r="O98">
            <v>5.7500000000000023E-2</v>
          </cell>
          <cell r="P98">
            <v>5.4000000000000013E-2</v>
          </cell>
          <cell r="Q98">
            <v>-7.3000000000000009E-3</v>
          </cell>
          <cell r="S98">
            <v>6.5800000000000025E-3</v>
          </cell>
          <cell r="T98">
            <v>6.5800000000000025E-3</v>
          </cell>
          <cell r="U98">
            <v>-3.6999999999999967E-4</v>
          </cell>
          <cell r="W98">
            <v>2.0400000000000009</v>
          </cell>
          <cell r="X98">
            <v>1.9100000000000008</v>
          </cell>
          <cell r="Y98">
            <v>3.9999999999999827E-2</v>
          </cell>
          <cell r="AA98">
            <v>25.199999999999982</v>
          </cell>
          <cell r="AB98">
            <v>25.199999999999982</v>
          </cell>
          <cell r="AC98">
            <v>-1.1000000000000016</v>
          </cell>
          <cell r="AE98">
            <v>1.4200000000000004</v>
          </cell>
          <cell r="AF98">
            <v>1.4200000000000004</v>
          </cell>
          <cell r="AG98">
            <v>-5.0000000000000433E-2</v>
          </cell>
          <cell r="AI98">
            <v>28.550000000000018</v>
          </cell>
          <cell r="AJ98">
            <v>28.640000000000015</v>
          </cell>
          <cell r="AK98">
            <v>-0.37000000000000055</v>
          </cell>
          <cell r="AO98">
            <v>0.46200000000000002</v>
          </cell>
          <cell r="AP98">
            <v>0.46200000000000002</v>
          </cell>
          <cell r="AQ98">
            <v>-6.1999999999999944E-2</v>
          </cell>
          <cell r="AS98">
            <v>3.2599999999999997E-2</v>
          </cell>
          <cell r="AT98">
            <v>3.2599999999999997E-2</v>
          </cell>
          <cell r="AU98">
            <v>-7.4999999999999997E-3</v>
          </cell>
          <cell r="AW98">
            <v>2.3000000000000012</v>
          </cell>
          <cell r="AX98">
            <v>2.3000000000000012</v>
          </cell>
          <cell r="AY98">
            <v>0.11000000000000026</v>
          </cell>
          <cell r="BA98">
            <v>5.7500000000000023E-2</v>
          </cell>
          <cell r="BB98">
            <v>5.4000000000000013E-2</v>
          </cell>
          <cell r="BC98">
            <v>-7.3000000000000009E-3</v>
          </cell>
          <cell r="BE98">
            <v>6.5600000000000016E-3</v>
          </cell>
          <cell r="BF98">
            <v>6.5600000000000016E-3</v>
          </cell>
          <cell r="BG98">
            <v>-6.3000000000000035E-4</v>
          </cell>
          <cell r="BI98">
            <v>2.1700000000000008</v>
          </cell>
          <cell r="BJ98">
            <v>1.6000000000000003</v>
          </cell>
          <cell r="BK98">
            <v>3.9999999999999827E-2</v>
          </cell>
          <cell r="BM98">
            <v>25.199999999999982</v>
          </cell>
          <cell r="BN98">
            <v>25.199999999999982</v>
          </cell>
          <cell r="BO98">
            <v>-0.32000000000000051</v>
          </cell>
          <cell r="BQ98">
            <v>1.4200000000000004</v>
          </cell>
          <cell r="BR98">
            <v>1.4200000000000004</v>
          </cell>
          <cell r="BS98">
            <v>-5.0000000000000433E-2</v>
          </cell>
          <cell r="BU98">
            <v>28.550000000000018</v>
          </cell>
          <cell r="BV98">
            <v>28.640000000000015</v>
          </cell>
          <cell r="BW98">
            <v>-0.25</v>
          </cell>
        </row>
        <row r="99">
          <cell r="C99">
            <v>0.495</v>
          </cell>
          <cell r="D99">
            <v>0.495</v>
          </cell>
          <cell r="E99">
            <v>-1.9999999999999993E-2</v>
          </cell>
          <cell r="G99">
            <v>3.5999999999999997E-2</v>
          </cell>
          <cell r="H99">
            <v>3.5999999999999997E-2</v>
          </cell>
          <cell r="I99">
            <v>-4.9999999999999992E-3</v>
          </cell>
          <cell r="K99">
            <v>2.4000000000000012</v>
          </cell>
          <cell r="L99">
            <v>2.4000000000000012</v>
          </cell>
          <cell r="M99">
            <v>0.18000000000000027</v>
          </cell>
          <cell r="O99">
            <v>6.0000000000000026E-2</v>
          </cell>
          <cell r="P99">
            <v>5.7000000000000016E-2</v>
          </cell>
          <cell r="Q99">
            <v>-4.4000000000000011E-3</v>
          </cell>
          <cell r="S99">
            <v>7.080000000000003E-3</v>
          </cell>
          <cell r="T99">
            <v>7.080000000000003E-3</v>
          </cell>
          <cell r="U99">
            <v>1.4000000000000037E-4</v>
          </cell>
          <cell r="W99">
            <v>2.120000000000001</v>
          </cell>
          <cell r="X99">
            <v>1.9800000000000009</v>
          </cell>
          <cell r="Y99">
            <v>0.11999999999999983</v>
          </cell>
          <cell r="AA99">
            <v>25.59999999999998</v>
          </cell>
          <cell r="AB99">
            <v>25.59999999999998</v>
          </cell>
          <cell r="AC99">
            <v>-0.8000000000000016</v>
          </cell>
          <cell r="AE99">
            <v>1.5600000000000005</v>
          </cell>
          <cell r="AF99">
            <v>1.5600000000000005</v>
          </cell>
          <cell r="AG99">
            <v>9.9999999999999561E-2</v>
          </cell>
          <cell r="AI99">
            <v>28.90000000000002</v>
          </cell>
          <cell r="AJ99">
            <v>28.920000000000016</v>
          </cell>
          <cell r="AK99">
            <v>-0.16000000000000056</v>
          </cell>
          <cell r="AO99">
            <v>0.495</v>
          </cell>
          <cell r="AP99">
            <v>0.495</v>
          </cell>
          <cell r="AQ99">
            <v>-3.5999999999999949E-2</v>
          </cell>
          <cell r="AS99">
            <v>3.5099999999999999E-2</v>
          </cell>
          <cell r="AT99">
            <v>3.5099999999999999E-2</v>
          </cell>
          <cell r="AU99">
            <v>-4.9999999999999992E-3</v>
          </cell>
          <cell r="AW99">
            <v>2.4000000000000012</v>
          </cell>
          <cell r="AX99">
            <v>2.4000000000000012</v>
          </cell>
          <cell r="AY99">
            <v>0.18000000000000027</v>
          </cell>
          <cell r="BA99">
            <v>6.0000000000000026E-2</v>
          </cell>
          <cell r="BB99">
            <v>5.7000000000000016E-2</v>
          </cell>
          <cell r="BC99">
            <v>-4.4000000000000011E-3</v>
          </cell>
          <cell r="BE99">
            <v>7.060000000000002E-3</v>
          </cell>
          <cell r="BF99">
            <v>7.060000000000002E-3</v>
          </cell>
          <cell r="BG99">
            <v>-1.4000000000000037E-4</v>
          </cell>
          <cell r="BI99">
            <v>2.2600000000000007</v>
          </cell>
          <cell r="BJ99">
            <v>1.7000000000000004</v>
          </cell>
          <cell r="BK99">
            <v>0.11999999999999983</v>
          </cell>
          <cell r="BM99">
            <v>25.59999999999998</v>
          </cell>
          <cell r="BN99">
            <v>25.59999999999998</v>
          </cell>
          <cell r="BO99">
            <v>3.999999999999948E-2</v>
          </cell>
          <cell r="BQ99">
            <v>1.5600000000000005</v>
          </cell>
          <cell r="BR99">
            <v>1.5600000000000005</v>
          </cell>
          <cell r="BS99">
            <v>9.9999999999999561E-2</v>
          </cell>
          <cell r="BU99">
            <v>28.90000000000002</v>
          </cell>
          <cell r="BV99">
            <v>28.920000000000016</v>
          </cell>
          <cell r="BW99">
            <v>0</v>
          </cell>
        </row>
        <row r="100">
          <cell r="C100">
            <v>0.52800000000000002</v>
          </cell>
          <cell r="D100">
            <v>0.52800000000000002</v>
          </cell>
          <cell r="E100">
            <v>0</v>
          </cell>
          <cell r="G100">
            <v>3.85E-2</v>
          </cell>
          <cell r="H100">
            <v>3.85E-2</v>
          </cell>
          <cell r="I100">
            <v>-2.4999999999999992E-3</v>
          </cell>
          <cell r="K100">
            <v>2.5000000000000013</v>
          </cell>
          <cell r="L100">
            <v>2.5000000000000013</v>
          </cell>
          <cell r="M100">
            <v>0.25000000000000028</v>
          </cell>
          <cell r="O100">
            <v>6.2500000000000028E-2</v>
          </cell>
          <cell r="P100">
            <v>6.0000000000000019E-2</v>
          </cell>
          <cell r="Q100">
            <v>-1.5000000000000013E-3</v>
          </cell>
          <cell r="S100">
            <v>7.5800000000000034E-3</v>
          </cell>
          <cell r="T100">
            <v>7.5800000000000034E-3</v>
          </cell>
          <cell r="U100">
            <v>6.500000000000004E-4</v>
          </cell>
          <cell r="W100">
            <v>2.2000000000000011</v>
          </cell>
          <cell r="X100">
            <v>2.0500000000000007</v>
          </cell>
          <cell r="Y100">
            <v>0.19999999999999984</v>
          </cell>
          <cell r="AA100">
            <v>25.999999999999979</v>
          </cell>
          <cell r="AB100">
            <v>25.999999999999979</v>
          </cell>
          <cell r="AC100">
            <v>-0.50000000000000155</v>
          </cell>
          <cell r="AE100">
            <v>1.7000000000000006</v>
          </cell>
          <cell r="AF100">
            <v>1.7000000000000006</v>
          </cell>
          <cell r="AG100">
            <v>0.24999999999999956</v>
          </cell>
          <cell r="AI100">
            <v>29.250000000000021</v>
          </cell>
          <cell r="AJ100">
            <v>29.200000000000017</v>
          </cell>
          <cell r="AK100">
            <v>4.9999999999999434E-2</v>
          </cell>
          <cell r="AO100">
            <v>0.52800000000000002</v>
          </cell>
          <cell r="AP100">
            <v>0.52800000000000002</v>
          </cell>
          <cell r="AQ100">
            <v>-9.9999999999999499E-3</v>
          </cell>
          <cell r="AS100">
            <v>3.7600000000000001E-2</v>
          </cell>
          <cell r="AT100">
            <v>3.7600000000000001E-2</v>
          </cell>
          <cell r="AU100">
            <v>-2.4999999999999992E-3</v>
          </cell>
          <cell r="AW100">
            <v>2.5000000000000013</v>
          </cell>
          <cell r="AX100">
            <v>2.5000000000000013</v>
          </cell>
          <cell r="AY100">
            <v>0.25000000000000028</v>
          </cell>
          <cell r="BA100">
            <v>6.2500000000000028E-2</v>
          </cell>
          <cell r="BB100">
            <v>6.0000000000000019E-2</v>
          </cell>
          <cell r="BC100">
            <v>-1.5000000000000013E-3</v>
          </cell>
          <cell r="BE100">
            <v>7.5600000000000025E-3</v>
          </cell>
          <cell r="BF100">
            <v>7.5600000000000025E-3</v>
          </cell>
          <cell r="BG100">
            <v>3.4999999999999962E-4</v>
          </cell>
          <cell r="BI100">
            <v>2.3500000000000005</v>
          </cell>
          <cell r="BJ100">
            <v>1.8000000000000005</v>
          </cell>
          <cell r="BK100">
            <v>0.19999999999999984</v>
          </cell>
          <cell r="BM100">
            <v>25.999999999999979</v>
          </cell>
          <cell r="BN100">
            <v>25.999999999999979</v>
          </cell>
          <cell r="BO100">
            <v>0.39999999999999947</v>
          </cell>
          <cell r="BQ100">
            <v>1.7000000000000006</v>
          </cell>
          <cell r="BR100">
            <v>1.7000000000000006</v>
          </cell>
          <cell r="BS100">
            <v>0.24999999999999956</v>
          </cell>
          <cell r="BU100">
            <v>29.250000000000021</v>
          </cell>
          <cell r="BV100">
            <v>29.200000000000017</v>
          </cell>
          <cell r="BW100">
            <v>0.25</v>
          </cell>
        </row>
        <row r="101">
          <cell r="C101">
            <v>0.56100000000000005</v>
          </cell>
          <cell r="D101">
            <v>0.56100000000000005</v>
          </cell>
          <cell r="E101">
            <v>0.02</v>
          </cell>
          <cell r="G101">
            <v>4.1000000000000002E-2</v>
          </cell>
          <cell r="H101">
            <v>4.1000000000000002E-2</v>
          </cell>
          <cell r="I101">
            <v>0</v>
          </cell>
          <cell r="K101">
            <v>2.6000000000000014</v>
          </cell>
          <cell r="L101">
            <v>2.6000000000000014</v>
          </cell>
          <cell r="M101">
            <v>0.32000000000000028</v>
          </cell>
          <cell r="O101">
            <v>6.500000000000003E-2</v>
          </cell>
          <cell r="P101">
            <v>6.3000000000000014E-2</v>
          </cell>
          <cell r="Q101">
            <v>1.3999999999999985E-3</v>
          </cell>
          <cell r="S101">
            <v>8.0800000000000038E-3</v>
          </cell>
          <cell r="T101">
            <v>8.0800000000000038E-3</v>
          </cell>
          <cell r="U101">
            <v>1.1600000000000004E-3</v>
          </cell>
          <cell r="W101">
            <v>2.2800000000000011</v>
          </cell>
          <cell r="X101">
            <v>2.1200000000000006</v>
          </cell>
          <cell r="Y101">
            <v>0.27999999999999986</v>
          </cell>
          <cell r="AA101">
            <v>26.399999999999977</v>
          </cell>
          <cell r="AB101">
            <v>26.399999999999977</v>
          </cell>
          <cell r="AC101">
            <v>-0.20000000000000157</v>
          </cell>
          <cell r="AE101">
            <v>1.8400000000000007</v>
          </cell>
          <cell r="AF101">
            <v>1.8400000000000007</v>
          </cell>
          <cell r="AG101">
            <v>0.39999999999999958</v>
          </cell>
          <cell r="AI101">
            <v>29.600000000000023</v>
          </cell>
          <cell r="AJ101">
            <v>29.480000000000018</v>
          </cell>
          <cell r="AK101">
            <v>0.25999999999999945</v>
          </cell>
          <cell r="AO101">
            <v>0.56100000000000005</v>
          </cell>
          <cell r="AP101">
            <v>0.56100000000000005</v>
          </cell>
          <cell r="AQ101">
            <v>1.6000000000000049E-2</v>
          </cell>
          <cell r="AS101">
            <v>4.0100000000000004E-2</v>
          </cell>
          <cell r="AT101">
            <v>4.0100000000000004E-2</v>
          </cell>
          <cell r="AU101">
            <v>0</v>
          </cell>
          <cell r="AW101">
            <v>2.6000000000000014</v>
          </cell>
          <cell r="AX101">
            <v>2.6000000000000014</v>
          </cell>
          <cell r="AY101">
            <v>0.32000000000000028</v>
          </cell>
          <cell r="BA101">
            <v>6.500000000000003E-2</v>
          </cell>
          <cell r="BB101">
            <v>6.3000000000000014E-2</v>
          </cell>
          <cell r="BC101">
            <v>1.3999999999999985E-3</v>
          </cell>
          <cell r="BE101">
            <v>8.0600000000000029E-3</v>
          </cell>
          <cell r="BF101">
            <v>8.0600000000000029E-3</v>
          </cell>
          <cell r="BG101">
            <v>8.399999999999996E-4</v>
          </cell>
          <cell r="BI101">
            <v>2.4400000000000004</v>
          </cell>
          <cell r="BJ101">
            <v>1.9000000000000006</v>
          </cell>
          <cell r="BK101">
            <v>0.27999999999999986</v>
          </cell>
          <cell r="BM101">
            <v>26.399999999999977</v>
          </cell>
          <cell r="BN101">
            <v>26.399999999999977</v>
          </cell>
          <cell r="BO101">
            <v>0.75999999999999945</v>
          </cell>
          <cell r="BQ101">
            <v>1.8400000000000007</v>
          </cell>
          <cell r="BR101">
            <v>1.8400000000000007</v>
          </cell>
          <cell r="BS101">
            <v>0.39999999999999958</v>
          </cell>
          <cell r="BU101">
            <v>29.600000000000023</v>
          </cell>
          <cell r="BV101">
            <v>29.480000000000018</v>
          </cell>
          <cell r="BW101">
            <v>0.5</v>
          </cell>
        </row>
        <row r="102">
          <cell r="C102">
            <v>0.59399999999999997</v>
          </cell>
          <cell r="D102">
            <v>0.59399999999999997</v>
          </cell>
          <cell r="E102">
            <v>0.04</v>
          </cell>
          <cell r="G102">
            <v>4.3499999999999997E-2</v>
          </cell>
          <cell r="H102">
            <v>4.3499999999999997E-2</v>
          </cell>
          <cell r="I102">
            <v>2.5000000000000001E-3</v>
          </cell>
          <cell r="K102">
            <v>2.7000000000000015</v>
          </cell>
          <cell r="L102">
            <v>2.7000000000000015</v>
          </cell>
          <cell r="M102">
            <v>0.39000000000000029</v>
          </cell>
          <cell r="O102">
            <v>6.7500000000000032E-2</v>
          </cell>
          <cell r="P102">
            <v>6.6000000000000017E-2</v>
          </cell>
          <cell r="Q102">
            <v>4.2999999999999983E-3</v>
          </cell>
          <cell r="S102">
            <v>8.5800000000000043E-3</v>
          </cell>
          <cell r="T102">
            <v>8.5800000000000043E-3</v>
          </cell>
          <cell r="U102">
            <v>1.6700000000000005E-3</v>
          </cell>
          <cell r="W102">
            <v>2.3600000000000012</v>
          </cell>
          <cell r="X102">
            <v>2.1900000000000004</v>
          </cell>
          <cell r="Y102">
            <v>0.35999999999999988</v>
          </cell>
          <cell r="AA102">
            <v>26.799999999999976</v>
          </cell>
          <cell r="AB102">
            <v>26.799999999999976</v>
          </cell>
          <cell r="AC102">
            <v>9.9999999999998423E-2</v>
          </cell>
          <cell r="AE102">
            <v>1.9800000000000009</v>
          </cell>
          <cell r="AF102">
            <v>1.9800000000000009</v>
          </cell>
          <cell r="AG102">
            <v>0.5499999999999996</v>
          </cell>
          <cell r="AI102">
            <v>29.950000000000024</v>
          </cell>
          <cell r="AJ102">
            <v>29.760000000000019</v>
          </cell>
          <cell r="AK102">
            <v>0.46999999999999942</v>
          </cell>
          <cell r="AO102">
            <v>0.59399999999999997</v>
          </cell>
          <cell r="AP102">
            <v>0.59399999999999997</v>
          </cell>
          <cell r="AQ102">
            <v>4.2000000000000051E-2</v>
          </cell>
          <cell r="AS102">
            <v>4.2600000000000006E-2</v>
          </cell>
          <cell r="AT102">
            <v>4.2600000000000006E-2</v>
          </cell>
          <cell r="AU102">
            <v>2.5000000000000001E-3</v>
          </cell>
          <cell r="AW102">
            <v>2.7000000000000015</v>
          </cell>
          <cell r="AX102">
            <v>2.7000000000000015</v>
          </cell>
          <cell r="AY102">
            <v>0.39000000000000029</v>
          </cell>
          <cell r="BA102">
            <v>6.7500000000000032E-2</v>
          </cell>
          <cell r="BB102">
            <v>6.6000000000000017E-2</v>
          </cell>
          <cell r="BC102">
            <v>4.2999999999999983E-3</v>
          </cell>
          <cell r="BE102">
            <v>8.5600000000000034E-3</v>
          </cell>
          <cell r="BF102">
            <v>8.5600000000000034E-3</v>
          </cell>
          <cell r="BG102">
            <v>1.3299999999999996E-3</v>
          </cell>
          <cell r="BI102">
            <v>2.5300000000000002</v>
          </cell>
          <cell r="BJ102">
            <v>2.0000000000000004</v>
          </cell>
          <cell r="BK102">
            <v>0.35999999999999988</v>
          </cell>
          <cell r="BM102">
            <v>26.799999999999976</v>
          </cell>
          <cell r="BN102">
            <v>26.799999999999976</v>
          </cell>
          <cell r="BO102">
            <v>1.1199999999999994</v>
          </cell>
          <cell r="BQ102">
            <v>1.9800000000000009</v>
          </cell>
          <cell r="BR102">
            <v>1.9800000000000009</v>
          </cell>
          <cell r="BS102">
            <v>0.5499999999999996</v>
          </cell>
          <cell r="BU102">
            <v>29.950000000000024</v>
          </cell>
          <cell r="BV102">
            <v>29.760000000000019</v>
          </cell>
          <cell r="BW102">
            <v>0.75</v>
          </cell>
        </row>
        <row r="103">
          <cell r="C103">
            <v>0.627</v>
          </cell>
          <cell r="D103">
            <v>0.627</v>
          </cell>
          <cell r="E103">
            <v>0.06</v>
          </cell>
          <cell r="G103">
            <v>4.5999999999999999E-2</v>
          </cell>
          <cell r="H103">
            <v>4.5999999999999999E-2</v>
          </cell>
          <cell r="I103">
            <v>5.0000000000000001E-3</v>
          </cell>
          <cell r="K103">
            <v>2.8000000000000016</v>
          </cell>
          <cell r="L103">
            <v>2.8000000000000016</v>
          </cell>
          <cell r="M103">
            <v>0.4600000000000003</v>
          </cell>
          <cell r="O103">
            <v>7.0000000000000034E-2</v>
          </cell>
          <cell r="P103">
            <v>6.900000000000002E-2</v>
          </cell>
          <cell r="Q103">
            <v>7.1999999999999981E-3</v>
          </cell>
          <cell r="S103">
            <v>9.0800000000000047E-3</v>
          </cell>
          <cell r="T103">
            <v>9.0800000000000047E-3</v>
          </cell>
          <cell r="U103">
            <v>2.1800000000000005E-3</v>
          </cell>
          <cell r="W103">
            <v>2.4400000000000013</v>
          </cell>
          <cell r="X103">
            <v>2.2600000000000002</v>
          </cell>
          <cell r="Y103">
            <v>0.43999999999999989</v>
          </cell>
          <cell r="AA103">
            <v>27.199999999999974</v>
          </cell>
          <cell r="AB103">
            <v>27.199999999999974</v>
          </cell>
          <cell r="AC103">
            <v>0.39999999999999841</v>
          </cell>
          <cell r="AE103">
            <v>2.120000000000001</v>
          </cell>
          <cell r="AF103">
            <v>2.120000000000001</v>
          </cell>
          <cell r="AG103">
            <v>0.69999999999999962</v>
          </cell>
          <cell r="AI103">
            <v>30.300000000000026</v>
          </cell>
          <cell r="AJ103">
            <v>30.04000000000002</v>
          </cell>
          <cell r="AK103">
            <v>0.67999999999999938</v>
          </cell>
          <cell r="AO103">
            <v>0.627</v>
          </cell>
          <cell r="AP103">
            <v>0.627</v>
          </cell>
          <cell r="AQ103">
            <v>6.8000000000000047E-2</v>
          </cell>
          <cell r="AS103">
            <v>4.5100000000000008E-2</v>
          </cell>
          <cell r="AT103">
            <v>4.5100000000000008E-2</v>
          </cell>
          <cell r="AU103">
            <v>5.0000000000000001E-3</v>
          </cell>
          <cell r="AW103">
            <v>2.8000000000000016</v>
          </cell>
          <cell r="AX103">
            <v>2.8000000000000016</v>
          </cell>
          <cell r="AY103">
            <v>0.4600000000000003</v>
          </cell>
          <cell r="BA103">
            <v>7.0000000000000034E-2</v>
          </cell>
          <cell r="BB103">
            <v>6.900000000000002E-2</v>
          </cell>
          <cell r="BC103">
            <v>7.1999999999999981E-3</v>
          </cell>
          <cell r="BE103">
            <v>9.0600000000000038E-3</v>
          </cell>
          <cell r="BF103">
            <v>9.0600000000000038E-3</v>
          </cell>
          <cell r="BG103">
            <v>1.8199999999999996E-3</v>
          </cell>
          <cell r="BI103">
            <v>2.62</v>
          </cell>
          <cell r="BJ103">
            <v>2.1000000000000005</v>
          </cell>
          <cell r="BK103">
            <v>0.43999999999999989</v>
          </cell>
          <cell r="BM103">
            <v>27.199999999999974</v>
          </cell>
          <cell r="BN103">
            <v>27.199999999999974</v>
          </cell>
          <cell r="BO103">
            <v>1.4799999999999995</v>
          </cell>
          <cell r="BQ103">
            <v>2.120000000000001</v>
          </cell>
          <cell r="BR103">
            <v>2.120000000000001</v>
          </cell>
          <cell r="BS103">
            <v>0.69999999999999962</v>
          </cell>
          <cell r="BU103">
            <v>30.300000000000026</v>
          </cell>
          <cell r="BV103">
            <v>30.04000000000002</v>
          </cell>
          <cell r="BW103">
            <v>1</v>
          </cell>
        </row>
        <row r="104">
          <cell r="C104">
            <v>0.66</v>
          </cell>
          <cell r="D104">
            <v>0.66</v>
          </cell>
          <cell r="E104">
            <v>0.08</v>
          </cell>
          <cell r="G104">
            <v>4.8500000000000001E-2</v>
          </cell>
          <cell r="H104">
            <v>4.8500000000000001E-2</v>
          </cell>
          <cell r="I104">
            <v>7.4999999999999997E-3</v>
          </cell>
          <cell r="K104">
            <v>2.9000000000000017</v>
          </cell>
          <cell r="L104">
            <v>2.9000000000000017</v>
          </cell>
          <cell r="M104">
            <v>0.53000000000000025</v>
          </cell>
          <cell r="O104">
            <v>7.2500000000000037E-2</v>
          </cell>
          <cell r="P104">
            <v>7.2000000000000022E-2</v>
          </cell>
          <cell r="Q104">
            <v>1.0099999999999998E-2</v>
          </cell>
          <cell r="S104">
            <v>9.5800000000000052E-3</v>
          </cell>
          <cell r="T104">
            <v>9.5800000000000052E-3</v>
          </cell>
          <cell r="U104">
            <v>2.6900000000000006E-3</v>
          </cell>
          <cell r="W104">
            <v>2.5200000000000014</v>
          </cell>
          <cell r="X104">
            <v>2.33</v>
          </cell>
          <cell r="Y104">
            <v>0.51999999999999991</v>
          </cell>
          <cell r="AA104">
            <v>27.599999999999973</v>
          </cell>
          <cell r="AB104">
            <v>27.599999999999973</v>
          </cell>
          <cell r="AC104">
            <v>0.6999999999999984</v>
          </cell>
          <cell r="AE104">
            <v>2.2600000000000011</v>
          </cell>
          <cell r="AF104">
            <v>2.2600000000000011</v>
          </cell>
          <cell r="AG104">
            <v>0.84999999999999964</v>
          </cell>
          <cell r="AI104">
            <v>30.650000000000027</v>
          </cell>
          <cell r="AJ104">
            <v>30.320000000000022</v>
          </cell>
          <cell r="AK104">
            <v>0.88999999999999935</v>
          </cell>
          <cell r="AO104">
            <v>0.66</v>
          </cell>
          <cell r="AP104">
            <v>0.66</v>
          </cell>
          <cell r="AQ104">
            <v>9.4000000000000042E-2</v>
          </cell>
          <cell r="AS104">
            <v>4.760000000000001E-2</v>
          </cell>
          <cell r="AT104">
            <v>4.760000000000001E-2</v>
          </cell>
          <cell r="AU104">
            <v>7.4999999999999997E-3</v>
          </cell>
          <cell r="AW104">
            <v>2.9000000000000017</v>
          </cell>
          <cell r="AX104">
            <v>2.9000000000000017</v>
          </cell>
          <cell r="AY104">
            <v>0.53000000000000025</v>
          </cell>
          <cell r="BA104">
            <v>7.2500000000000037E-2</v>
          </cell>
          <cell r="BB104">
            <v>7.2000000000000022E-2</v>
          </cell>
          <cell r="BC104">
            <v>1.0099999999999998E-2</v>
          </cell>
          <cell r="BE104">
            <v>9.5600000000000043E-3</v>
          </cell>
          <cell r="BF104">
            <v>9.5600000000000043E-3</v>
          </cell>
          <cell r="BG104">
            <v>2.3099999999999996E-3</v>
          </cell>
          <cell r="BI104">
            <v>2.71</v>
          </cell>
          <cell r="BJ104">
            <v>2.2000000000000006</v>
          </cell>
          <cell r="BK104">
            <v>0.51999999999999991</v>
          </cell>
          <cell r="BM104">
            <v>27.599999999999973</v>
          </cell>
          <cell r="BN104">
            <v>27.599999999999973</v>
          </cell>
          <cell r="BO104">
            <v>1.8399999999999994</v>
          </cell>
          <cell r="BQ104">
            <v>2.2600000000000011</v>
          </cell>
          <cell r="BR104">
            <v>2.2600000000000011</v>
          </cell>
          <cell r="BS104">
            <v>0.84999999999999964</v>
          </cell>
          <cell r="BU104">
            <v>30.650000000000027</v>
          </cell>
          <cell r="BV104">
            <v>30.320000000000022</v>
          </cell>
          <cell r="BW104">
            <v>1.25</v>
          </cell>
        </row>
        <row r="105">
          <cell r="C105">
            <v>0.69299999999999995</v>
          </cell>
          <cell r="D105">
            <v>0.69299999999999995</v>
          </cell>
          <cell r="E105">
            <v>0.1</v>
          </cell>
          <cell r="G105">
            <v>5.0999999999999997E-2</v>
          </cell>
          <cell r="H105">
            <v>5.0999999999999997E-2</v>
          </cell>
          <cell r="I105">
            <v>0.01</v>
          </cell>
          <cell r="K105">
            <v>3.0000000000000018</v>
          </cell>
          <cell r="L105">
            <v>3.0000000000000018</v>
          </cell>
          <cell r="M105">
            <v>0.60000000000000031</v>
          </cell>
          <cell r="O105">
            <v>7.5000000000000039E-2</v>
          </cell>
          <cell r="P105">
            <v>7.5000000000000025E-2</v>
          </cell>
          <cell r="Q105">
            <v>1.2999999999999998E-2</v>
          </cell>
          <cell r="S105">
            <v>1.0080000000000006E-2</v>
          </cell>
          <cell r="T105">
            <v>1.0080000000000006E-2</v>
          </cell>
          <cell r="U105">
            <v>3.2000000000000006E-3</v>
          </cell>
          <cell r="W105">
            <v>2.6000000000000014</v>
          </cell>
          <cell r="X105">
            <v>2.4</v>
          </cell>
          <cell r="Y105">
            <v>0.59999999999999987</v>
          </cell>
          <cell r="AA105">
            <v>27.999999999999972</v>
          </cell>
          <cell r="AB105">
            <v>27.999999999999972</v>
          </cell>
          <cell r="AC105">
            <v>0.99999999999999845</v>
          </cell>
          <cell r="AE105">
            <v>2.4000000000000012</v>
          </cell>
          <cell r="AF105">
            <v>2.4000000000000012</v>
          </cell>
          <cell r="AG105">
            <v>0.99999999999999967</v>
          </cell>
          <cell r="AI105">
            <v>31.000000000000028</v>
          </cell>
          <cell r="AJ105">
            <v>30.600000000000023</v>
          </cell>
          <cell r="AK105">
            <v>1.0999999999999994</v>
          </cell>
          <cell r="AO105">
            <v>0.69299999999999995</v>
          </cell>
          <cell r="AP105">
            <v>0.69299999999999995</v>
          </cell>
          <cell r="AQ105">
            <v>0.12000000000000004</v>
          </cell>
          <cell r="AS105">
            <v>5.0100000000000013E-2</v>
          </cell>
          <cell r="AT105">
            <v>5.0100000000000013E-2</v>
          </cell>
          <cell r="AU105">
            <v>0.01</v>
          </cell>
          <cell r="AW105">
            <v>3.0000000000000018</v>
          </cell>
          <cell r="AX105">
            <v>3.0000000000000018</v>
          </cell>
          <cell r="AY105">
            <v>0.60000000000000031</v>
          </cell>
          <cell r="BA105">
            <v>7.5000000000000039E-2</v>
          </cell>
          <cell r="BB105">
            <v>7.5000000000000025E-2</v>
          </cell>
          <cell r="BC105">
            <v>1.2999999999999998E-2</v>
          </cell>
          <cell r="BE105">
            <v>1.0060000000000005E-2</v>
          </cell>
          <cell r="BF105">
            <v>1.0060000000000005E-2</v>
          </cell>
          <cell r="BG105">
            <v>2.7999999999999995E-3</v>
          </cell>
          <cell r="BI105">
            <v>2.8</v>
          </cell>
          <cell r="BJ105">
            <v>2.3000000000000007</v>
          </cell>
          <cell r="BK105">
            <v>0.59999999999999987</v>
          </cell>
          <cell r="BM105">
            <v>27.999999999999972</v>
          </cell>
          <cell r="BN105">
            <v>27.999999999999972</v>
          </cell>
          <cell r="BO105">
            <v>2.1999999999999993</v>
          </cell>
          <cell r="BQ105">
            <v>2.4000000000000012</v>
          </cell>
          <cell r="BR105">
            <v>2.4000000000000012</v>
          </cell>
          <cell r="BS105">
            <v>0.99999999999999967</v>
          </cell>
          <cell r="BU105">
            <v>31.000000000000028</v>
          </cell>
          <cell r="BV105">
            <v>30.600000000000023</v>
          </cell>
          <cell r="BW105">
            <v>1.5</v>
          </cell>
        </row>
        <row r="106">
          <cell r="C106">
            <v>0.72599999999999998</v>
          </cell>
          <cell r="D106">
            <v>0.72599999999999998</v>
          </cell>
          <cell r="E106">
            <v>0.12000000000000001</v>
          </cell>
          <cell r="G106">
            <v>5.3499999999999999E-2</v>
          </cell>
          <cell r="H106">
            <v>5.3499999999999999E-2</v>
          </cell>
          <cell r="I106">
            <v>1.2500000000000001E-2</v>
          </cell>
          <cell r="K106">
            <v>3.1000000000000019</v>
          </cell>
          <cell r="L106">
            <v>3.1000000000000019</v>
          </cell>
          <cell r="M106">
            <v>0.67000000000000037</v>
          </cell>
          <cell r="O106">
            <v>7.7500000000000041E-2</v>
          </cell>
          <cell r="P106">
            <v>7.8000000000000028E-2</v>
          </cell>
          <cell r="Q106">
            <v>1.5899999999999997E-2</v>
          </cell>
          <cell r="S106">
            <v>1.0580000000000006E-2</v>
          </cell>
          <cell r="T106">
            <v>1.0580000000000006E-2</v>
          </cell>
          <cell r="U106">
            <v>3.7100000000000006E-3</v>
          </cell>
          <cell r="W106">
            <v>2.6800000000000015</v>
          </cell>
          <cell r="X106">
            <v>2.4699999999999998</v>
          </cell>
          <cell r="Y106">
            <v>0.67999999999999983</v>
          </cell>
          <cell r="AA106">
            <v>28.39999999999997</v>
          </cell>
          <cell r="AB106">
            <v>28.39999999999997</v>
          </cell>
          <cell r="AC106">
            <v>1.2999999999999985</v>
          </cell>
          <cell r="AE106">
            <v>2.5400000000000014</v>
          </cell>
          <cell r="AF106">
            <v>2.5400000000000014</v>
          </cell>
          <cell r="AG106">
            <v>1.1499999999999997</v>
          </cell>
          <cell r="AI106">
            <v>31.35000000000003</v>
          </cell>
          <cell r="AJ106">
            <v>30.880000000000024</v>
          </cell>
          <cell r="AK106">
            <v>1.3099999999999994</v>
          </cell>
          <cell r="AO106">
            <v>0.72599999999999998</v>
          </cell>
          <cell r="AP106">
            <v>0.72599999999999998</v>
          </cell>
          <cell r="AQ106">
            <v>0.14600000000000005</v>
          </cell>
          <cell r="AS106">
            <v>5.2600000000000015E-2</v>
          </cell>
          <cell r="AT106">
            <v>5.2600000000000015E-2</v>
          </cell>
          <cell r="AU106">
            <v>1.2500000000000001E-2</v>
          </cell>
          <cell r="AW106">
            <v>3.1000000000000019</v>
          </cell>
          <cell r="AX106">
            <v>3.1000000000000019</v>
          </cell>
          <cell r="AY106">
            <v>0.67000000000000037</v>
          </cell>
          <cell r="BA106">
            <v>7.7500000000000041E-2</v>
          </cell>
          <cell r="BB106">
            <v>7.8000000000000028E-2</v>
          </cell>
          <cell r="BC106">
            <v>1.5899999999999997E-2</v>
          </cell>
          <cell r="BE106">
            <v>1.0560000000000005E-2</v>
          </cell>
          <cell r="BF106">
            <v>1.0560000000000005E-2</v>
          </cell>
          <cell r="BG106">
            <v>3.2899999999999995E-3</v>
          </cell>
          <cell r="BI106">
            <v>2.8899999999999997</v>
          </cell>
          <cell r="BJ106">
            <v>2.4000000000000008</v>
          </cell>
          <cell r="BK106">
            <v>0.67999999999999983</v>
          </cell>
          <cell r="BM106">
            <v>28.39999999999997</v>
          </cell>
          <cell r="BN106">
            <v>28.39999999999997</v>
          </cell>
          <cell r="BO106">
            <v>2.5599999999999992</v>
          </cell>
          <cell r="BQ106">
            <v>2.5400000000000014</v>
          </cell>
          <cell r="BR106">
            <v>2.5400000000000014</v>
          </cell>
          <cell r="BS106">
            <v>1.1499999999999997</v>
          </cell>
          <cell r="BU106">
            <v>31.35000000000003</v>
          </cell>
          <cell r="BV106">
            <v>30.880000000000024</v>
          </cell>
          <cell r="BW106">
            <v>1.75</v>
          </cell>
        </row>
        <row r="107">
          <cell r="C107">
            <v>0.75900000000000001</v>
          </cell>
          <cell r="D107">
            <v>0.75900000000000001</v>
          </cell>
          <cell r="E107">
            <v>0.14000000000000001</v>
          </cell>
          <cell r="G107">
            <v>5.6000000000000001E-2</v>
          </cell>
          <cell r="H107">
            <v>5.6000000000000001E-2</v>
          </cell>
          <cell r="I107">
            <v>1.5000000000000001E-2</v>
          </cell>
          <cell r="K107">
            <v>3.200000000000002</v>
          </cell>
          <cell r="L107">
            <v>3.200000000000002</v>
          </cell>
          <cell r="M107">
            <v>0.74000000000000044</v>
          </cell>
          <cell r="O107">
            <v>8.0000000000000043E-2</v>
          </cell>
          <cell r="P107">
            <v>8.100000000000003E-2</v>
          </cell>
          <cell r="Q107">
            <v>1.8799999999999997E-2</v>
          </cell>
          <cell r="S107">
            <v>1.1080000000000007E-2</v>
          </cell>
          <cell r="T107">
            <v>1.1080000000000007E-2</v>
          </cell>
          <cell r="U107">
            <v>4.2200000000000007E-3</v>
          </cell>
          <cell r="W107">
            <v>2.7600000000000016</v>
          </cell>
          <cell r="X107">
            <v>2.5399999999999996</v>
          </cell>
          <cell r="Y107">
            <v>0.75999999999999979</v>
          </cell>
          <cell r="AA107">
            <v>28.799999999999969</v>
          </cell>
          <cell r="AB107">
            <v>28.799999999999969</v>
          </cell>
          <cell r="AC107">
            <v>1.5999999999999985</v>
          </cell>
          <cell r="AE107">
            <v>2.6800000000000015</v>
          </cell>
          <cell r="AF107">
            <v>2.6800000000000015</v>
          </cell>
          <cell r="AG107">
            <v>1.2999999999999996</v>
          </cell>
          <cell r="AI107">
            <v>31.700000000000031</v>
          </cell>
          <cell r="AJ107">
            <v>31.160000000000025</v>
          </cell>
          <cell r="AK107">
            <v>1.5199999999999994</v>
          </cell>
          <cell r="AO107">
            <v>0.75900000000000001</v>
          </cell>
          <cell r="AP107">
            <v>0.75900000000000001</v>
          </cell>
          <cell r="AQ107">
            <v>0.17200000000000004</v>
          </cell>
          <cell r="AS107">
            <v>5.5100000000000017E-2</v>
          </cell>
          <cell r="AT107">
            <v>5.5100000000000017E-2</v>
          </cell>
          <cell r="AU107">
            <v>1.5000000000000001E-2</v>
          </cell>
          <cell r="AW107">
            <v>3.200000000000002</v>
          </cell>
          <cell r="AX107">
            <v>3.200000000000002</v>
          </cell>
          <cell r="AY107">
            <v>0.74000000000000044</v>
          </cell>
          <cell r="BA107">
            <v>8.0000000000000043E-2</v>
          </cell>
          <cell r="BB107">
            <v>8.100000000000003E-2</v>
          </cell>
          <cell r="BC107">
            <v>1.8799999999999997E-2</v>
          </cell>
          <cell r="BE107">
            <v>1.1060000000000006E-2</v>
          </cell>
          <cell r="BF107">
            <v>1.1060000000000006E-2</v>
          </cell>
          <cell r="BG107">
            <v>3.7799999999999995E-3</v>
          </cell>
          <cell r="BI107">
            <v>2.9799999999999995</v>
          </cell>
          <cell r="BJ107">
            <v>2.5000000000000009</v>
          </cell>
          <cell r="BK107">
            <v>0.75999999999999979</v>
          </cell>
          <cell r="BM107">
            <v>28.799999999999969</v>
          </cell>
          <cell r="BN107">
            <v>28.799999999999969</v>
          </cell>
          <cell r="BO107">
            <v>2.919999999999999</v>
          </cell>
          <cell r="BQ107">
            <v>2.6800000000000015</v>
          </cell>
          <cell r="BR107">
            <v>2.6800000000000015</v>
          </cell>
          <cell r="BS107">
            <v>1.2999999999999996</v>
          </cell>
          <cell r="BU107">
            <v>31.700000000000031</v>
          </cell>
          <cell r="BV107">
            <v>31.160000000000025</v>
          </cell>
          <cell r="BW107">
            <v>2</v>
          </cell>
        </row>
        <row r="108">
          <cell r="C108">
            <v>0.79200000000000004</v>
          </cell>
          <cell r="D108">
            <v>0.79200000000000004</v>
          </cell>
          <cell r="E108">
            <v>0.16</v>
          </cell>
          <cell r="G108">
            <v>5.8500000000000003E-2</v>
          </cell>
          <cell r="H108">
            <v>5.8500000000000003E-2</v>
          </cell>
          <cell r="I108">
            <v>1.7500000000000002E-2</v>
          </cell>
          <cell r="K108">
            <v>3.300000000000002</v>
          </cell>
          <cell r="L108">
            <v>3.300000000000002</v>
          </cell>
          <cell r="M108">
            <v>0.8100000000000005</v>
          </cell>
          <cell r="O108">
            <v>8.2500000000000046E-2</v>
          </cell>
          <cell r="P108">
            <v>8.4000000000000033E-2</v>
          </cell>
          <cell r="Q108">
            <v>2.1699999999999997E-2</v>
          </cell>
          <cell r="S108">
            <v>1.1580000000000007E-2</v>
          </cell>
          <cell r="T108">
            <v>1.1580000000000007E-2</v>
          </cell>
          <cell r="U108">
            <v>4.7300000000000007E-3</v>
          </cell>
          <cell r="W108">
            <v>2.8400000000000016</v>
          </cell>
          <cell r="X108">
            <v>2.6099999999999994</v>
          </cell>
          <cell r="Y108">
            <v>0.83999999999999975</v>
          </cell>
          <cell r="AA108">
            <v>29.199999999999967</v>
          </cell>
          <cell r="AB108">
            <v>29.199999999999967</v>
          </cell>
          <cell r="AC108">
            <v>1.8999999999999986</v>
          </cell>
          <cell r="AE108">
            <v>2.8200000000000016</v>
          </cell>
          <cell r="AF108">
            <v>2.8200000000000016</v>
          </cell>
          <cell r="AG108">
            <v>1.4499999999999995</v>
          </cell>
          <cell r="AI108">
            <v>32.050000000000033</v>
          </cell>
          <cell r="AJ108">
            <v>31.440000000000026</v>
          </cell>
          <cell r="AK108">
            <v>1.7299999999999993</v>
          </cell>
          <cell r="AO108">
            <v>0.79200000000000004</v>
          </cell>
          <cell r="AP108">
            <v>0.79200000000000004</v>
          </cell>
          <cell r="AQ108">
            <v>0.19800000000000004</v>
          </cell>
          <cell r="AS108">
            <v>5.7600000000000019E-2</v>
          </cell>
          <cell r="AT108">
            <v>5.7600000000000019E-2</v>
          </cell>
          <cell r="AU108">
            <v>1.7500000000000002E-2</v>
          </cell>
          <cell r="AW108">
            <v>3.300000000000002</v>
          </cell>
          <cell r="AX108">
            <v>3.300000000000002</v>
          </cell>
          <cell r="AY108">
            <v>0.8100000000000005</v>
          </cell>
          <cell r="BA108">
            <v>8.2500000000000046E-2</v>
          </cell>
          <cell r="BB108">
            <v>8.4000000000000033E-2</v>
          </cell>
          <cell r="BC108">
            <v>2.1699999999999997E-2</v>
          </cell>
          <cell r="BE108">
            <v>1.1560000000000006E-2</v>
          </cell>
          <cell r="BF108">
            <v>1.1560000000000006E-2</v>
          </cell>
          <cell r="BG108">
            <v>4.2699999999999995E-3</v>
          </cell>
          <cell r="BI108">
            <v>3.0699999999999994</v>
          </cell>
          <cell r="BJ108">
            <v>2.600000000000001</v>
          </cell>
          <cell r="BK108">
            <v>0.83999999999999975</v>
          </cell>
          <cell r="BM108">
            <v>29.199999999999967</v>
          </cell>
          <cell r="BN108">
            <v>29.199999999999967</v>
          </cell>
          <cell r="BO108">
            <v>3.2799999999999989</v>
          </cell>
          <cell r="BQ108">
            <v>2.8200000000000016</v>
          </cell>
          <cell r="BR108">
            <v>2.8200000000000016</v>
          </cell>
          <cell r="BS108">
            <v>1.4499999999999995</v>
          </cell>
          <cell r="BU108">
            <v>32.050000000000033</v>
          </cell>
          <cell r="BV108">
            <v>31.440000000000026</v>
          </cell>
          <cell r="BW108">
            <v>2.25</v>
          </cell>
        </row>
        <row r="109">
          <cell r="C109">
            <v>0.82499999999999996</v>
          </cell>
          <cell r="D109">
            <v>0.82499999999999996</v>
          </cell>
          <cell r="E109">
            <v>0.18</v>
          </cell>
          <cell r="G109">
            <v>6.0999999999999999E-2</v>
          </cell>
          <cell r="H109">
            <v>6.0999999999999999E-2</v>
          </cell>
          <cell r="I109">
            <v>0.02</v>
          </cell>
          <cell r="K109">
            <v>3.4000000000000021</v>
          </cell>
          <cell r="L109">
            <v>3.4000000000000021</v>
          </cell>
          <cell r="M109">
            <v>0.88000000000000056</v>
          </cell>
          <cell r="O109">
            <v>8.5000000000000048E-2</v>
          </cell>
          <cell r="P109">
            <v>8.7000000000000036E-2</v>
          </cell>
          <cell r="Q109">
            <v>2.4599999999999997E-2</v>
          </cell>
          <cell r="S109">
            <v>1.2080000000000007E-2</v>
          </cell>
          <cell r="T109">
            <v>1.2080000000000007E-2</v>
          </cell>
          <cell r="U109">
            <v>5.2400000000000007E-3</v>
          </cell>
          <cell r="W109">
            <v>2.9200000000000017</v>
          </cell>
          <cell r="X109">
            <v>2.6799999999999993</v>
          </cell>
          <cell r="Y109">
            <v>0.91999999999999971</v>
          </cell>
          <cell r="AA109">
            <v>29.599999999999966</v>
          </cell>
          <cell r="AB109">
            <v>29.599999999999966</v>
          </cell>
          <cell r="AC109">
            <v>2.1999999999999984</v>
          </cell>
          <cell r="AE109">
            <v>2.9600000000000017</v>
          </cell>
          <cell r="AF109">
            <v>2.9600000000000017</v>
          </cell>
          <cell r="AG109">
            <v>1.5999999999999994</v>
          </cell>
          <cell r="AI109">
            <v>32.400000000000034</v>
          </cell>
          <cell r="AJ109">
            <v>31.720000000000027</v>
          </cell>
          <cell r="AK109">
            <v>1.9399999999999993</v>
          </cell>
          <cell r="AO109">
            <v>0.82499999999999996</v>
          </cell>
          <cell r="AP109">
            <v>0.82499999999999996</v>
          </cell>
          <cell r="AQ109">
            <v>0.22400000000000003</v>
          </cell>
          <cell r="AS109">
            <v>6.0100000000000021E-2</v>
          </cell>
          <cell r="AT109">
            <v>6.0100000000000021E-2</v>
          </cell>
          <cell r="AU109">
            <v>0.02</v>
          </cell>
          <cell r="AW109">
            <v>3.4000000000000021</v>
          </cell>
          <cell r="AX109">
            <v>3.4000000000000021</v>
          </cell>
          <cell r="AY109">
            <v>0.88000000000000056</v>
          </cell>
          <cell r="BA109">
            <v>8.5000000000000048E-2</v>
          </cell>
          <cell r="BB109">
            <v>8.7000000000000036E-2</v>
          </cell>
          <cell r="BC109">
            <v>2.4599999999999997E-2</v>
          </cell>
          <cell r="BE109">
            <v>1.2060000000000006E-2</v>
          </cell>
          <cell r="BF109">
            <v>1.2060000000000006E-2</v>
          </cell>
          <cell r="BG109">
            <v>4.7599999999999995E-3</v>
          </cell>
          <cell r="BI109">
            <v>3.1599999999999993</v>
          </cell>
          <cell r="BJ109">
            <v>2.7000000000000011</v>
          </cell>
          <cell r="BK109">
            <v>0.91999999999999971</v>
          </cell>
          <cell r="BM109">
            <v>29.599999999999966</v>
          </cell>
          <cell r="BN109">
            <v>29.599999999999966</v>
          </cell>
          <cell r="BO109">
            <v>3.6399999999999988</v>
          </cell>
          <cell r="BQ109">
            <v>2.9600000000000017</v>
          </cell>
          <cell r="BR109">
            <v>2.9600000000000017</v>
          </cell>
          <cell r="BS109">
            <v>1.5999999999999994</v>
          </cell>
          <cell r="BU109">
            <v>32.400000000000034</v>
          </cell>
          <cell r="BV109">
            <v>31.720000000000027</v>
          </cell>
          <cell r="BW109">
            <v>2.5</v>
          </cell>
        </row>
        <row r="110">
          <cell r="C110">
            <v>0.85799999999999998</v>
          </cell>
          <cell r="D110">
            <v>0.85799999999999998</v>
          </cell>
          <cell r="E110">
            <v>0.19999999999999998</v>
          </cell>
          <cell r="G110">
            <v>6.3500000000000001E-2</v>
          </cell>
          <cell r="H110">
            <v>6.3500000000000001E-2</v>
          </cell>
          <cell r="I110">
            <v>2.2499999999999999E-2</v>
          </cell>
          <cell r="K110">
            <v>3.5000000000000022</v>
          </cell>
          <cell r="L110">
            <v>3.5000000000000022</v>
          </cell>
          <cell r="M110">
            <v>0.95000000000000062</v>
          </cell>
          <cell r="O110">
            <v>8.750000000000005E-2</v>
          </cell>
          <cell r="P110">
            <v>9.0000000000000038E-2</v>
          </cell>
          <cell r="Q110">
            <v>2.7499999999999997E-2</v>
          </cell>
          <cell r="S110">
            <v>1.2580000000000008E-2</v>
          </cell>
          <cell r="T110">
            <v>1.2580000000000008E-2</v>
          </cell>
          <cell r="U110">
            <v>5.7500000000000008E-3</v>
          </cell>
          <cell r="W110">
            <v>3.0000000000000018</v>
          </cell>
          <cell r="X110">
            <v>2.7499999999999991</v>
          </cell>
          <cell r="Y110">
            <v>0.99999999999999967</v>
          </cell>
          <cell r="AA110">
            <v>29.999999999999964</v>
          </cell>
          <cell r="AB110">
            <v>29.999999999999964</v>
          </cell>
          <cell r="AC110">
            <v>2.4999999999999982</v>
          </cell>
          <cell r="AE110">
            <v>3.1000000000000019</v>
          </cell>
          <cell r="AF110">
            <v>3.1000000000000019</v>
          </cell>
          <cell r="AG110">
            <v>1.7499999999999993</v>
          </cell>
          <cell r="AI110">
            <v>32.750000000000036</v>
          </cell>
          <cell r="AJ110">
            <v>32.000000000000028</v>
          </cell>
          <cell r="AK110">
            <v>2.1499999999999995</v>
          </cell>
          <cell r="AO110">
            <v>0.85799999999999998</v>
          </cell>
          <cell r="AP110">
            <v>0.85799999999999998</v>
          </cell>
          <cell r="AQ110">
            <v>0.25000000000000006</v>
          </cell>
          <cell r="AS110">
            <v>6.2600000000000017E-2</v>
          </cell>
          <cell r="AT110">
            <v>6.2600000000000017E-2</v>
          </cell>
          <cell r="AU110">
            <v>2.2499999999999999E-2</v>
          </cell>
          <cell r="AW110">
            <v>3.5000000000000022</v>
          </cell>
          <cell r="AX110">
            <v>3.5000000000000022</v>
          </cell>
          <cell r="AY110">
            <v>0.95000000000000062</v>
          </cell>
          <cell r="BA110">
            <v>8.750000000000005E-2</v>
          </cell>
          <cell r="BB110">
            <v>9.0000000000000038E-2</v>
          </cell>
          <cell r="BC110">
            <v>2.7499999999999997E-2</v>
          </cell>
          <cell r="BE110">
            <v>1.2560000000000007E-2</v>
          </cell>
          <cell r="BF110">
            <v>1.2560000000000007E-2</v>
          </cell>
          <cell r="BG110">
            <v>5.2499999999999995E-3</v>
          </cell>
          <cell r="BI110">
            <v>3.2499999999999991</v>
          </cell>
          <cell r="BJ110">
            <v>2.8000000000000012</v>
          </cell>
          <cell r="BK110">
            <v>0.99999999999999967</v>
          </cell>
          <cell r="BM110">
            <v>29.999999999999964</v>
          </cell>
          <cell r="BN110">
            <v>29.999999999999964</v>
          </cell>
          <cell r="BO110">
            <v>3.9999999999999987</v>
          </cell>
          <cell r="BQ110">
            <v>3.1000000000000019</v>
          </cell>
          <cell r="BR110">
            <v>3.1000000000000019</v>
          </cell>
          <cell r="BS110">
            <v>1.7499999999999993</v>
          </cell>
          <cell r="BU110">
            <v>32.750000000000036</v>
          </cell>
          <cell r="BV110">
            <v>32.000000000000028</v>
          </cell>
          <cell r="BW110">
            <v>2.75</v>
          </cell>
        </row>
        <row r="111">
          <cell r="C111">
            <v>0.89100000000000001</v>
          </cell>
          <cell r="D111">
            <v>0.89100000000000001</v>
          </cell>
          <cell r="E111">
            <v>0.21999999999999997</v>
          </cell>
          <cell r="G111">
            <v>6.6000000000000003E-2</v>
          </cell>
          <cell r="H111">
            <v>6.6000000000000003E-2</v>
          </cell>
          <cell r="I111">
            <v>2.4999999999999998E-2</v>
          </cell>
          <cell r="K111">
            <v>3.6000000000000023</v>
          </cell>
          <cell r="L111">
            <v>3.6000000000000023</v>
          </cell>
          <cell r="M111">
            <v>1.0200000000000007</v>
          </cell>
          <cell r="O111">
            <v>9.0000000000000052E-2</v>
          </cell>
          <cell r="P111">
            <v>9.3000000000000041E-2</v>
          </cell>
          <cell r="Q111">
            <v>3.0399999999999996E-2</v>
          </cell>
          <cell r="S111">
            <v>1.3080000000000008E-2</v>
          </cell>
          <cell r="T111">
            <v>1.3080000000000008E-2</v>
          </cell>
          <cell r="U111">
            <v>6.2600000000000008E-3</v>
          </cell>
          <cell r="W111">
            <v>3.0800000000000018</v>
          </cell>
          <cell r="X111">
            <v>2.819999999999999</v>
          </cell>
          <cell r="Y111">
            <v>1.0799999999999996</v>
          </cell>
          <cell r="AA111">
            <v>30.399999999999963</v>
          </cell>
          <cell r="AB111">
            <v>30.399999999999963</v>
          </cell>
          <cell r="AC111">
            <v>2.799999999999998</v>
          </cell>
          <cell r="AE111">
            <v>3.240000000000002</v>
          </cell>
          <cell r="AF111">
            <v>3.240000000000002</v>
          </cell>
          <cell r="AG111">
            <v>1.8999999999999992</v>
          </cell>
          <cell r="AI111">
            <v>33.100000000000037</v>
          </cell>
          <cell r="AJ111">
            <v>32.28000000000003</v>
          </cell>
          <cell r="AK111">
            <v>2.3599999999999994</v>
          </cell>
          <cell r="AO111">
            <v>0.89100000000000001</v>
          </cell>
          <cell r="AP111">
            <v>0.89100000000000001</v>
          </cell>
          <cell r="AQ111">
            <v>0.27600000000000008</v>
          </cell>
          <cell r="AS111">
            <v>6.5100000000000019E-2</v>
          </cell>
          <cell r="AT111">
            <v>6.5100000000000019E-2</v>
          </cell>
          <cell r="AU111">
            <v>2.4999999999999998E-2</v>
          </cell>
          <cell r="AW111">
            <v>3.6000000000000023</v>
          </cell>
          <cell r="AX111">
            <v>3.6000000000000023</v>
          </cell>
          <cell r="AY111">
            <v>1.0200000000000007</v>
          </cell>
          <cell r="BA111">
            <v>9.0000000000000052E-2</v>
          </cell>
          <cell r="BB111">
            <v>9.3000000000000041E-2</v>
          </cell>
          <cell r="BC111">
            <v>3.0399999999999996E-2</v>
          </cell>
          <cell r="BE111">
            <v>1.3060000000000007E-2</v>
          </cell>
          <cell r="BF111">
            <v>1.3060000000000007E-2</v>
          </cell>
          <cell r="BG111">
            <v>5.7399999999999994E-3</v>
          </cell>
          <cell r="BI111">
            <v>3.339999999999999</v>
          </cell>
          <cell r="BJ111">
            <v>2.9000000000000012</v>
          </cell>
          <cell r="BK111">
            <v>1.0799999999999996</v>
          </cell>
          <cell r="BM111">
            <v>30.399999999999963</v>
          </cell>
          <cell r="BN111">
            <v>30.399999999999963</v>
          </cell>
          <cell r="BO111">
            <v>4.3599999999999985</v>
          </cell>
          <cell r="BQ111">
            <v>3.240000000000002</v>
          </cell>
          <cell r="BR111">
            <v>3.240000000000002</v>
          </cell>
          <cell r="BS111">
            <v>1.8999999999999992</v>
          </cell>
          <cell r="BU111">
            <v>33.100000000000037</v>
          </cell>
          <cell r="BV111">
            <v>32.28000000000003</v>
          </cell>
          <cell r="BW111">
            <v>3</v>
          </cell>
        </row>
        <row r="112">
          <cell r="C112">
            <v>0.92400000000000004</v>
          </cell>
          <cell r="D112">
            <v>0.92400000000000004</v>
          </cell>
          <cell r="E112">
            <v>0.23999999999999996</v>
          </cell>
          <cell r="G112">
            <v>6.8500000000000005E-2</v>
          </cell>
          <cell r="H112">
            <v>6.8500000000000005E-2</v>
          </cell>
          <cell r="I112">
            <v>2.7499999999999997E-2</v>
          </cell>
          <cell r="K112">
            <v>3.7000000000000024</v>
          </cell>
          <cell r="L112">
            <v>3.7000000000000024</v>
          </cell>
          <cell r="M112">
            <v>1.0900000000000007</v>
          </cell>
          <cell r="O112">
            <v>9.2500000000000054E-2</v>
          </cell>
          <cell r="P112">
            <v>9.6000000000000044E-2</v>
          </cell>
          <cell r="Q112">
            <v>3.3299999999999996E-2</v>
          </cell>
          <cell r="S112">
            <v>1.3580000000000009E-2</v>
          </cell>
          <cell r="T112">
            <v>1.3580000000000009E-2</v>
          </cell>
          <cell r="U112">
            <v>6.7700000000000008E-3</v>
          </cell>
          <cell r="W112">
            <v>3.1600000000000019</v>
          </cell>
          <cell r="X112">
            <v>2.8899999999999988</v>
          </cell>
          <cell r="Y112">
            <v>1.1599999999999997</v>
          </cell>
          <cell r="AA112">
            <v>30.799999999999962</v>
          </cell>
          <cell r="AB112">
            <v>30.799999999999962</v>
          </cell>
          <cell r="AC112">
            <v>3.0999999999999979</v>
          </cell>
          <cell r="AE112">
            <v>3.3800000000000021</v>
          </cell>
          <cell r="AF112">
            <v>3.3800000000000021</v>
          </cell>
          <cell r="AG112">
            <v>2.0499999999999994</v>
          </cell>
          <cell r="AI112">
            <v>33.450000000000038</v>
          </cell>
          <cell r="AJ112">
            <v>32.560000000000031</v>
          </cell>
          <cell r="AK112">
            <v>2.5699999999999994</v>
          </cell>
          <cell r="AO112">
            <v>0.92400000000000004</v>
          </cell>
          <cell r="AP112">
            <v>0.92400000000000004</v>
          </cell>
          <cell r="AQ112">
            <v>0.3020000000000001</v>
          </cell>
          <cell r="AS112">
            <v>6.7600000000000021E-2</v>
          </cell>
          <cell r="AT112">
            <v>6.7600000000000021E-2</v>
          </cell>
          <cell r="AU112">
            <v>2.7499999999999997E-2</v>
          </cell>
          <cell r="AW112">
            <v>3.7000000000000024</v>
          </cell>
          <cell r="AX112">
            <v>3.7000000000000024</v>
          </cell>
          <cell r="AY112">
            <v>1.0900000000000007</v>
          </cell>
          <cell r="BA112">
            <v>9.2500000000000054E-2</v>
          </cell>
          <cell r="BB112">
            <v>9.6000000000000044E-2</v>
          </cell>
          <cell r="BC112">
            <v>3.3299999999999996E-2</v>
          </cell>
          <cell r="BE112">
            <v>1.3560000000000008E-2</v>
          </cell>
          <cell r="BF112">
            <v>1.3560000000000008E-2</v>
          </cell>
          <cell r="BG112">
            <v>6.2299999999999994E-3</v>
          </cell>
          <cell r="BI112">
            <v>3.4299999999999988</v>
          </cell>
          <cell r="BJ112">
            <v>3.0000000000000013</v>
          </cell>
          <cell r="BK112">
            <v>1.1599999999999997</v>
          </cell>
          <cell r="BM112">
            <v>30.799999999999962</v>
          </cell>
          <cell r="BN112">
            <v>30.799999999999962</v>
          </cell>
          <cell r="BO112">
            <v>4.7199999999999989</v>
          </cell>
          <cell r="BQ112">
            <v>3.3800000000000021</v>
          </cell>
          <cell r="BR112">
            <v>3.3800000000000021</v>
          </cell>
          <cell r="BS112">
            <v>2.0499999999999994</v>
          </cell>
          <cell r="BU112">
            <v>33.450000000000038</v>
          </cell>
          <cell r="BV112">
            <v>32.560000000000031</v>
          </cell>
          <cell r="BW112">
            <v>3.25</v>
          </cell>
        </row>
        <row r="113">
          <cell r="C113">
            <v>0.95699999999999996</v>
          </cell>
          <cell r="D113">
            <v>0.95699999999999996</v>
          </cell>
          <cell r="E113">
            <v>0.25999999999999995</v>
          </cell>
          <cell r="G113">
            <v>7.0999999999999994E-2</v>
          </cell>
          <cell r="H113">
            <v>7.0999999999999994E-2</v>
          </cell>
          <cell r="I113">
            <v>2.9999999999999995E-2</v>
          </cell>
          <cell r="K113">
            <v>3.8000000000000025</v>
          </cell>
          <cell r="L113">
            <v>3.8000000000000025</v>
          </cell>
          <cell r="M113">
            <v>1.1600000000000008</v>
          </cell>
          <cell r="O113">
            <v>9.5000000000000057E-2</v>
          </cell>
          <cell r="P113">
            <v>9.9000000000000046E-2</v>
          </cell>
          <cell r="Q113">
            <v>3.6199999999999996E-2</v>
          </cell>
          <cell r="S113">
            <v>1.4080000000000009E-2</v>
          </cell>
          <cell r="T113">
            <v>1.4080000000000009E-2</v>
          </cell>
          <cell r="U113">
            <v>7.2800000000000009E-3</v>
          </cell>
          <cell r="W113">
            <v>3.240000000000002</v>
          </cell>
          <cell r="X113">
            <v>2.9599999999999986</v>
          </cell>
          <cell r="Y113">
            <v>1.2399999999999998</v>
          </cell>
          <cell r="AA113">
            <v>31.19999999999996</v>
          </cell>
          <cell r="AB113">
            <v>31.19999999999996</v>
          </cell>
          <cell r="AC113">
            <v>3.3999999999999977</v>
          </cell>
          <cell r="AE113">
            <v>3.5200000000000022</v>
          </cell>
          <cell r="AF113">
            <v>3.5200000000000022</v>
          </cell>
          <cell r="AG113">
            <v>2.1999999999999993</v>
          </cell>
          <cell r="AI113">
            <v>33.80000000000004</v>
          </cell>
          <cell r="AJ113">
            <v>32.840000000000032</v>
          </cell>
          <cell r="AK113">
            <v>2.7799999999999994</v>
          </cell>
          <cell r="AO113">
            <v>0.95699999999999996</v>
          </cell>
          <cell r="AP113">
            <v>0.95699999999999996</v>
          </cell>
          <cell r="AQ113">
            <v>0.32800000000000012</v>
          </cell>
          <cell r="AS113">
            <v>7.0100000000000023E-2</v>
          </cell>
          <cell r="AT113">
            <v>7.0100000000000023E-2</v>
          </cell>
          <cell r="AU113">
            <v>2.9999999999999995E-2</v>
          </cell>
          <cell r="AW113">
            <v>3.8000000000000025</v>
          </cell>
          <cell r="AX113">
            <v>3.8000000000000025</v>
          </cell>
          <cell r="AY113">
            <v>1.1600000000000008</v>
          </cell>
          <cell r="BA113">
            <v>9.5000000000000057E-2</v>
          </cell>
          <cell r="BB113">
            <v>9.9000000000000046E-2</v>
          </cell>
          <cell r="BC113">
            <v>3.6199999999999996E-2</v>
          </cell>
          <cell r="BE113">
            <v>1.4060000000000008E-2</v>
          </cell>
          <cell r="BF113">
            <v>1.4060000000000008E-2</v>
          </cell>
          <cell r="BG113">
            <v>6.7199999999999994E-3</v>
          </cell>
          <cell r="BI113">
            <v>3.5199999999999987</v>
          </cell>
          <cell r="BJ113">
            <v>3.1000000000000014</v>
          </cell>
          <cell r="BK113">
            <v>1.2399999999999998</v>
          </cell>
          <cell r="BM113">
            <v>31.19999999999996</v>
          </cell>
          <cell r="BN113">
            <v>31.19999999999996</v>
          </cell>
          <cell r="BO113">
            <v>5.0799999999999992</v>
          </cell>
          <cell r="BQ113">
            <v>3.5200000000000022</v>
          </cell>
          <cell r="BR113">
            <v>3.5200000000000022</v>
          </cell>
          <cell r="BS113">
            <v>2.1999999999999993</v>
          </cell>
          <cell r="BU113">
            <v>33.80000000000004</v>
          </cell>
          <cell r="BV113">
            <v>32.840000000000032</v>
          </cell>
          <cell r="BW113">
            <v>3.5</v>
          </cell>
        </row>
        <row r="114">
          <cell r="C114">
            <v>0.99</v>
          </cell>
          <cell r="D114">
            <v>0.99</v>
          </cell>
          <cell r="E114">
            <v>0.27999999999999997</v>
          </cell>
          <cell r="G114">
            <v>7.3499999999999996E-2</v>
          </cell>
          <cell r="H114">
            <v>7.3499999999999996E-2</v>
          </cell>
          <cell r="I114">
            <v>3.2499999999999994E-2</v>
          </cell>
          <cell r="K114">
            <v>3.9000000000000026</v>
          </cell>
          <cell r="L114">
            <v>3.9000000000000026</v>
          </cell>
          <cell r="M114">
            <v>1.2300000000000009</v>
          </cell>
          <cell r="O114">
            <v>9.7500000000000059E-2</v>
          </cell>
          <cell r="P114">
            <v>0.10200000000000005</v>
          </cell>
          <cell r="Q114">
            <v>3.9099999999999996E-2</v>
          </cell>
          <cell r="S114">
            <v>1.458000000000001E-2</v>
          </cell>
          <cell r="T114">
            <v>1.458000000000001E-2</v>
          </cell>
          <cell r="U114">
            <v>7.7900000000000009E-3</v>
          </cell>
          <cell r="W114">
            <v>3.3200000000000021</v>
          </cell>
          <cell r="X114">
            <v>3.0299999999999985</v>
          </cell>
          <cell r="Y114">
            <v>1.3199999999999998</v>
          </cell>
          <cell r="AA114">
            <v>31.599999999999959</v>
          </cell>
          <cell r="AB114">
            <v>31.599999999999959</v>
          </cell>
          <cell r="AC114">
            <v>3.6999999999999975</v>
          </cell>
          <cell r="AE114">
            <v>3.6600000000000024</v>
          </cell>
          <cell r="AF114">
            <v>3.6600000000000024</v>
          </cell>
          <cell r="AG114">
            <v>2.3499999999999992</v>
          </cell>
          <cell r="AI114">
            <v>34.150000000000041</v>
          </cell>
          <cell r="AJ114">
            <v>33.120000000000033</v>
          </cell>
          <cell r="AK114">
            <v>2.9899999999999993</v>
          </cell>
          <cell r="AO114">
            <v>0.99</v>
          </cell>
          <cell r="AP114">
            <v>0.99</v>
          </cell>
          <cell r="AQ114">
            <v>0.35400000000000015</v>
          </cell>
          <cell r="AS114">
            <v>7.2600000000000026E-2</v>
          </cell>
          <cell r="AT114">
            <v>7.2600000000000026E-2</v>
          </cell>
          <cell r="AU114">
            <v>3.2499999999999994E-2</v>
          </cell>
          <cell r="AW114">
            <v>3.9000000000000026</v>
          </cell>
          <cell r="AX114">
            <v>3.9000000000000026</v>
          </cell>
          <cell r="AY114">
            <v>1.2300000000000009</v>
          </cell>
          <cell r="BA114">
            <v>9.7500000000000059E-2</v>
          </cell>
          <cell r="BB114">
            <v>0.10200000000000005</v>
          </cell>
          <cell r="BC114">
            <v>3.9099999999999996E-2</v>
          </cell>
          <cell r="BE114">
            <v>1.4560000000000009E-2</v>
          </cell>
          <cell r="BF114">
            <v>1.4560000000000009E-2</v>
          </cell>
          <cell r="BG114">
            <v>7.2099999999999994E-3</v>
          </cell>
          <cell r="BI114">
            <v>3.6099999999999985</v>
          </cell>
          <cell r="BJ114">
            <v>3.2000000000000015</v>
          </cell>
          <cell r="BK114">
            <v>1.3199999999999998</v>
          </cell>
          <cell r="BM114">
            <v>31.599999999999959</v>
          </cell>
          <cell r="BN114">
            <v>31.599999999999959</v>
          </cell>
          <cell r="BO114">
            <v>5.4399999999999995</v>
          </cell>
          <cell r="BQ114">
            <v>3.6600000000000024</v>
          </cell>
          <cell r="BR114">
            <v>3.6600000000000024</v>
          </cell>
          <cell r="BS114">
            <v>2.3499999999999992</v>
          </cell>
          <cell r="BU114">
            <v>34.150000000000041</v>
          </cell>
          <cell r="BV114">
            <v>33.120000000000033</v>
          </cell>
          <cell r="BW114">
            <v>3.75</v>
          </cell>
        </row>
      </sheetData>
      <sheetData sheetId="9"/>
      <sheetData sheetId="10"/>
      <sheetData sheetId="11"/>
      <sheetData sheetId="12"/>
      <sheetData sheetId="13"/>
      <sheetData sheetId="14"/>
      <sheetData sheetId="15">
        <row r="85">
          <cell r="S85">
            <v>-0.2</v>
          </cell>
          <cell r="T85">
            <v>-0.2</v>
          </cell>
          <cell r="U85">
            <v>-0.4</v>
          </cell>
          <cell r="W85">
            <v>25</v>
          </cell>
          <cell r="X85">
            <v>25</v>
          </cell>
          <cell r="Y85">
            <v>-3.5</v>
          </cell>
          <cell r="AA85">
            <v>0.1</v>
          </cell>
          <cell r="AB85">
            <v>0.1</v>
          </cell>
          <cell r="AC85">
            <v>-0.6</v>
          </cell>
          <cell r="AE85">
            <v>46</v>
          </cell>
          <cell r="AF85">
            <v>46</v>
          </cell>
          <cell r="AG85">
            <v>-7</v>
          </cell>
          <cell r="AI85">
            <v>-0.2</v>
          </cell>
          <cell r="AJ85">
            <v>-0.2</v>
          </cell>
          <cell r="AK85">
            <v>-2</v>
          </cell>
          <cell r="BA85">
            <v>19</v>
          </cell>
          <cell r="BB85">
            <v>19</v>
          </cell>
          <cell r="BC85">
            <v>-3</v>
          </cell>
          <cell r="BE85">
            <v>-0.2</v>
          </cell>
          <cell r="BF85">
            <v>-0.2</v>
          </cell>
          <cell r="BG85">
            <v>-0.4</v>
          </cell>
          <cell r="BI85">
            <v>25</v>
          </cell>
          <cell r="BJ85">
            <v>25</v>
          </cell>
          <cell r="BK85">
            <v>-3.5</v>
          </cell>
          <cell r="BM85">
            <v>0.1</v>
          </cell>
          <cell r="BN85">
            <v>0.1</v>
          </cell>
          <cell r="BO85">
            <v>-0.7</v>
          </cell>
          <cell r="BQ85">
            <v>46</v>
          </cell>
          <cell r="BR85">
            <v>46</v>
          </cell>
          <cell r="BS85">
            <v>-7</v>
          </cell>
          <cell r="BU85">
            <v>-0.2</v>
          </cell>
          <cell r="BV85">
            <v>-0.2</v>
          </cell>
          <cell r="BW85">
            <v>-2</v>
          </cell>
        </row>
        <row r="86">
          <cell r="S86">
            <v>-0.18000000000000002</v>
          </cell>
          <cell r="T86">
            <v>-0.1749</v>
          </cell>
          <cell r="U86">
            <v>-0.378</v>
          </cell>
          <cell r="W86">
            <v>25.3</v>
          </cell>
          <cell r="X86">
            <v>25.3</v>
          </cell>
          <cell r="Y86">
            <v>-3.25</v>
          </cell>
          <cell r="AA86">
            <v>0.14300000000000002</v>
          </cell>
          <cell r="AB86">
            <v>0.14300000000000002</v>
          </cell>
          <cell r="AC86">
            <v>-0.55499999999999994</v>
          </cell>
          <cell r="AE86">
            <v>46.6</v>
          </cell>
          <cell r="AF86">
            <v>46.6</v>
          </cell>
          <cell r="AG86">
            <v>-6.5</v>
          </cell>
          <cell r="AI86">
            <v>-5.0000000000000017E-2</v>
          </cell>
          <cell r="AJ86">
            <v>-5.0000000000000017E-2</v>
          </cell>
          <cell r="AK86">
            <v>-1.83</v>
          </cell>
          <cell r="BA86">
            <v>19.45</v>
          </cell>
          <cell r="BB86">
            <v>19.45</v>
          </cell>
          <cell r="BC86">
            <v>-2.79</v>
          </cell>
          <cell r="BE86">
            <v>-0.18000000000000002</v>
          </cell>
          <cell r="BF86">
            <v>-0.1759</v>
          </cell>
          <cell r="BG86">
            <v>-0.378</v>
          </cell>
          <cell r="BI86">
            <v>25.3</v>
          </cell>
          <cell r="BJ86">
            <v>25.3</v>
          </cell>
          <cell r="BK86">
            <v>-3.25</v>
          </cell>
          <cell r="BM86">
            <v>0.14300000000000002</v>
          </cell>
          <cell r="BN86">
            <v>0.14300000000000002</v>
          </cell>
          <cell r="BO86">
            <v>-0.65499999999999992</v>
          </cell>
          <cell r="BQ86">
            <v>46.6</v>
          </cell>
          <cell r="BR86">
            <v>46.6</v>
          </cell>
          <cell r="BS86">
            <v>-6.5</v>
          </cell>
          <cell r="BU86">
            <v>-5.0000000000000017E-2</v>
          </cell>
          <cell r="BV86">
            <v>-5.0000000000000017E-2</v>
          </cell>
          <cell r="BW86">
            <v>-1.83</v>
          </cell>
        </row>
        <row r="87">
          <cell r="S87">
            <v>-0.16000000000000003</v>
          </cell>
          <cell r="T87">
            <v>-0.14979999999999999</v>
          </cell>
          <cell r="U87">
            <v>-0.35599999999999998</v>
          </cell>
          <cell r="W87">
            <v>25.6</v>
          </cell>
          <cell r="X87">
            <v>25.6</v>
          </cell>
          <cell r="Y87">
            <v>-3</v>
          </cell>
          <cell r="AA87">
            <v>0.186</v>
          </cell>
          <cell r="AB87">
            <v>0.186</v>
          </cell>
          <cell r="AC87">
            <v>-0.5099999999999999</v>
          </cell>
          <cell r="AE87">
            <v>47.2</v>
          </cell>
          <cell r="AF87">
            <v>47.2</v>
          </cell>
          <cell r="AG87">
            <v>-6</v>
          </cell>
          <cell r="AI87">
            <v>9.9999999999999978E-2</v>
          </cell>
          <cell r="AJ87">
            <v>9.9999999999999978E-2</v>
          </cell>
          <cell r="AK87">
            <v>-1.6600000000000001</v>
          </cell>
          <cell r="BA87">
            <v>19.899999999999999</v>
          </cell>
          <cell r="BB87">
            <v>19.899999999999999</v>
          </cell>
          <cell r="BC87">
            <v>-2.58</v>
          </cell>
          <cell r="BE87">
            <v>-0.16000000000000003</v>
          </cell>
          <cell r="BF87">
            <v>-0.15179999999999999</v>
          </cell>
          <cell r="BG87">
            <v>-0.35599999999999998</v>
          </cell>
          <cell r="BI87">
            <v>25.6</v>
          </cell>
          <cell r="BJ87">
            <v>25.6</v>
          </cell>
          <cell r="BK87">
            <v>-3</v>
          </cell>
          <cell r="BM87">
            <v>0.186</v>
          </cell>
          <cell r="BN87">
            <v>0.186</v>
          </cell>
          <cell r="BO87">
            <v>-0.60999999999999988</v>
          </cell>
          <cell r="BQ87">
            <v>47.2</v>
          </cell>
          <cell r="BR87">
            <v>47.2</v>
          </cell>
          <cell r="BS87">
            <v>-6</v>
          </cell>
          <cell r="BU87">
            <v>9.9999999999999978E-2</v>
          </cell>
          <cell r="BV87">
            <v>9.9999999999999978E-2</v>
          </cell>
          <cell r="BW87">
            <v>-1.6600000000000001</v>
          </cell>
        </row>
        <row r="88">
          <cell r="S88">
            <v>-0.14000000000000004</v>
          </cell>
          <cell r="T88">
            <v>-0.12469999999999999</v>
          </cell>
          <cell r="U88">
            <v>-0.33399999999999996</v>
          </cell>
          <cell r="W88">
            <v>25.900000000000002</v>
          </cell>
          <cell r="X88">
            <v>25.900000000000002</v>
          </cell>
          <cell r="Y88">
            <v>-2.75</v>
          </cell>
          <cell r="AA88">
            <v>0.22899999999999998</v>
          </cell>
          <cell r="AB88">
            <v>0.22899999999999998</v>
          </cell>
          <cell r="AC88">
            <v>-0.46499999999999991</v>
          </cell>
          <cell r="AE88">
            <v>47.800000000000004</v>
          </cell>
          <cell r="AF88">
            <v>47.800000000000004</v>
          </cell>
          <cell r="AG88">
            <v>-5.5</v>
          </cell>
          <cell r="AI88">
            <v>0.24999999999999997</v>
          </cell>
          <cell r="AJ88">
            <v>0.24999999999999997</v>
          </cell>
          <cell r="AK88">
            <v>-1.4900000000000002</v>
          </cell>
          <cell r="BA88">
            <v>20.349999999999998</v>
          </cell>
          <cell r="BB88">
            <v>20.349999999999998</v>
          </cell>
          <cell r="BC88">
            <v>-2.37</v>
          </cell>
          <cell r="BE88">
            <v>-0.14000000000000004</v>
          </cell>
          <cell r="BF88">
            <v>-0.12769999999999998</v>
          </cell>
          <cell r="BG88">
            <v>-0.33399999999999996</v>
          </cell>
          <cell r="BI88">
            <v>25.900000000000002</v>
          </cell>
          <cell r="BJ88">
            <v>25.900000000000002</v>
          </cell>
          <cell r="BK88">
            <v>-2.75</v>
          </cell>
          <cell r="BM88">
            <v>0.22899999999999998</v>
          </cell>
          <cell r="BN88">
            <v>0.22899999999999998</v>
          </cell>
          <cell r="BO88">
            <v>-0.56499999999999984</v>
          </cell>
          <cell r="BQ88">
            <v>47.800000000000004</v>
          </cell>
          <cell r="BR88">
            <v>47.800000000000004</v>
          </cell>
          <cell r="BS88">
            <v>-5.5</v>
          </cell>
          <cell r="BU88">
            <v>0.24999999999999997</v>
          </cell>
          <cell r="BV88">
            <v>0.24999999999999997</v>
          </cell>
          <cell r="BW88">
            <v>-1.4900000000000002</v>
          </cell>
        </row>
        <row r="89">
          <cell r="S89">
            <v>-0.12000000000000004</v>
          </cell>
          <cell r="T89">
            <v>-9.9599999999999994E-2</v>
          </cell>
          <cell r="U89">
            <v>-0.31199999999999994</v>
          </cell>
          <cell r="W89">
            <v>26.200000000000003</v>
          </cell>
          <cell r="X89">
            <v>26.200000000000003</v>
          </cell>
          <cell r="Y89">
            <v>-2.5</v>
          </cell>
          <cell r="AA89">
            <v>0.27199999999999996</v>
          </cell>
          <cell r="AB89">
            <v>0.27199999999999996</v>
          </cell>
          <cell r="AC89">
            <v>-0.41999999999999993</v>
          </cell>
          <cell r="AE89">
            <v>48.400000000000006</v>
          </cell>
          <cell r="AF89">
            <v>48.400000000000006</v>
          </cell>
          <cell r="AG89">
            <v>-5</v>
          </cell>
          <cell r="AI89">
            <v>0.39999999999999997</v>
          </cell>
          <cell r="AJ89">
            <v>0.39999999999999997</v>
          </cell>
          <cell r="AK89">
            <v>-1.3200000000000003</v>
          </cell>
          <cell r="BA89">
            <v>20.799999999999997</v>
          </cell>
          <cell r="BB89">
            <v>20.799999999999997</v>
          </cell>
          <cell r="BC89">
            <v>-2.16</v>
          </cell>
          <cell r="BE89">
            <v>-0.12000000000000004</v>
          </cell>
          <cell r="BF89">
            <v>-0.10359999999999998</v>
          </cell>
          <cell r="BG89">
            <v>-0.31199999999999994</v>
          </cell>
          <cell r="BI89">
            <v>26.200000000000003</v>
          </cell>
          <cell r="BJ89">
            <v>26.200000000000003</v>
          </cell>
          <cell r="BK89">
            <v>-2.5</v>
          </cell>
          <cell r="BM89">
            <v>0.27199999999999996</v>
          </cell>
          <cell r="BN89">
            <v>0.27199999999999996</v>
          </cell>
          <cell r="BO89">
            <v>-0.5199999999999998</v>
          </cell>
          <cell r="BQ89">
            <v>48.400000000000006</v>
          </cell>
          <cell r="BR89">
            <v>48.400000000000006</v>
          </cell>
          <cell r="BS89">
            <v>-5</v>
          </cell>
          <cell r="BU89">
            <v>0.39999999999999997</v>
          </cell>
          <cell r="BV89">
            <v>0.39999999999999997</v>
          </cell>
          <cell r="BW89">
            <v>-1.3200000000000003</v>
          </cell>
        </row>
        <row r="90">
          <cell r="S90">
            <v>-0.10000000000000003</v>
          </cell>
          <cell r="T90">
            <v>-7.4499999999999997E-2</v>
          </cell>
          <cell r="U90">
            <v>-0.28999999999999992</v>
          </cell>
          <cell r="W90">
            <v>26.500000000000004</v>
          </cell>
          <cell r="X90">
            <v>26.500000000000004</v>
          </cell>
          <cell r="Y90">
            <v>-2.25</v>
          </cell>
          <cell r="AA90">
            <v>0.31499999999999995</v>
          </cell>
          <cell r="AB90">
            <v>0.31499999999999995</v>
          </cell>
          <cell r="AC90">
            <v>-0.37499999999999994</v>
          </cell>
          <cell r="AE90">
            <v>49.000000000000007</v>
          </cell>
          <cell r="AF90">
            <v>49.000000000000007</v>
          </cell>
          <cell r="AG90">
            <v>-4.5</v>
          </cell>
          <cell r="AI90">
            <v>0.54999999999999993</v>
          </cell>
          <cell r="AJ90">
            <v>0.54999999999999993</v>
          </cell>
          <cell r="AK90">
            <v>-1.1500000000000004</v>
          </cell>
          <cell r="BA90">
            <v>21.249999999999996</v>
          </cell>
          <cell r="BB90">
            <v>21.249999999999996</v>
          </cell>
          <cell r="BC90">
            <v>-1.9500000000000002</v>
          </cell>
          <cell r="BE90">
            <v>-0.10000000000000003</v>
          </cell>
          <cell r="BF90">
            <v>-7.9499999999999987E-2</v>
          </cell>
          <cell r="BG90">
            <v>-0.28999999999999992</v>
          </cell>
          <cell r="BI90">
            <v>26.500000000000004</v>
          </cell>
          <cell r="BJ90">
            <v>26.500000000000004</v>
          </cell>
          <cell r="BK90">
            <v>-2.25</v>
          </cell>
          <cell r="BM90">
            <v>0.31499999999999995</v>
          </cell>
          <cell r="BN90">
            <v>0.31499999999999995</v>
          </cell>
          <cell r="BO90">
            <v>-0.47499999999999981</v>
          </cell>
          <cell r="BQ90">
            <v>49.000000000000007</v>
          </cell>
          <cell r="BR90">
            <v>49.000000000000007</v>
          </cell>
          <cell r="BS90">
            <v>-4.5</v>
          </cell>
          <cell r="BU90">
            <v>0.54999999999999993</v>
          </cell>
          <cell r="BV90">
            <v>0.54999999999999993</v>
          </cell>
          <cell r="BW90">
            <v>-1.1500000000000004</v>
          </cell>
        </row>
        <row r="91">
          <cell r="S91">
            <v>-8.0000000000000029E-2</v>
          </cell>
          <cell r="T91">
            <v>-4.9399999999999999E-2</v>
          </cell>
          <cell r="U91">
            <v>-0.2679999999999999</v>
          </cell>
          <cell r="W91">
            <v>26.800000000000004</v>
          </cell>
          <cell r="X91">
            <v>26.800000000000004</v>
          </cell>
          <cell r="Y91">
            <v>-2</v>
          </cell>
          <cell r="AA91">
            <v>0.35799999999999993</v>
          </cell>
          <cell r="AB91">
            <v>0.35799999999999993</v>
          </cell>
          <cell r="AC91">
            <v>-0.32999999999999996</v>
          </cell>
          <cell r="AE91">
            <v>49.600000000000009</v>
          </cell>
          <cell r="AF91">
            <v>49.600000000000009</v>
          </cell>
          <cell r="AG91">
            <v>-4</v>
          </cell>
          <cell r="AI91">
            <v>0.7</v>
          </cell>
          <cell r="AJ91">
            <v>0.7</v>
          </cell>
          <cell r="AK91">
            <v>-0.98000000000000032</v>
          </cell>
          <cell r="BA91">
            <v>21.699999999999996</v>
          </cell>
          <cell r="BB91">
            <v>21.699999999999996</v>
          </cell>
          <cell r="BC91">
            <v>-1.7400000000000002</v>
          </cell>
          <cell r="BE91">
            <v>-8.0000000000000029E-2</v>
          </cell>
          <cell r="BF91">
            <v>-5.5399999999999991E-2</v>
          </cell>
          <cell r="BG91">
            <v>-0.2679999999999999</v>
          </cell>
          <cell r="BI91">
            <v>26.800000000000004</v>
          </cell>
          <cell r="BJ91">
            <v>26.800000000000004</v>
          </cell>
          <cell r="BK91">
            <v>-2</v>
          </cell>
          <cell r="BM91">
            <v>0.35799999999999993</v>
          </cell>
          <cell r="BN91">
            <v>0.35799999999999993</v>
          </cell>
          <cell r="BO91">
            <v>-0.42999999999999983</v>
          </cell>
          <cell r="BQ91">
            <v>49.600000000000009</v>
          </cell>
          <cell r="BR91">
            <v>49.600000000000009</v>
          </cell>
          <cell r="BS91">
            <v>-4</v>
          </cell>
          <cell r="BU91">
            <v>0.7</v>
          </cell>
          <cell r="BV91">
            <v>0.7</v>
          </cell>
          <cell r="BW91">
            <v>-0.98000000000000032</v>
          </cell>
        </row>
        <row r="92">
          <cell r="S92">
            <v>-6.0000000000000026E-2</v>
          </cell>
          <cell r="T92">
            <v>-2.4299999999999999E-2</v>
          </cell>
          <cell r="U92">
            <v>-0.24599999999999991</v>
          </cell>
          <cell r="W92">
            <v>27.100000000000005</v>
          </cell>
          <cell r="X92">
            <v>27.100000000000005</v>
          </cell>
          <cell r="Y92">
            <v>-1.75</v>
          </cell>
          <cell r="AA92">
            <v>0.40099999999999991</v>
          </cell>
          <cell r="AB92">
            <v>0.40099999999999991</v>
          </cell>
          <cell r="AC92">
            <v>-0.28499999999999998</v>
          </cell>
          <cell r="AE92">
            <v>50.20000000000001</v>
          </cell>
          <cell r="AF92">
            <v>50.20000000000001</v>
          </cell>
          <cell r="AG92">
            <v>-3.5</v>
          </cell>
          <cell r="AI92">
            <v>0.85</v>
          </cell>
          <cell r="AJ92">
            <v>0.85</v>
          </cell>
          <cell r="AK92">
            <v>-0.81000000000000028</v>
          </cell>
          <cell r="BA92">
            <v>22.149999999999995</v>
          </cell>
          <cell r="BB92">
            <v>22.149999999999995</v>
          </cell>
          <cell r="BC92">
            <v>-1.5300000000000002</v>
          </cell>
          <cell r="BE92">
            <v>-6.0000000000000026E-2</v>
          </cell>
          <cell r="BF92">
            <v>-3.1299999999999994E-2</v>
          </cell>
          <cell r="BG92">
            <v>-0.24599999999999991</v>
          </cell>
          <cell r="BI92">
            <v>27.100000000000005</v>
          </cell>
          <cell r="BJ92">
            <v>27.100000000000005</v>
          </cell>
          <cell r="BK92">
            <v>-1.75</v>
          </cell>
          <cell r="BM92">
            <v>0.40099999999999991</v>
          </cell>
          <cell r="BN92">
            <v>0.40099999999999991</v>
          </cell>
          <cell r="BO92">
            <v>-0.38499999999999984</v>
          </cell>
          <cell r="BQ92">
            <v>50.20000000000001</v>
          </cell>
          <cell r="BR92">
            <v>50.20000000000001</v>
          </cell>
          <cell r="BS92">
            <v>-3.5</v>
          </cell>
          <cell r="BU92">
            <v>0.85</v>
          </cell>
          <cell r="BV92">
            <v>0.85</v>
          </cell>
          <cell r="BW92">
            <v>-0.81000000000000028</v>
          </cell>
        </row>
        <row r="93">
          <cell r="S93">
            <v>-4.0000000000000022E-2</v>
          </cell>
          <cell r="T93">
            <v>8.000000000000021E-4</v>
          </cell>
          <cell r="U93">
            <v>-0.22399999999999992</v>
          </cell>
          <cell r="W93">
            <v>27.400000000000006</v>
          </cell>
          <cell r="X93">
            <v>27.400000000000006</v>
          </cell>
          <cell r="Y93">
            <v>-1.5</v>
          </cell>
          <cell r="AA93">
            <v>0.44399999999999989</v>
          </cell>
          <cell r="AB93">
            <v>0.44399999999999989</v>
          </cell>
          <cell r="AC93">
            <v>-0.24</v>
          </cell>
          <cell r="AE93">
            <v>50.800000000000011</v>
          </cell>
          <cell r="AF93">
            <v>50.800000000000011</v>
          </cell>
          <cell r="AG93">
            <v>-3</v>
          </cell>
          <cell r="AI93">
            <v>1</v>
          </cell>
          <cell r="AJ93">
            <v>1</v>
          </cell>
          <cell r="AK93">
            <v>-0.64000000000000024</v>
          </cell>
          <cell r="BA93">
            <v>22.599999999999994</v>
          </cell>
          <cell r="BB93">
            <v>22.599999999999994</v>
          </cell>
          <cell r="BC93">
            <v>-1.3200000000000003</v>
          </cell>
          <cell r="BE93">
            <v>-4.0000000000000022E-2</v>
          </cell>
          <cell r="BF93">
            <v>-7.1999999999999946E-3</v>
          </cell>
          <cell r="BG93">
            <v>-0.22399999999999992</v>
          </cell>
          <cell r="BI93">
            <v>27.400000000000006</v>
          </cell>
          <cell r="BJ93">
            <v>27.400000000000006</v>
          </cell>
          <cell r="BK93">
            <v>-1.5</v>
          </cell>
          <cell r="BM93">
            <v>0.44399999999999989</v>
          </cell>
          <cell r="BN93">
            <v>0.44399999999999989</v>
          </cell>
          <cell r="BO93">
            <v>-0.33999999999999986</v>
          </cell>
          <cell r="BQ93">
            <v>50.800000000000011</v>
          </cell>
          <cell r="BR93">
            <v>50.800000000000011</v>
          </cell>
          <cell r="BS93">
            <v>-3</v>
          </cell>
          <cell r="BU93">
            <v>1</v>
          </cell>
          <cell r="BV93">
            <v>1</v>
          </cell>
          <cell r="BW93">
            <v>-0.64000000000000024</v>
          </cell>
        </row>
        <row r="94">
          <cell r="S94">
            <v>-2.0000000000000021E-2</v>
          </cell>
          <cell r="T94">
            <v>2.5900000000000003E-2</v>
          </cell>
          <cell r="U94">
            <v>-0.20199999999999993</v>
          </cell>
          <cell r="W94">
            <v>27.700000000000006</v>
          </cell>
          <cell r="X94">
            <v>27.700000000000006</v>
          </cell>
          <cell r="Y94">
            <v>-1.25</v>
          </cell>
          <cell r="AA94">
            <v>0.48699999999999988</v>
          </cell>
          <cell r="AB94">
            <v>0.48699999999999988</v>
          </cell>
          <cell r="AC94">
            <v>-0.19500000000000001</v>
          </cell>
          <cell r="AE94">
            <v>51.400000000000013</v>
          </cell>
          <cell r="AF94">
            <v>51.400000000000013</v>
          </cell>
          <cell r="AG94">
            <v>-2.5</v>
          </cell>
          <cell r="AI94">
            <v>1.1499999999999999</v>
          </cell>
          <cell r="AJ94">
            <v>1.1499999999999999</v>
          </cell>
          <cell r="AK94">
            <v>-0.4700000000000002</v>
          </cell>
          <cell r="BA94">
            <v>23.049999999999994</v>
          </cell>
          <cell r="BB94">
            <v>23.049999999999994</v>
          </cell>
          <cell r="BC94">
            <v>-1.1100000000000003</v>
          </cell>
          <cell r="BE94">
            <v>-2.0000000000000021E-2</v>
          </cell>
          <cell r="BF94">
            <v>1.6900000000000005E-2</v>
          </cell>
          <cell r="BG94">
            <v>-0.20199999999999993</v>
          </cell>
          <cell r="BI94">
            <v>27.700000000000006</v>
          </cell>
          <cell r="BJ94">
            <v>27.700000000000006</v>
          </cell>
          <cell r="BK94">
            <v>-1.25</v>
          </cell>
          <cell r="BM94">
            <v>0.48699999999999988</v>
          </cell>
          <cell r="BN94">
            <v>0.48699999999999988</v>
          </cell>
          <cell r="BO94">
            <v>-0.29499999999999987</v>
          </cell>
          <cell r="BQ94">
            <v>51.400000000000013</v>
          </cell>
          <cell r="BR94">
            <v>51.400000000000013</v>
          </cell>
          <cell r="BS94">
            <v>-2.5</v>
          </cell>
          <cell r="BU94">
            <v>1.1499999999999999</v>
          </cell>
          <cell r="BV94">
            <v>1.1499999999999999</v>
          </cell>
          <cell r="BW94">
            <v>-0.4700000000000002</v>
          </cell>
        </row>
        <row r="95">
          <cell r="S95">
            <v>0</v>
          </cell>
          <cell r="T95">
            <v>5.1000000000000004E-2</v>
          </cell>
          <cell r="U95">
            <v>-0.17999999999999994</v>
          </cell>
          <cell r="W95">
            <v>28.000000000000007</v>
          </cell>
          <cell r="X95">
            <v>28.000000000000007</v>
          </cell>
          <cell r="Y95">
            <v>-1</v>
          </cell>
          <cell r="AA95">
            <v>0.52999999999999992</v>
          </cell>
          <cell r="AB95">
            <v>0.52999999999999992</v>
          </cell>
          <cell r="AC95">
            <v>-0.15000000000000002</v>
          </cell>
          <cell r="AE95">
            <v>52.000000000000014</v>
          </cell>
          <cell r="AF95">
            <v>52.000000000000014</v>
          </cell>
          <cell r="AG95">
            <v>-2</v>
          </cell>
          <cell r="AI95">
            <v>1.2999999999999998</v>
          </cell>
          <cell r="AJ95">
            <v>1.2999999999999998</v>
          </cell>
          <cell r="AK95">
            <v>-0.30000000000000016</v>
          </cell>
          <cell r="BA95">
            <v>23.499999999999993</v>
          </cell>
          <cell r="BB95">
            <v>23.499999999999993</v>
          </cell>
          <cell r="BC95">
            <v>-0.90000000000000036</v>
          </cell>
          <cell r="BE95">
            <v>0</v>
          </cell>
          <cell r="BF95">
            <v>4.1000000000000009E-2</v>
          </cell>
          <cell r="BG95">
            <v>-0.17999999999999994</v>
          </cell>
          <cell r="BI95">
            <v>28.000000000000007</v>
          </cell>
          <cell r="BJ95">
            <v>28.000000000000007</v>
          </cell>
          <cell r="BK95">
            <v>-1</v>
          </cell>
          <cell r="BM95">
            <v>0.52999999999999992</v>
          </cell>
          <cell r="BN95">
            <v>0.52999999999999992</v>
          </cell>
          <cell r="BO95">
            <v>-0.24999999999999989</v>
          </cell>
          <cell r="BQ95">
            <v>52.000000000000014</v>
          </cell>
          <cell r="BR95">
            <v>52.000000000000014</v>
          </cell>
          <cell r="BS95">
            <v>-2</v>
          </cell>
          <cell r="BU95">
            <v>1.2999999999999998</v>
          </cell>
          <cell r="BV95">
            <v>1.2999999999999998</v>
          </cell>
          <cell r="BW95">
            <v>-0.30000000000000016</v>
          </cell>
        </row>
        <row r="96">
          <cell r="S96">
            <v>0.02</v>
          </cell>
          <cell r="T96">
            <v>7.6100000000000001E-2</v>
          </cell>
          <cell r="U96">
            <v>-0.15799999999999995</v>
          </cell>
          <cell r="W96">
            <v>28.300000000000008</v>
          </cell>
          <cell r="X96">
            <v>28.300000000000008</v>
          </cell>
          <cell r="Y96">
            <v>-0.75</v>
          </cell>
          <cell r="AA96">
            <v>0.57299999999999995</v>
          </cell>
          <cell r="AB96">
            <v>0.57299999999999995</v>
          </cell>
          <cell r="AC96">
            <v>-0.10500000000000002</v>
          </cell>
          <cell r="AE96">
            <v>52.600000000000016</v>
          </cell>
          <cell r="AF96">
            <v>52.600000000000016</v>
          </cell>
          <cell r="AG96">
            <v>-1.5</v>
          </cell>
          <cell r="AI96">
            <v>1.4499999999999997</v>
          </cell>
          <cell r="AJ96">
            <v>1.4499999999999997</v>
          </cell>
          <cell r="AK96">
            <v>-0.13000000000000014</v>
          </cell>
          <cell r="BA96">
            <v>23.949999999999992</v>
          </cell>
          <cell r="BB96">
            <v>23.949999999999992</v>
          </cell>
          <cell r="BC96">
            <v>-0.69000000000000039</v>
          </cell>
          <cell r="BE96">
            <v>0.02</v>
          </cell>
          <cell r="BF96">
            <v>6.5100000000000005E-2</v>
          </cell>
          <cell r="BG96">
            <v>-0.15799999999999995</v>
          </cell>
          <cell r="BI96">
            <v>28.300000000000008</v>
          </cell>
          <cell r="BJ96">
            <v>28.300000000000008</v>
          </cell>
          <cell r="BK96">
            <v>-0.75</v>
          </cell>
          <cell r="BM96">
            <v>0.57299999999999995</v>
          </cell>
          <cell r="BN96">
            <v>0.57299999999999995</v>
          </cell>
          <cell r="BO96">
            <v>-0.2049999999999999</v>
          </cell>
          <cell r="BQ96">
            <v>52.600000000000016</v>
          </cell>
          <cell r="BR96">
            <v>52.600000000000016</v>
          </cell>
          <cell r="BS96">
            <v>-1.5</v>
          </cell>
          <cell r="BU96">
            <v>1.4499999999999997</v>
          </cell>
          <cell r="BV96">
            <v>1.4499999999999997</v>
          </cell>
          <cell r="BW96">
            <v>-0.13000000000000014</v>
          </cell>
        </row>
        <row r="97">
          <cell r="S97">
            <v>0.04</v>
          </cell>
          <cell r="T97">
            <v>0.1012</v>
          </cell>
          <cell r="U97">
            <v>-0.13599999999999995</v>
          </cell>
          <cell r="W97">
            <v>28.600000000000009</v>
          </cell>
          <cell r="X97">
            <v>28.600000000000009</v>
          </cell>
          <cell r="Y97">
            <v>-0.5</v>
          </cell>
          <cell r="AA97">
            <v>0.61599999999999999</v>
          </cell>
          <cell r="AB97">
            <v>0.61599999999999999</v>
          </cell>
          <cell r="AC97">
            <v>-6.0000000000000026E-2</v>
          </cell>
          <cell r="AE97">
            <v>53.200000000000017</v>
          </cell>
          <cell r="AF97">
            <v>53.200000000000017</v>
          </cell>
          <cell r="AG97">
            <v>-1</v>
          </cell>
          <cell r="AI97">
            <v>1.5999999999999996</v>
          </cell>
          <cell r="AJ97">
            <v>1.5999999999999996</v>
          </cell>
          <cell r="AK97">
            <v>3.9999999999999869E-2</v>
          </cell>
          <cell r="BA97">
            <v>24.399999999999991</v>
          </cell>
          <cell r="BB97">
            <v>24.399999999999991</v>
          </cell>
          <cell r="BC97">
            <v>-0.48000000000000043</v>
          </cell>
          <cell r="BE97">
            <v>0.04</v>
          </cell>
          <cell r="BF97">
            <v>8.9200000000000002E-2</v>
          </cell>
          <cell r="BG97">
            <v>-0.13599999999999995</v>
          </cell>
          <cell r="BI97">
            <v>28.600000000000009</v>
          </cell>
          <cell r="BJ97">
            <v>28.600000000000009</v>
          </cell>
          <cell r="BK97">
            <v>-0.5</v>
          </cell>
          <cell r="BM97">
            <v>0.61599999999999999</v>
          </cell>
          <cell r="BN97">
            <v>0.61599999999999999</v>
          </cell>
          <cell r="BO97">
            <v>-0.15999999999999992</v>
          </cell>
          <cell r="BQ97">
            <v>53.200000000000017</v>
          </cell>
          <cell r="BR97">
            <v>53.200000000000017</v>
          </cell>
          <cell r="BS97">
            <v>-1</v>
          </cell>
          <cell r="BU97">
            <v>1.5999999999999996</v>
          </cell>
          <cell r="BV97">
            <v>1.5999999999999996</v>
          </cell>
          <cell r="BW97">
            <v>3.9999999999999869E-2</v>
          </cell>
        </row>
        <row r="98">
          <cell r="S98">
            <v>0.06</v>
          </cell>
          <cell r="T98">
            <v>0.1263</v>
          </cell>
          <cell r="U98">
            <v>-0.11399999999999996</v>
          </cell>
          <cell r="W98">
            <v>28.900000000000009</v>
          </cell>
          <cell r="X98">
            <v>28.900000000000009</v>
          </cell>
          <cell r="Y98">
            <v>-0.25</v>
          </cell>
          <cell r="AA98">
            <v>0.65900000000000003</v>
          </cell>
          <cell r="AB98">
            <v>0.65900000000000003</v>
          </cell>
          <cell r="AC98">
            <v>-1.5000000000000027E-2</v>
          </cell>
          <cell r="AE98">
            <v>53.800000000000018</v>
          </cell>
          <cell r="AF98">
            <v>53.800000000000018</v>
          </cell>
          <cell r="AG98">
            <v>-0.5</v>
          </cell>
          <cell r="AI98">
            <v>1.7499999999999996</v>
          </cell>
          <cell r="AJ98">
            <v>1.7499999999999996</v>
          </cell>
          <cell r="AK98">
            <v>0.20999999999999988</v>
          </cell>
          <cell r="BA98">
            <v>24.849999999999991</v>
          </cell>
          <cell r="BB98">
            <v>24.849999999999991</v>
          </cell>
          <cell r="BC98">
            <v>-0.27000000000000046</v>
          </cell>
          <cell r="BE98">
            <v>0.06</v>
          </cell>
          <cell r="BF98">
            <v>0.1133</v>
          </cell>
          <cell r="BG98">
            <v>-0.11399999999999996</v>
          </cell>
          <cell r="BI98">
            <v>28.900000000000009</v>
          </cell>
          <cell r="BJ98">
            <v>28.900000000000009</v>
          </cell>
          <cell r="BK98">
            <v>-0.25</v>
          </cell>
          <cell r="BM98">
            <v>0.65900000000000003</v>
          </cell>
          <cell r="BN98">
            <v>0.65900000000000003</v>
          </cell>
          <cell r="BO98">
            <v>-0.11499999999999992</v>
          </cell>
          <cell r="BQ98">
            <v>53.800000000000018</v>
          </cell>
          <cell r="BR98">
            <v>53.800000000000018</v>
          </cell>
          <cell r="BS98">
            <v>-0.5</v>
          </cell>
          <cell r="BU98">
            <v>1.7499999999999996</v>
          </cell>
          <cell r="BV98">
            <v>1.7499999999999996</v>
          </cell>
          <cell r="BW98">
            <v>0.20999999999999988</v>
          </cell>
        </row>
        <row r="99">
          <cell r="S99">
            <v>0.08</v>
          </cell>
          <cell r="T99">
            <v>0.15140000000000001</v>
          </cell>
          <cell r="U99">
            <v>-9.1999999999999971E-2</v>
          </cell>
          <cell r="W99">
            <v>29.20000000000001</v>
          </cell>
          <cell r="X99">
            <v>29.20000000000001</v>
          </cell>
          <cell r="Y99">
            <v>0</v>
          </cell>
          <cell r="AA99">
            <v>0.70200000000000007</v>
          </cell>
          <cell r="AB99">
            <v>0.70200000000000007</v>
          </cell>
          <cell r="AC99">
            <v>2.9999999999999971E-2</v>
          </cell>
          <cell r="AE99">
            <v>54.40000000000002</v>
          </cell>
          <cell r="AF99">
            <v>54.40000000000002</v>
          </cell>
          <cell r="AG99">
            <v>0</v>
          </cell>
          <cell r="AI99">
            <v>1.8999999999999995</v>
          </cell>
          <cell r="AJ99">
            <v>1.8999999999999995</v>
          </cell>
          <cell r="AK99">
            <v>0.37999999999999989</v>
          </cell>
          <cell r="BA99">
            <v>25.29999999999999</v>
          </cell>
          <cell r="BB99">
            <v>25.29999999999999</v>
          </cell>
          <cell r="BC99">
            <v>-6.000000000000047E-2</v>
          </cell>
          <cell r="BE99">
            <v>0.08</v>
          </cell>
          <cell r="BF99">
            <v>0.13739999999999999</v>
          </cell>
          <cell r="BG99">
            <v>-9.1999999999999971E-2</v>
          </cell>
          <cell r="BI99">
            <v>29.20000000000001</v>
          </cell>
          <cell r="BJ99">
            <v>29.20000000000001</v>
          </cell>
          <cell r="BK99">
            <v>0</v>
          </cell>
          <cell r="BM99">
            <v>0.70200000000000007</v>
          </cell>
          <cell r="BN99">
            <v>0.70200000000000007</v>
          </cell>
          <cell r="BO99">
            <v>-6.9999999999999923E-2</v>
          </cell>
          <cell r="BQ99">
            <v>54.40000000000002</v>
          </cell>
          <cell r="BR99">
            <v>54.40000000000002</v>
          </cell>
          <cell r="BS99">
            <v>0</v>
          </cell>
          <cell r="BU99">
            <v>1.8999999999999995</v>
          </cell>
          <cell r="BV99">
            <v>1.8999999999999995</v>
          </cell>
          <cell r="BW99">
            <v>0.37999999999999989</v>
          </cell>
        </row>
        <row r="100">
          <cell r="S100">
            <v>0.1</v>
          </cell>
          <cell r="T100">
            <v>0.17650000000000002</v>
          </cell>
          <cell r="U100">
            <v>-6.9999999999999979E-2</v>
          </cell>
          <cell r="W100">
            <v>29.500000000000011</v>
          </cell>
          <cell r="X100">
            <v>29.500000000000011</v>
          </cell>
          <cell r="Y100">
            <v>0.25</v>
          </cell>
          <cell r="AA100">
            <v>0.74500000000000011</v>
          </cell>
          <cell r="AB100">
            <v>0.74500000000000011</v>
          </cell>
          <cell r="AC100">
            <v>7.4999999999999969E-2</v>
          </cell>
          <cell r="AE100">
            <v>55.000000000000021</v>
          </cell>
          <cell r="AF100">
            <v>55.000000000000021</v>
          </cell>
          <cell r="AG100">
            <v>0.5</v>
          </cell>
          <cell r="AI100">
            <v>2.0499999999999994</v>
          </cell>
          <cell r="AJ100">
            <v>2.0499999999999994</v>
          </cell>
          <cell r="AK100">
            <v>0.54999999999999993</v>
          </cell>
          <cell r="BA100">
            <v>25.749999999999989</v>
          </cell>
          <cell r="BB100">
            <v>25.749999999999989</v>
          </cell>
          <cell r="BC100">
            <v>0.14999999999999952</v>
          </cell>
          <cell r="BE100">
            <v>0.1</v>
          </cell>
          <cell r="BF100">
            <v>0.1615</v>
          </cell>
          <cell r="BG100">
            <v>-6.9999999999999979E-2</v>
          </cell>
          <cell r="BI100">
            <v>29.500000000000011</v>
          </cell>
          <cell r="BJ100">
            <v>29.500000000000011</v>
          </cell>
          <cell r="BK100">
            <v>0.25</v>
          </cell>
          <cell r="BM100">
            <v>0.74500000000000011</v>
          </cell>
          <cell r="BN100">
            <v>0.74500000000000011</v>
          </cell>
          <cell r="BO100">
            <v>-2.4999999999999925E-2</v>
          </cell>
          <cell r="BQ100">
            <v>55.000000000000021</v>
          </cell>
          <cell r="BR100">
            <v>55.000000000000021</v>
          </cell>
          <cell r="BS100">
            <v>0.5</v>
          </cell>
          <cell r="BU100">
            <v>2.0499999999999994</v>
          </cell>
          <cell r="BV100">
            <v>2.0499999999999994</v>
          </cell>
          <cell r="BW100">
            <v>0.54999999999999993</v>
          </cell>
        </row>
        <row r="101">
          <cell r="S101">
            <v>0.12000000000000001</v>
          </cell>
          <cell r="T101">
            <v>0.20160000000000003</v>
          </cell>
          <cell r="U101">
            <v>-4.799999999999998E-2</v>
          </cell>
          <cell r="W101">
            <v>29.800000000000011</v>
          </cell>
          <cell r="X101">
            <v>29.800000000000011</v>
          </cell>
          <cell r="Y101">
            <v>0.5</v>
          </cell>
          <cell r="AA101">
            <v>0.78800000000000014</v>
          </cell>
          <cell r="AB101">
            <v>0.78800000000000014</v>
          </cell>
          <cell r="AC101">
            <v>0.11999999999999997</v>
          </cell>
          <cell r="AE101">
            <v>55.600000000000023</v>
          </cell>
          <cell r="AF101">
            <v>55.600000000000023</v>
          </cell>
          <cell r="AG101">
            <v>1</v>
          </cell>
          <cell r="AI101">
            <v>2.1999999999999993</v>
          </cell>
          <cell r="AJ101">
            <v>2.1999999999999993</v>
          </cell>
          <cell r="AK101">
            <v>0.72</v>
          </cell>
          <cell r="BA101">
            <v>26.199999999999989</v>
          </cell>
          <cell r="BB101">
            <v>26.199999999999989</v>
          </cell>
          <cell r="BC101">
            <v>0.35999999999999954</v>
          </cell>
          <cell r="BE101">
            <v>0.12000000000000001</v>
          </cell>
          <cell r="BF101">
            <v>0.18560000000000001</v>
          </cell>
          <cell r="BG101">
            <v>-4.799999999999998E-2</v>
          </cell>
          <cell r="BI101">
            <v>29.800000000000011</v>
          </cell>
          <cell r="BJ101">
            <v>29.800000000000011</v>
          </cell>
          <cell r="BK101">
            <v>0.5</v>
          </cell>
          <cell r="BM101">
            <v>0.78800000000000014</v>
          </cell>
          <cell r="BN101">
            <v>0.78800000000000014</v>
          </cell>
          <cell r="BO101">
            <v>2.0000000000000073E-2</v>
          </cell>
          <cell r="BQ101">
            <v>55.600000000000023</v>
          </cell>
          <cell r="BR101">
            <v>55.600000000000023</v>
          </cell>
          <cell r="BS101">
            <v>1</v>
          </cell>
          <cell r="BU101">
            <v>2.1999999999999993</v>
          </cell>
          <cell r="BV101">
            <v>2.1999999999999993</v>
          </cell>
          <cell r="BW101">
            <v>0.72</v>
          </cell>
        </row>
        <row r="102">
          <cell r="S102">
            <v>0.14000000000000001</v>
          </cell>
          <cell r="T102">
            <v>0.22670000000000004</v>
          </cell>
          <cell r="U102">
            <v>-2.5999999999999981E-2</v>
          </cell>
          <cell r="W102">
            <v>30.100000000000012</v>
          </cell>
          <cell r="X102">
            <v>30.100000000000012</v>
          </cell>
          <cell r="Y102">
            <v>0.75</v>
          </cell>
          <cell r="AA102">
            <v>0.83100000000000018</v>
          </cell>
          <cell r="AB102">
            <v>0.83100000000000018</v>
          </cell>
          <cell r="AC102">
            <v>0.16499999999999998</v>
          </cell>
          <cell r="AE102">
            <v>56.200000000000024</v>
          </cell>
          <cell r="AF102">
            <v>56.200000000000024</v>
          </cell>
          <cell r="AG102">
            <v>1.5</v>
          </cell>
          <cell r="AI102">
            <v>2.3499999999999992</v>
          </cell>
          <cell r="AJ102">
            <v>2.3499999999999992</v>
          </cell>
          <cell r="AK102">
            <v>0.89</v>
          </cell>
          <cell r="BA102">
            <v>26.649999999999988</v>
          </cell>
          <cell r="BB102">
            <v>26.649999999999988</v>
          </cell>
          <cell r="BC102">
            <v>0.56999999999999951</v>
          </cell>
          <cell r="BE102">
            <v>0.14000000000000001</v>
          </cell>
          <cell r="BF102">
            <v>0.20970000000000003</v>
          </cell>
          <cell r="BG102">
            <v>-2.5999999999999981E-2</v>
          </cell>
          <cell r="BI102">
            <v>30.100000000000012</v>
          </cell>
          <cell r="BJ102">
            <v>30.100000000000012</v>
          </cell>
          <cell r="BK102">
            <v>0.75</v>
          </cell>
          <cell r="BM102">
            <v>0.83100000000000018</v>
          </cell>
          <cell r="BN102">
            <v>0.83100000000000018</v>
          </cell>
          <cell r="BO102">
            <v>6.5000000000000072E-2</v>
          </cell>
          <cell r="BQ102">
            <v>56.200000000000024</v>
          </cell>
          <cell r="BR102">
            <v>56.200000000000024</v>
          </cell>
          <cell r="BS102">
            <v>1.5</v>
          </cell>
          <cell r="BU102">
            <v>2.3499999999999992</v>
          </cell>
          <cell r="BV102">
            <v>2.3499999999999992</v>
          </cell>
          <cell r="BW102">
            <v>0.89</v>
          </cell>
        </row>
        <row r="103">
          <cell r="S103">
            <v>0.16</v>
          </cell>
          <cell r="T103">
            <v>0.25180000000000002</v>
          </cell>
          <cell r="U103">
            <v>-3.9999999999999827E-3</v>
          </cell>
          <cell r="W103">
            <v>30.400000000000013</v>
          </cell>
          <cell r="X103">
            <v>30.400000000000013</v>
          </cell>
          <cell r="Y103">
            <v>1</v>
          </cell>
          <cell r="AA103">
            <v>0.87400000000000022</v>
          </cell>
          <cell r="AB103">
            <v>0.87400000000000022</v>
          </cell>
          <cell r="AC103">
            <v>0.20999999999999996</v>
          </cell>
          <cell r="AE103">
            <v>56.800000000000026</v>
          </cell>
          <cell r="AF103">
            <v>56.800000000000026</v>
          </cell>
          <cell r="AG103">
            <v>2</v>
          </cell>
          <cell r="AI103">
            <v>2.4999999999999991</v>
          </cell>
          <cell r="AJ103">
            <v>2.4999999999999991</v>
          </cell>
          <cell r="AK103">
            <v>1.06</v>
          </cell>
          <cell r="BA103">
            <v>27.099999999999987</v>
          </cell>
          <cell r="BB103">
            <v>27.099999999999987</v>
          </cell>
          <cell r="BC103">
            <v>0.77999999999999947</v>
          </cell>
          <cell r="BE103">
            <v>0.16</v>
          </cell>
          <cell r="BF103">
            <v>0.23380000000000004</v>
          </cell>
          <cell r="BG103">
            <v>-3.9999999999999827E-3</v>
          </cell>
          <cell r="BI103">
            <v>30.400000000000013</v>
          </cell>
          <cell r="BJ103">
            <v>30.400000000000013</v>
          </cell>
          <cell r="BK103">
            <v>1</v>
          </cell>
          <cell r="BM103">
            <v>0.87400000000000022</v>
          </cell>
          <cell r="BN103">
            <v>0.87400000000000022</v>
          </cell>
          <cell r="BO103">
            <v>0.11000000000000007</v>
          </cell>
          <cell r="BQ103">
            <v>56.800000000000026</v>
          </cell>
          <cell r="BR103">
            <v>56.800000000000026</v>
          </cell>
          <cell r="BS103">
            <v>2</v>
          </cell>
          <cell r="BU103">
            <v>2.4999999999999991</v>
          </cell>
          <cell r="BV103">
            <v>2.4999999999999991</v>
          </cell>
          <cell r="BW103">
            <v>1.06</v>
          </cell>
        </row>
        <row r="104">
          <cell r="S104">
            <v>0.18</v>
          </cell>
          <cell r="T104">
            <v>0.27690000000000003</v>
          </cell>
          <cell r="U104">
            <v>1.8000000000000016E-2</v>
          </cell>
          <cell r="W104">
            <v>30.700000000000014</v>
          </cell>
          <cell r="X104">
            <v>30.700000000000014</v>
          </cell>
          <cell r="Y104">
            <v>1.25</v>
          </cell>
          <cell r="AA104">
            <v>0.91700000000000026</v>
          </cell>
          <cell r="AB104">
            <v>0.91700000000000026</v>
          </cell>
          <cell r="AC104">
            <v>0.25499999999999995</v>
          </cell>
          <cell r="AE104">
            <v>57.400000000000027</v>
          </cell>
          <cell r="AF104">
            <v>57.400000000000027</v>
          </cell>
          <cell r="AG104">
            <v>2.5</v>
          </cell>
          <cell r="AI104">
            <v>2.649999999999999</v>
          </cell>
          <cell r="AJ104">
            <v>2.649999999999999</v>
          </cell>
          <cell r="AK104">
            <v>1.23</v>
          </cell>
          <cell r="BA104">
            <v>27.549999999999986</v>
          </cell>
          <cell r="BB104">
            <v>27.549999999999986</v>
          </cell>
          <cell r="BC104">
            <v>0.98999999999999944</v>
          </cell>
          <cell r="BE104">
            <v>0.18</v>
          </cell>
          <cell r="BF104">
            <v>0.25790000000000002</v>
          </cell>
          <cell r="BG104">
            <v>1.8000000000000016E-2</v>
          </cell>
          <cell r="BI104">
            <v>30.700000000000014</v>
          </cell>
          <cell r="BJ104">
            <v>30.700000000000014</v>
          </cell>
          <cell r="BK104">
            <v>1.25</v>
          </cell>
          <cell r="BM104">
            <v>0.91700000000000026</v>
          </cell>
          <cell r="BN104">
            <v>0.91700000000000026</v>
          </cell>
          <cell r="BO104">
            <v>0.15500000000000008</v>
          </cell>
          <cell r="BQ104">
            <v>57.400000000000027</v>
          </cell>
          <cell r="BR104">
            <v>57.400000000000027</v>
          </cell>
          <cell r="BS104">
            <v>2.5</v>
          </cell>
          <cell r="BU104">
            <v>2.649999999999999</v>
          </cell>
          <cell r="BV104">
            <v>2.649999999999999</v>
          </cell>
          <cell r="BW104">
            <v>1.23</v>
          </cell>
        </row>
        <row r="105">
          <cell r="S105">
            <v>0.19999999999999998</v>
          </cell>
          <cell r="T105">
            <v>0.30200000000000005</v>
          </cell>
          <cell r="U105">
            <v>4.0000000000000015E-2</v>
          </cell>
          <cell r="W105">
            <v>31.000000000000014</v>
          </cell>
          <cell r="X105">
            <v>31.000000000000014</v>
          </cell>
          <cell r="Y105">
            <v>1.5</v>
          </cell>
          <cell r="AA105">
            <v>0.9600000000000003</v>
          </cell>
          <cell r="AB105">
            <v>0.9600000000000003</v>
          </cell>
          <cell r="AC105">
            <v>0.29999999999999993</v>
          </cell>
          <cell r="AE105">
            <v>58.000000000000028</v>
          </cell>
          <cell r="AF105">
            <v>58.000000000000028</v>
          </cell>
          <cell r="AG105">
            <v>3</v>
          </cell>
          <cell r="AI105">
            <v>2.7999999999999989</v>
          </cell>
          <cell r="AJ105">
            <v>2.7999999999999989</v>
          </cell>
          <cell r="AK105">
            <v>1.4</v>
          </cell>
          <cell r="BA105">
            <v>27.999999999999986</v>
          </cell>
          <cell r="BB105">
            <v>27.999999999999986</v>
          </cell>
          <cell r="BC105">
            <v>1.1999999999999995</v>
          </cell>
          <cell r="BE105">
            <v>0.19999999999999998</v>
          </cell>
          <cell r="BF105">
            <v>0.28200000000000003</v>
          </cell>
          <cell r="BG105">
            <v>4.0000000000000015E-2</v>
          </cell>
          <cell r="BI105">
            <v>31.000000000000014</v>
          </cell>
          <cell r="BJ105">
            <v>31.000000000000014</v>
          </cell>
          <cell r="BK105">
            <v>1.5</v>
          </cell>
          <cell r="BM105">
            <v>0.9600000000000003</v>
          </cell>
          <cell r="BN105">
            <v>0.9600000000000003</v>
          </cell>
          <cell r="BO105">
            <v>0.20000000000000007</v>
          </cell>
          <cell r="BQ105">
            <v>58.000000000000028</v>
          </cell>
          <cell r="BR105">
            <v>58.000000000000028</v>
          </cell>
          <cell r="BS105">
            <v>3</v>
          </cell>
          <cell r="BU105">
            <v>2.7999999999999989</v>
          </cell>
          <cell r="BV105">
            <v>2.7999999999999989</v>
          </cell>
          <cell r="BW105">
            <v>1.4</v>
          </cell>
        </row>
        <row r="106">
          <cell r="S106">
            <v>0.21999999999999997</v>
          </cell>
          <cell r="T106">
            <v>0.32710000000000006</v>
          </cell>
          <cell r="U106">
            <v>6.2000000000000013E-2</v>
          </cell>
          <cell r="W106">
            <v>31.300000000000015</v>
          </cell>
          <cell r="X106">
            <v>31.300000000000015</v>
          </cell>
          <cell r="Y106">
            <v>1.75</v>
          </cell>
          <cell r="AA106">
            <v>1.0030000000000003</v>
          </cell>
          <cell r="AB106">
            <v>1.0030000000000003</v>
          </cell>
          <cell r="AC106">
            <v>0.34499999999999992</v>
          </cell>
          <cell r="AE106">
            <v>58.60000000000003</v>
          </cell>
          <cell r="AF106">
            <v>58.60000000000003</v>
          </cell>
          <cell r="AG106">
            <v>3.5</v>
          </cell>
          <cell r="AI106">
            <v>2.9499999999999988</v>
          </cell>
          <cell r="AJ106">
            <v>2.9499999999999988</v>
          </cell>
          <cell r="AK106">
            <v>1.5699999999999998</v>
          </cell>
          <cell r="BA106">
            <v>28.449999999999985</v>
          </cell>
          <cell r="BB106">
            <v>28.449999999999985</v>
          </cell>
          <cell r="BC106">
            <v>1.4099999999999995</v>
          </cell>
          <cell r="BE106">
            <v>0.21999999999999997</v>
          </cell>
          <cell r="BF106">
            <v>0.30610000000000004</v>
          </cell>
          <cell r="BG106">
            <v>6.2000000000000013E-2</v>
          </cell>
          <cell r="BI106">
            <v>31.300000000000015</v>
          </cell>
          <cell r="BJ106">
            <v>31.300000000000015</v>
          </cell>
          <cell r="BK106">
            <v>1.75</v>
          </cell>
          <cell r="BM106">
            <v>1.0030000000000003</v>
          </cell>
          <cell r="BN106">
            <v>1.0030000000000003</v>
          </cell>
          <cell r="BO106">
            <v>0.24500000000000005</v>
          </cell>
          <cell r="BQ106">
            <v>58.60000000000003</v>
          </cell>
          <cell r="BR106">
            <v>58.60000000000003</v>
          </cell>
          <cell r="BS106">
            <v>3.5</v>
          </cell>
          <cell r="BU106">
            <v>2.9499999999999988</v>
          </cell>
          <cell r="BV106">
            <v>2.9499999999999988</v>
          </cell>
          <cell r="BW106">
            <v>1.5699999999999998</v>
          </cell>
        </row>
        <row r="107">
          <cell r="S107">
            <v>0.23999999999999996</v>
          </cell>
          <cell r="T107">
            <v>0.35220000000000007</v>
          </cell>
          <cell r="U107">
            <v>8.4000000000000019E-2</v>
          </cell>
          <cell r="W107">
            <v>31.600000000000016</v>
          </cell>
          <cell r="X107">
            <v>31.600000000000016</v>
          </cell>
          <cell r="Y107">
            <v>2</v>
          </cell>
          <cell r="AA107">
            <v>1.0460000000000003</v>
          </cell>
          <cell r="AB107">
            <v>1.0460000000000003</v>
          </cell>
          <cell r="AC107">
            <v>0.3899999999999999</v>
          </cell>
          <cell r="AE107">
            <v>59.200000000000031</v>
          </cell>
          <cell r="AF107">
            <v>59.200000000000031</v>
          </cell>
          <cell r="AG107">
            <v>4</v>
          </cell>
          <cell r="AI107">
            <v>3.0999999999999988</v>
          </cell>
          <cell r="AJ107">
            <v>3.0999999999999988</v>
          </cell>
          <cell r="AK107">
            <v>1.7399999999999998</v>
          </cell>
          <cell r="BA107">
            <v>28.899999999999984</v>
          </cell>
          <cell r="BB107">
            <v>28.899999999999984</v>
          </cell>
          <cell r="BC107">
            <v>1.6199999999999994</v>
          </cell>
          <cell r="BE107">
            <v>0.23999999999999996</v>
          </cell>
          <cell r="BF107">
            <v>0.33020000000000005</v>
          </cell>
          <cell r="BG107">
            <v>8.4000000000000019E-2</v>
          </cell>
          <cell r="BI107">
            <v>31.600000000000016</v>
          </cell>
          <cell r="BJ107">
            <v>31.600000000000016</v>
          </cell>
          <cell r="BK107">
            <v>2</v>
          </cell>
          <cell r="BM107">
            <v>1.0460000000000003</v>
          </cell>
          <cell r="BN107">
            <v>1.0460000000000003</v>
          </cell>
          <cell r="BO107">
            <v>0.29000000000000004</v>
          </cell>
          <cell r="BQ107">
            <v>59.200000000000031</v>
          </cell>
          <cell r="BR107">
            <v>59.200000000000031</v>
          </cell>
          <cell r="BS107">
            <v>4</v>
          </cell>
          <cell r="BU107">
            <v>3.0999999999999988</v>
          </cell>
          <cell r="BV107">
            <v>3.0999999999999988</v>
          </cell>
          <cell r="BW107">
            <v>1.7399999999999998</v>
          </cell>
        </row>
        <row r="108">
          <cell r="S108">
            <v>0.25999999999999995</v>
          </cell>
          <cell r="T108">
            <v>0.37730000000000008</v>
          </cell>
          <cell r="U108">
            <v>0.10600000000000001</v>
          </cell>
          <cell r="W108">
            <v>31.900000000000016</v>
          </cell>
          <cell r="X108">
            <v>31.900000000000016</v>
          </cell>
          <cell r="Y108">
            <v>2.25</v>
          </cell>
          <cell r="AA108">
            <v>1.0890000000000002</v>
          </cell>
          <cell r="AB108">
            <v>1.0890000000000002</v>
          </cell>
          <cell r="AC108">
            <v>0.43499999999999989</v>
          </cell>
          <cell r="AE108">
            <v>59.800000000000033</v>
          </cell>
          <cell r="AF108">
            <v>59.800000000000033</v>
          </cell>
          <cell r="AG108">
            <v>4.5</v>
          </cell>
          <cell r="AI108">
            <v>3.2499999999999987</v>
          </cell>
          <cell r="AJ108">
            <v>3.2499999999999987</v>
          </cell>
          <cell r="AK108">
            <v>1.9099999999999997</v>
          </cell>
          <cell r="BA108">
            <v>29.349999999999984</v>
          </cell>
          <cell r="BB108">
            <v>29.349999999999984</v>
          </cell>
          <cell r="BC108">
            <v>1.8299999999999994</v>
          </cell>
          <cell r="BE108">
            <v>0.25999999999999995</v>
          </cell>
          <cell r="BF108">
            <v>0.35430000000000006</v>
          </cell>
          <cell r="BG108">
            <v>0.10600000000000001</v>
          </cell>
          <cell r="BI108">
            <v>31.900000000000016</v>
          </cell>
          <cell r="BJ108">
            <v>31.900000000000016</v>
          </cell>
          <cell r="BK108">
            <v>2.25</v>
          </cell>
          <cell r="BM108">
            <v>1.0890000000000002</v>
          </cell>
          <cell r="BN108">
            <v>1.0890000000000002</v>
          </cell>
          <cell r="BO108">
            <v>0.33500000000000002</v>
          </cell>
          <cell r="BQ108">
            <v>59.800000000000033</v>
          </cell>
          <cell r="BR108">
            <v>59.800000000000033</v>
          </cell>
          <cell r="BS108">
            <v>4.5</v>
          </cell>
          <cell r="BU108">
            <v>3.2499999999999987</v>
          </cell>
          <cell r="BV108">
            <v>3.2499999999999987</v>
          </cell>
          <cell r="BW108">
            <v>1.9099999999999997</v>
          </cell>
        </row>
        <row r="109">
          <cell r="S109">
            <v>0.27999999999999997</v>
          </cell>
          <cell r="T109">
            <v>0.40240000000000009</v>
          </cell>
          <cell r="U109">
            <v>0.128</v>
          </cell>
          <cell r="W109">
            <v>32.200000000000017</v>
          </cell>
          <cell r="X109">
            <v>32.200000000000017</v>
          </cell>
          <cell r="Y109">
            <v>2.5</v>
          </cell>
          <cell r="AA109">
            <v>1.1320000000000001</v>
          </cell>
          <cell r="AB109">
            <v>1.1320000000000001</v>
          </cell>
          <cell r="AC109">
            <v>0.47999999999999987</v>
          </cell>
          <cell r="AE109">
            <v>60.400000000000034</v>
          </cell>
          <cell r="AF109">
            <v>60.400000000000034</v>
          </cell>
          <cell r="AG109">
            <v>5</v>
          </cell>
          <cell r="AI109">
            <v>3.3999999999999986</v>
          </cell>
          <cell r="AJ109">
            <v>3.3999999999999986</v>
          </cell>
          <cell r="AK109">
            <v>2.0799999999999996</v>
          </cell>
          <cell r="BA109">
            <v>29.799999999999983</v>
          </cell>
          <cell r="BB109">
            <v>29.799999999999983</v>
          </cell>
          <cell r="BC109">
            <v>2.0399999999999996</v>
          </cell>
          <cell r="BE109">
            <v>0.27999999999999997</v>
          </cell>
          <cell r="BF109">
            <v>0.37840000000000007</v>
          </cell>
          <cell r="BG109">
            <v>0.128</v>
          </cell>
          <cell r="BI109">
            <v>32.200000000000017</v>
          </cell>
          <cell r="BJ109">
            <v>32.200000000000017</v>
          </cell>
          <cell r="BK109">
            <v>2.5</v>
          </cell>
          <cell r="BM109">
            <v>1.1320000000000001</v>
          </cell>
          <cell r="BN109">
            <v>1.1320000000000001</v>
          </cell>
          <cell r="BO109">
            <v>0.38</v>
          </cell>
          <cell r="BQ109">
            <v>60.400000000000034</v>
          </cell>
          <cell r="BR109">
            <v>60.400000000000034</v>
          </cell>
          <cell r="BS109">
            <v>5</v>
          </cell>
          <cell r="BU109">
            <v>3.3999999999999986</v>
          </cell>
          <cell r="BV109">
            <v>3.3999999999999986</v>
          </cell>
          <cell r="BW109">
            <v>2.0799999999999996</v>
          </cell>
        </row>
        <row r="110">
          <cell r="S110">
            <v>0.3</v>
          </cell>
          <cell r="T110">
            <v>0.4275000000000001</v>
          </cell>
          <cell r="U110">
            <v>0.15</v>
          </cell>
          <cell r="W110">
            <v>32.500000000000014</v>
          </cell>
          <cell r="X110">
            <v>32.500000000000014</v>
          </cell>
          <cell r="Y110">
            <v>2.75</v>
          </cell>
          <cell r="AA110">
            <v>1.175</v>
          </cell>
          <cell r="AB110">
            <v>1.175</v>
          </cell>
          <cell r="AC110">
            <v>0.52499999999999991</v>
          </cell>
          <cell r="AE110">
            <v>61.000000000000036</v>
          </cell>
          <cell r="AF110">
            <v>61.000000000000036</v>
          </cell>
          <cell r="AG110">
            <v>5.5</v>
          </cell>
          <cell r="AI110">
            <v>3.5499999999999985</v>
          </cell>
          <cell r="AJ110">
            <v>3.5499999999999985</v>
          </cell>
          <cell r="AK110">
            <v>2.2499999999999996</v>
          </cell>
          <cell r="BA110">
            <v>30.249999999999982</v>
          </cell>
          <cell r="BB110">
            <v>30.249999999999982</v>
          </cell>
          <cell r="BC110">
            <v>2.2499999999999996</v>
          </cell>
          <cell r="BE110">
            <v>0.3</v>
          </cell>
          <cell r="BF110">
            <v>0.40250000000000008</v>
          </cell>
          <cell r="BG110">
            <v>0.15</v>
          </cell>
          <cell r="BI110">
            <v>32.500000000000014</v>
          </cell>
          <cell r="BJ110">
            <v>32.500000000000014</v>
          </cell>
          <cell r="BK110">
            <v>2.75</v>
          </cell>
          <cell r="BM110">
            <v>1.175</v>
          </cell>
          <cell r="BN110">
            <v>1.175</v>
          </cell>
          <cell r="BO110">
            <v>0.42499999999999999</v>
          </cell>
          <cell r="BQ110">
            <v>61.000000000000036</v>
          </cell>
          <cell r="BR110">
            <v>61.000000000000036</v>
          </cell>
          <cell r="BS110">
            <v>5.5</v>
          </cell>
          <cell r="BU110">
            <v>3.5499999999999985</v>
          </cell>
          <cell r="BV110">
            <v>3.5499999999999985</v>
          </cell>
          <cell r="BW110">
            <v>2.2499999999999996</v>
          </cell>
        </row>
        <row r="111">
          <cell r="S111">
            <v>0.32</v>
          </cell>
          <cell r="T111">
            <v>0.45260000000000011</v>
          </cell>
          <cell r="U111">
            <v>0.17199999999999999</v>
          </cell>
          <cell r="W111">
            <v>32.800000000000011</v>
          </cell>
          <cell r="X111">
            <v>32.800000000000011</v>
          </cell>
          <cell r="Y111">
            <v>3</v>
          </cell>
          <cell r="AA111">
            <v>1.218</v>
          </cell>
          <cell r="AB111">
            <v>1.218</v>
          </cell>
          <cell r="AC111">
            <v>0.56999999999999995</v>
          </cell>
          <cell r="AE111">
            <v>61.600000000000037</v>
          </cell>
          <cell r="AF111">
            <v>61.600000000000037</v>
          </cell>
          <cell r="AG111">
            <v>6</v>
          </cell>
          <cell r="AI111">
            <v>3.6999999999999984</v>
          </cell>
          <cell r="AJ111">
            <v>3.6999999999999984</v>
          </cell>
          <cell r="AK111">
            <v>2.4199999999999995</v>
          </cell>
          <cell r="BA111">
            <v>30.699999999999982</v>
          </cell>
          <cell r="BB111">
            <v>30.699999999999982</v>
          </cell>
          <cell r="BC111">
            <v>2.4599999999999995</v>
          </cell>
          <cell r="BE111">
            <v>0.32</v>
          </cell>
          <cell r="BF111">
            <v>0.42660000000000009</v>
          </cell>
          <cell r="BG111">
            <v>0.17199999999999999</v>
          </cell>
          <cell r="BI111">
            <v>32.800000000000011</v>
          </cell>
          <cell r="BJ111">
            <v>32.800000000000011</v>
          </cell>
          <cell r="BK111">
            <v>3</v>
          </cell>
          <cell r="BM111">
            <v>1.218</v>
          </cell>
          <cell r="BN111">
            <v>1.218</v>
          </cell>
          <cell r="BO111">
            <v>0.47</v>
          </cell>
          <cell r="BQ111">
            <v>61.600000000000037</v>
          </cell>
          <cell r="BR111">
            <v>61.600000000000037</v>
          </cell>
          <cell r="BS111">
            <v>6</v>
          </cell>
          <cell r="BU111">
            <v>3.6999999999999984</v>
          </cell>
          <cell r="BV111">
            <v>3.6999999999999984</v>
          </cell>
          <cell r="BW111">
            <v>2.4199999999999995</v>
          </cell>
        </row>
        <row r="112">
          <cell r="S112">
            <v>0.34</v>
          </cell>
          <cell r="T112">
            <v>0.47770000000000012</v>
          </cell>
          <cell r="U112">
            <v>0.19399999999999998</v>
          </cell>
          <cell r="W112">
            <v>33.100000000000009</v>
          </cell>
          <cell r="X112">
            <v>33.100000000000009</v>
          </cell>
          <cell r="Y112">
            <v>3.25</v>
          </cell>
          <cell r="AA112">
            <v>1.2609999999999999</v>
          </cell>
          <cell r="AB112">
            <v>1.2609999999999999</v>
          </cell>
          <cell r="AC112">
            <v>0.61499999999999999</v>
          </cell>
          <cell r="AE112">
            <v>62.200000000000038</v>
          </cell>
          <cell r="AF112">
            <v>62.200000000000038</v>
          </cell>
          <cell r="AG112">
            <v>6.5</v>
          </cell>
          <cell r="AI112">
            <v>3.8499999999999983</v>
          </cell>
          <cell r="AJ112">
            <v>3.8499999999999983</v>
          </cell>
          <cell r="AK112">
            <v>2.5899999999999994</v>
          </cell>
          <cell r="BA112">
            <v>31.149999999999981</v>
          </cell>
          <cell r="BB112">
            <v>31.149999999999981</v>
          </cell>
          <cell r="BC112">
            <v>2.6699999999999995</v>
          </cell>
          <cell r="BE112">
            <v>0.34</v>
          </cell>
          <cell r="BF112">
            <v>0.4507000000000001</v>
          </cell>
          <cell r="BG112">
            <v>0.19399999999999998</v>
          </cell>
          <cell r="BI112">
            <v>33.100000000000009</v>
          </cell>
          <cell r="BJ112">
            <v>33.100000000000009</v>
          </cell>
          <cell r="BK112">
            <v>3.25</v>
          </cell>
          <cell r="BM112">
            <v>1.2609999999999999</v>
          </cell>
          <cell r="BN112">
            <v>1.2609999999999999</v>
          </cell>
          <cell r="BO112">
            <v>0.51500000000000001</v>
          </cell>
          <cell r="BQ112">
            <v>62.200000000000038</v>
          </cell>
          <cell r="BR112">
            <v>62.200000000000038</v>
          </cell>
          <cell r="BS112">
            <v>6.5</v>
          </cell>
          <cell r="BU112">
            <v>3.8499999999999983</v>
          </cell>
          <cell r="BV112">
            <v>3.8499999999999983</v>
          </cell>
          <cell r="BW112">
            <v>2.5899999999999994</v>
          </cell>
        </row>
        <row r="113">
          <cell r="S113">
            <v>0.36000000000000004</v>
          </cell>
          <cell r="T113">
            <v>0.50280000000000014</v>
          </cell>
          <cell r="U113">
            <v>0.21599999999999997</v>
          </cell>
          <cell r="W113">
            <v>33.400000000000006</v>
          </cell>
          <cell r="X113">
            <v>33.400000000000006</v>
          </cell>
          <cell r="Y113">
            <v>3.5</v>
          </cell>
          <cell r="AA113">
            <v>1.3039999999999998</v>
          </cell>
          <cell r="AB113">
            <v>1.3039999999999998</v>
          </cell>
          <cell r="AC113">
            <v>0.66</v>
          </cell>
          <cell r="AE113">
            <v>62.80000000000004</v>
          </cell>
          <cell r="AF113">
            <v>62.80000000000004</v>
          </cell>
          <cell r="AG113">
            <v>7</v>
          </cell>
          <cell r="AI113">
            <v>3.9999999999999982</v>
          </cell>
          <cell r="AJ113">
            <v>3.9999999999999982</v>
          </cell>
          <cell r="AK113">
            <v>2.7599999999999993</v>
          </cell>
          <cell r="BA113">
            <v>31.59999999999998</v>
          </cell>
          <cell r="BB113">
            <v>31.59999999999998</v>
          </cell>
          <cell r="BC113">
            <v>2.8799999999999994</v>
          </cell>
          <cell r="BE113">
            <v>0.36000000000000004</v>
          </cell>
          <cell r="BF113">
            <v>0.47480000000000011</v>
          </cell>
          <cell r="BG113">
            <v>0.21599999999999997</v>
          </cell>
          <cell r="BI113">
            <v>33.400000000000006</v>
          </cell>
          <cell r="BJ113">
            <v>33.400000000000006</v>
          </cell>
          <cell r="BK113">
            <v>3.5</v>
          </cell>
          <cell r="BM113">
            <v>1.3039999999999998</v>
          </cell>
          <cell r="BN113">
            <v>1.3039999999999998</v>
          </cell>
          <cell r="BO113">
            <v>0.56000000000000005</v>
          </cell>
          <cell r="BQ113">
            <v>62.80000000000004</v>
          </cell>
          <cell r="BR113">
            <v>62.80000000000004</v>
          </cell>
          <cell r="BS113">
            <v>7</v>
          </cell>
          <cell r="BU113">
            <v>3.9999999999999982</v>
          </cell>
          <cell r="BV113">
            <v>3.9999999999999982</v>
          </cell>
          <cell r="BW113">
            <v>2.7599999999999993</v>
          </cell>
        </row>
        <row r="114">
          <cell r="S114">
            <v>0.38000000000000006</v>
          </cell>
          <cell r="T114">
            <v>0.52790000000000015</v>
          </cell>
          <cell r="U114">
            <v>0.23799999999999996</v>
          </cell>
          <cell r="W114">
            <v>33.700000000000003</v>
          </cell>
          <cell r="X114">
            <v>33.700000000000003</v>
          </cell>
          <cell r="Y114">
            <v>3.75</v>
          </cell>
          <cell r="AA114">
            <v>1.3469999999999998</v>
          </cell>
          <cell r="AB114">
            <v>1.3469999999999998</v>
          </cell>
          <cell r="AC114">
            <v>0.70500000000000007</v>
          </cell>
          <cell r="AE114">
            <v>63.400000000000041</v>
          </cell>
          <cell r="AF114">
            <v>63.400000000000041</v>
          </cell>
          <cell r="AG114">
            <v>7.5</v>
          </cell>
          <cell r="AI114">
            <v>4.1499999999999986</v>
          </cell>
          <cell r="AJ114">
            <v>4.1499999999999986</v>
          </cell>
          <cell r="AK114">
            <v>2.9299999999999993</v>
          </cell>
          <cell r="BA114">
            <v>32.049999999999983</v>
          </cell>
          <cell r="BB114">
            <v>32.049999999999983</v>
          </cell>
          <cell r="BC114">
            <v>3.0899999999999994</v>
          </cell>
          <cell r="BE114">
            <v>0.38000000000000006</v>
          </cell>
          <cell r="BF114">
            <v>0.49890000000000012</v>
          </cell>
          <cell r="BG114">
            <v>0.23799999999999996</v>
          </cell>
          <cell r="BI114">
            <v>33.700000000000003</v>
          </cell>
          <cell r="BJ114">
            <v>33.700000000000003</v>
          </cell>
          <cell r="BK114">
            <v>3.75</v>
          </cell>
          <cell r="BM114">
            <v>1.3469999999999998</v>
          </cell>
          <cell r="BN114">
            <v>1.3469999999999998</v>
          </cell>
          <cell r="BO114">
            <v>0.60500000000000009</v>
          </cell>
          <cell r="BQ114">
            <v>63.400000000000041</v>
          </cell>
          <cell r="BR114">
            <v>63.400000000000041</v>
          </cell>
          <cell r="BS114">
            <v>7.5</v>
          </cell>
          <cell r="BU114">
            <v>4.1499999999999986</v>
          </cell>
          <cell r="BV114">
            <v>4.1499999999999986</v>
          </cell>
          <cell r="BW114">
            <v>2.9299999999999993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ortada"/>
      <sheetName val="Laboratorio"/>
      <sheetName val="Courier"/>
      <sheetName val="Laboratorio_M"/>
      <sheetName val="Courier_M."/>
      <sheetName val="Gráf. Cu-Mo"/>
      <sheetName val="Graf. Fe-Zn-Ox"/>
      <sheetName val="TABLA"/>
      <sheetName val="Sta_Cu"/>
      <sheetName val="Calc_Cu"/>
      <sheetName val="Graf_calc_Cu"/>
      <sheetName val="Graf_Circ_Cu"/>
      <sheetName val="BoxPlot_Cu"/>
      <sheetName val="DistrN_Cu"/>
      <sheetName val="TABLA_M"/>
      <sheetName val="Sta_Mo"/>
      <sheetName val="Calc_Mo"/>
      <sheetName val="Graf_calc_Mo"/>
      <sheetName val="Graf_Circ_Mo"/>
      <sheetName val="BoxPlot_Mo"/>
      <sheetName val="DistrN_Mo"/>
      <sheetName val="%Tiempo Oper."/>
      <sheetName val="DibEspe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AT4" t="str">
            <v>Courier</v>
          </cell>
        </row>
        <row r="85">
          <cell r="C85">
            <v>3.3000000000000002E-2</v>
          </cell>
          <cell r="D85">
            <v>3.3000000000000002E-2</v>
          </cell>
          <cell r="E85">
            <v>-0.3</v>
          </cell>
          <cell r="G85">
            <v>1E-3</v>
          </cell>
          <cell r="H85">
            <v>1E-3</v>
          </cell>
          <cell r="I85">
            <v>-0.04</v>
          </cell>
          <cell r="K85">
            <v>1</v>
          </cell>
          <cell r="L85">
            <v>1</v>
          </cell>
          <cell r="M85">
            <v>-0.8</v>
          </cell>
          <cell r="O85">
            <v>2.5000000000000001E-2</v>
          </cell>
          <cell r="P85">
            <v>1.4999999999999999E-2</v>
          </cell>
          <cell r="Q85">
            <v>-4.4999999999999998E-2</v>
          </cell>
          <cell r="AY85">
            <v>-0.8</v>
          </cell>
        </row>
        <row r="86">
          <cell r="C86">
            <v>6.6000000000000003E-2</v>
          </cell>
          <cell r="D86">
            <v>6.6000000000000003E-2</v>
          </cell>
          <cell r="E86">
            <v>-0.27999999999999997</v>
          </cell>
          <cell r="G86">
            <v>3.5000000000000001E-3</v>
          </cell>
          <cell r="H86">
            <v>3.5000000000000001E-3</v>
          </cell>
          <cell r="I86">
            <v>-3.7499999999999999E-2</v>
          </cell>
          <cell r="K86">
            <v>1.1000000000000001</v>
          </cell>
          <cell r="L86">
            <v>1.1000000000000001</v>
          </cell>
          <cell r="M86">
            <v>-0.73</v>
          </cell>
          <cell r="O86">
            <v>2.75E-2</v>
          </cell>
          <cell r="P86">
            <v>1.7999999999999999E-2</v>
          </cell>
          <cell r="Q86">
            <v>-4.2099999999999999E-2</v>
          </cell>
          <cell r="AY86">
            <v>-0.73</v>
          </cell>
        </row>
        <row r="87">
          <cell r="C87">
            <v>9.9000000000000005E-2</v>
          </cell>
          <cell r="D87">
            <v>9.9000000000000005E-2</v>
          </cell>
          <cell r="E87">
            <v>-0.25999999999999995</v>
          </cell>
          <cell r="G87">
            <v>6.0000000000000001E-3</v>
          </cell>
          <cell r="H87">
            <v>6.0000000000000001E-3</v>
          </cell>
          <cell r="I87">
            <v>-3.4999999999999996E-2</v>
          </cell>
          <cell r="K87">
            <v>1.2000000000000002</v>
          </cell>
          <cell r="L87">
            <v>1.2000000000000002</v>
          </cell>
          <cell r="M87">
            <v>-0.65999999999999992</v>
          </cell>
          <cell r="O87">
            <v>0.03</v>
          </cell>
          <cell r="P87">
            <v>2.0999999999999998E-2</v>
          </cell>
          <cell r="Q87">
            <v>-3.9199999999999999E-2</v>
          </cell>
          <cell r="AY87">
            <v>-0.65999999999999992</v>
          </cell>
        </row>
        <row r="88">
          <cell r="C88">
            <v>0.13200000000000001</v>
          </cell>
          <cell r="D88">
            <v>0.13200000000000001</v>
          </cell>
          <cell r="E88">
            <v>-0.23999999999999996</v>
          </cell>
          <cell r="G88">
            <v>8.5000000000000006E-3</v>
          </cell>
          <cell r="H88">
            <v>8.5000000000000006E-3</v>
          </cell>
          <cell r="I88">
            <v>-3.2499999999999994E-2</v>
          </cell>
          <cell r="K88">
            <v>1.3000000000000003</v>
          </cell>
          <cell r="L88">
            <v>1.3000000000000003</v>
          </cell>
          <cell r="M88">
            <v>-0.58999999999999986</v>
          </cell>
          <cell r="O88">
            <v>3.2500000000000001E-2</v>
          </cell>
          <cell r="P88">
            <v>2.3999999999999997E-2</v>
          </cell>
          <cell r="Q88">
            <v>-3.6299999999999999E-2</v>
          </cell>
          <cell r="AY88">
            <v>-0.58999999999999986</v>
          </cell>
        </row>
        <row r="89">
          <cell r="C89">
            <v>0.16500000000000001</v>
          </cell>
          <cell r="D89">
            <v>0.16500000000000001</v>
          </cell>
          <cell r="E89">
            <v>-0.21999999999999997</v>
          </cell>
          <cell r="G89">
            <v>1.0999999999999999E-2</v>
          </cell>
          <cell r="H89">
            <v>1.0999999999999999E-2</v>
          </cell>
          <cell r="I89">
            <v>-2.9999999999999995E-2</v>
          </cell>
          <cell r="K89">
            <v>1.4000000000000004</v>
          </cell>
          <cell r="L89">
            <v>1.4000000000000004</v>
          </cell>
          <cell r="M89">
            <v>-0.5199999999999998</v>
          </cell>
          <cell r="O89">
            <v>3.5000000000000003E-2</v>
          </cell>
          <cell r="P89">
            <v>2.6999999999999996E-2</v>
          </cell>
          <cell r="Q89">
            <v>-3.3399999999999999E-2</v>
          </cell>
          <cell r="AY89">
            <v>-0.5199999999999998</v>
          </cell>
        </row>
        <row r="90">
          <cell r="C90">
            <v>0.19800000000000001</v>
          </cell>
          <cell r="D90">
            <v>0.19800000000000001</v>
          </cell>
          <cell r="E90">
            <v>-0.19999999999999998</v>
          </cell>
          <cell r="G90">
            <v>1.35E-2</v>
          </cell>
          <cell r="H90">
            <v>1.35E-2</v>
          </cell>
          <cell r="I90">
            <v>-2.7499999999999997E-2</v>
          </cell>
          <cell r="K90">
            <v>1.5000000000000004</v>
          </cell>
          <cell r="L90">
            <v>1.5000000000000004</v>
          </cell>
          <cell r="M90">
            <v>-0.44999999999999979</v>
          </cell>
          <cell r="O90">
            <v>3.7500000000000006E-2</v>
          </cell>
          <cell r="P90">
            <v>2.9999999999999995E-2</v>
          </cell>
          <cell r="Q90">
            <v>-3.0499999999999999E-2</v>
          </cell>
          <cell r="AY90">
            <v>-0.44999999999999979</v>
          </cell>
        </row>
        <row r="91">
          <cell r="C91">
            <v>0.23100000000000001</v>
          </cell>
          <cell r="D91">
            <v>0.23100000000000001</v>
          </cell>
          <cell r="E91">
            <v>-0.18</v>
          </cell>
          <cell r="G91">
            <v>1.6E-2</v>
          </cell>
          <cell r="H91">
            <v>1.6E-2</v>
          </cell>
          <cell r="I91">
            <v>-2.4999999999999998E-2</v>
          </cell>
          <cell r="K91">
            <v>1.6000000000000005</v>
          </cell>
          <cell r="L91">
            <v>1.6000000000000005</v>
          </cell>
          <cell r="M91">
            <v>-0.37999999999999978</v>
          </cell>
          <cell r="O91">
            <v>4.0000000000000008E-2</v>
          </cell>
          <cell r="P91">
            <v>3.2999999999999995E-2</v>
          </cell>
          <cell r="Q91">
            <v>-2.76E-2</v>
          </cell>
          <cell r="AY91">
            <v>-0.37999999999999978</v>
          </cell>
        </row>
        <row r="92">
          <cell r="C92">
            <v>0.26400000000000001</v>
          </cell>
          <cell r="D92">
            <v>0.26400000000000001</v>
          </cell>
          <cell r="E92">
            <v>-0.16</v>
          </cell>
          <cell r="G92">
            <v>1.8499999999999999E-2</v>
          </cell>
          <cell r="H92">
            <v>1.8499999999999999E-2</v>
          </cell>
          <cell r="I92">
            <v>-2.2499999999999999E-2</v>
          </cell>
          <cell r="K92">
            <v>1.7000000000000006</v>
          </cell>
          <cell r="L92">
            <v>1.7000000000000006</v>
          </cell>
          <cell r="M92">
            <v>-0.30999999999999978</v>
          </cell>
          <cell r="O92">
            <v>4.250000000000001E-2</v>
          </cell>
          <cell r="P92">
            <v>3.5999999999999997E-2</v>
          </cell>
          <cell r="Q92">
            <v>-2.47E-2</v>
          </cell>
          <cell r="AY92">
            <v>-0.30999999999999978</v>
          </cell>
        </row>
        <row r="93">
          <cell r="C93">
            <v>0.29699999999999999</v>
          </cell>
          <cell r="D93">
            <v>0.29699999999999999</v>
          </cell>
          <cell r="E93">
            <v>-0.14000000000000001</v>
          </cell>
          <cell r="G93">
            <v>2.1000000000000001E-2</v>
          </cell>
          <cell r="H93">
            <v>2.1000000000000001E-2</v>
          </cell>
          <cell r="I93">
            <v>-0.02</v>
          </cell>
          <cell r="K93">
            <v>1.8000000000000007</v>
          </cell>
          <cell r="L93">
            <v>1.8000000000000007</v>
          </cell>
          <cell r="M93">
            <v>-0.23999999999999977</v>
          </cell>
          <cell r="O93">
            <v>4.5000000000000012E-2</v>
          </cell>
          <cell r="P93">
            <v>3.9E-2</v>
          </cell>
          <cell r="Q93">
            <v>-2.18E-2</v>
          </cell>
          <cell r="AY93">
            <v>-0.23999999999999977</v>
          </cell>
        </row>
        <row r="94">
          <cell r="C94">
            <v>0.33</v>
          </cell>
          <cell r="D94">
            <v>0.33</v>
          </cell>
          <cell r="E94">
            <v>-0.12000000000000001</v>
          </cell>
          <cell r="G94">
            <v>2.35E-2</v>
          </cell>
          <cell r="H94">
            <v>2.35E-2</v>
          </cell>
          <cell r="I94">
            <v>-1.7500000000000002E-2</v>
          </cell>
          <cell r="K94">
            <v>1.9000000000000008</v>
          </cell>
          <cell r="L94">
            <v>1.9000000000000008</v>
          </cell>
          <cell r="M94">
            <v>-0.16999999999999976</v>
          </cell>
          <cell r="O94">
            <v>4.7500000000000014E-2</v>
          </cell>
          <cell r="P94">
            <v>4.2000000000000003E-2</v>
          </cell>
          <cell r="Q94">
            <v>-1.89E-2</v>
          </cell>
          <cell r="AY94">
            <v>-0.16999999999999976</v>
          </cell>
        </row>
        <row r="95">
          <cell r="C95">
            <v>0.36299999999999999</v>
          </cell>
          <cell r="D95">
            <v>0.36299999999999999</v>
          </cell>
          <cell r="E95">
            <v>-0.1</v>
          </cell>
          <cell r="G95">
            <v>2.5999999999999999E-2</v>
          </cell>
          <cell r="H95">
            <v>2.5999999999999999E-2</v>
          </cell>
          <cell r="I95">
            <v>-1.5000000000000001E-2</v>
          </cell>
          <cell r="K95">
            <v>2.0000000000000009</v>
          </cell>
          <cell r="L95">
            <v>2.0000000000000009</v>
          </cell>
          <cell r="M95">
            <v>-9.9999999999999756E-2</v>
          </cell>
          <cell r="O95">
            <v>5.0000000000000017E-2</v>
          </cell>
          <cell r="P95">
            <v>4.5000000000000005E-2</v>
          </cell>
          <cell r="Q95">
            <v>-1.6E-2</v>
          </cell>
          <cell r="AY95">
            <v>-9.9999999999999756E-2</v>
          </cell>
        </row>
        <row r="96">
          <cell r="C96">
            <v>0.39600000000000002</v>
          </cell>
          <cell r="D96">
            <v>0.39600000000000002</v>
          </cell>
          <cell r="E96">
            <v>-0.08</v>
          </cell>
          <cell r="G96">
            <v>2.8500000000000001E-2</v>
          </cell>
          <cell r="H96">
            <v>2.8500000000000001E-2</v>
          </cell>
          <cell r="I96">
            <v>-1.2500000000000001E-2</v>
          </cell>
          <cell r="K96">
            <v>2.100000000000001</v>
          </cell>
          <cell r="L96">
            <v>2.100000000000001</v>
          </cell>
          <cell r="M96">
            <v>-2.9999999999999749E-2</v>
          </cell>
          <cell r="O96">
            <v>5.2500000000000019E-2</v>
          </cell>
          <cell r="P96">
            <v>4.8000000000000008E-2</v>
          </cell>
          <cell r="Q96">
            <v>-1.3100000000000001E-2</v>
          </cell>
          <cell r="AY96">
            <v>-2.9999999999999749E-2</v>
          </cell>
        </row>
        <row r="97">
          <cell r="C97">
            <v>0.42899999999999999</v>
          </cell>
          <cell r="D97">
            <v>0.42899999999999999</v>
          </cell>
          <cell r="E97">
            <v>-0.06</v>
          </cell>
          <cell r="G97">
            <v>3.1E-2</v>
          </cell>
          <cell r="H97">
            <v>3.1E-2</v>
          </cell>
          <cell r="I97">
            <v>-0.01</v>
          </cell>
          <cell r="K97">
            <v>2.2000000000000011</v>
          </cell>
          <cell r="L97">
            <v>2.2000000000000011</v>
          </cell>
          <cell r="M97">
            <v>4.0000000000000258E-2</v>
          </cell>
          <cell r="O97">
            <v>5.5000000000000021E-2</v>
          </cell>
          <cell r="P97">
            <v>5.1000000000000011E-2</v>
          </cell>
          <cell r="Q97">
            <v>-1.0200000000000001E-2</v>
          </cell>
          <cell r="AY97">
            <v>4.0000000000000258E-2</v>
          </cell>
        </row>
        <row r="98">
          <cell r="C98">
            <v>0.46200000000000002</v>
          </cell>
          <cell r="D98">
            <v>0.46200000000000002</v>
          </cell>
          <cell r="E98">
            <v>-3.9999999999999994E-2</v>
          </cell>
          <cell r="G98">
            <v>3.3500000000000002E-2</v>
          </cell>
          <cell r="H98">
            <v>3.3500000000000002E-2</v>
          </cell>
          <cell r="I98">
            <v>-7.4999999999999997E-3</v>
          </cell>
          <cell r="K98">
            <v>2.3000000000000012</v>
          </cell>
          <cell r="L98">
            <v>2.3000000000000012</v>
          </cell>
          <cell r="M98">
            <v>0.11000000000000026</v>
          </cell>
          <cell r="O98">
            <v>5.7500000000000023E-2</v>
          </cell>
          <cell r="P98">
            <v>5.4000000000000013E-2</v>
          </cell>
          <cell r="Q98">
            <v>-7.3000000000000009E-3</v>
          </cell>
          <cell r="AY98">
            <v>0.11000000000000026</v>
          </cell>
        </row>
        <row r="99">
          <cell r="C99">
            <v>0.495</v>
          </cell>
          <cell r="D99">
            <v>0.495</v>
          </cell>
          <cell r="E99">
            <v>-1.9999999999999993E-2</v>
          </cell>
          <cell r="G99">
            <v>3.5999999999999997E-2</v>
          </cell>
          <cell r="H99">
            <v>3.5999999999999997E-2</v>
          </cell>
          <cell r="I99">
            <v>-4.9999999999999992E-3</v>
          </cell>
          <cell r="K99">
            <v>2.4000000000000012</v>
          </cell>
          <cell r="L99">
            <v>2.4000000000000012</v>
          </cell>
          <cell r="M99">
            <v>0.18000000000000027</v>
          </cell>
          <cell r="O99">
            <v>6.0000000000000026E-2</v>
          </cell>
          <cell r="P99">
            <v>5.7000000000000016E-2</v>
          </cell>
          <cell r="Q99">
            <v>-4.4000000000000011E-3</v>
          </cell>
          <cell r="AY99">
            <v>0.18000000000000027</v>
          </cell>
        </row>
        <row r="100">
          <cell r="C100">
            <v>0.52800000000000002</v>
          </cell>
          <cell r="D100">
            <v>0.52800000000000002</v>
          </cell>
          <cell r="E100">
            <v>0</v>
          </cell>
          <cell r="G100">
            <v>3.85E-2</v>
          </cell>
          <cell r="H100">
            <v>3.85E-2</v>
          </cell>
          <cell r="I100">
            <v>-2.4999999999999992E-3</v>
          </cell>
          <cell r="K100">
            <v>2.5000000000000013</v>
          </cell>
          <cell r="L100">
            <v>2.5000000000000013</v>
          </cell>
          <cell r="M100">
            <v>0.25000000000000028</v>
          </cell>
          <cell r="O100">
            <v>6.2500000000000028E-2</v>
          </cell>
          <cell r="P100">
            <v>6.0000000000000019E-2</v>
          </cell>
          <cell r="Q100">
            <v>-1.5000000000000013E-3</v>
          </cell>
          <cell r="AY100">
            <v>0.25000000000000028</v>
          </cell>
        </row>
        <row r="101">
          <cell r="C101">
            <v>0.56100000000000005</v>
          </cell>
          <cell r="D101">
            <v>0.56100000000000005</v>
          </cell>
          <cell r="E101">
            <v>0.02</v>
          </cell>
          <cell r="G101">
            <v>4.1000000000000002E-2</v>
          </cell>
          <cell r="H101">
            <v>4.1000000000000002E-2</v>
          </cell>
          <cell r="I101">
            <v>0</v>
          </cell>
          <cell r="K101">
            <v>2.6000000000000014</v>
          </cell>
          <cell r="L101">
            <v>2.6000000000000014</v>
          </cell>
          <cell r="M101">
            <v>0.32000000000000028</v>
          </cell>
          <cell r="O101">
            <v>6.500000000000003E-2</v>
          </cell>
          <cell r="P101">
            <v>6.3000000000000014E-2</v>
          </cell>
          <cell r="Q101">
            <v>1.3999999999999985E-3</v>
          </cell>
          <cell r="AY101">
            <v>0.32000000000000028</v>
          </cell>
        </row>
        <row r="102">
          <cell r="C102">
            <v>0.59399999999999997</v>
          </cell>
          <cell r="D102">
            <v>0.59399999999999997</v>
          </cell>
          <cell r="E102">
            <v>0.04</v>
          </cell>
          <cell r="G102">
            <v>4.3499999999999997E-2</v>
          </cell>
          <cell r="H102">
            <v>4.3499999999999997E-2</v>
          </cell>
          <cell r="I102">
            <v>2.5000000000000001E-3</v>
          </cell>
          <cell r="K102">
            <v>2.7000000000000015</v>
          </cell>
          <cell r="L102">
            <v>2.7000000000000015</v>
          </cell>
          <cell r="M102">
            <v>0.39000000000000029</v>
          </cell>
          <cell r="O102">
            <v>6.7500000000000032E-2</v>
          </cell>
          <cell r="P102">
            <v>6.6000000000000017E-2</v>
          </cell>
          <cell r="Q102">
            <v>4.2999999999999983E-3</v>
          </cell>
          <cell r="AY102">
            <v>0.39000000000000029</v>
          </cell>
        </row>
        <row r="103">
          <cell r="C103">
            <v>0.627</v>
          </cell>
          <cell r="D103">
            <v>0.627</v>
          </cell>
          <cell r="E103">
            <v>0.06</v>
          </cell>
          <cell r="G103">
            <v>4.5999999999999999E-2</v>
          </cell>
          <cell r="H103">
            <v>4.5999999999999999E-2</v>
          </cell>
          <cell r="I103">
            <v>5.0000000000000001E-3</v>
          </cell>
          <cell r="K103">
            <v>2.8000000000000016</v>
          </cell>
          <cell r="L103">
            <v>2.8000000000000016</v>
          </cell>
          <cell r="M103">
            <v>0.4600000000000003</v>
          </cell>
          <cell r="O103">
            <v>7.0000000000000034E-2</v>
          </cell>
          <cell r="P103">
            <v>6.900000000000002E-2</v>
          </cell>
          <cell r="Q103">
            <v>7.1999999999999981E-3</v>
          </cell>
          <cell r="AY103">
            <v>0.4600000000000003</v>
          </cell>
        </row>
        <row r="104">
          <cell r="C104">
            <v>0.66</v>
          </cell>
          <cell r="D104">
            <v>0.66</v>
          </cell>
          <cell r="E104">
            <v>0.08</v>
          </cell>
          <cell r="G104">
            <v>4.8500000000000001E-2</v>
          </cell>
          <cell r="H104">
            <v>4.8500000000000001E-2</v>
          </cell>
          <cell r="I104">
            <v>7.4999999999999997E-3</v>
          </cell>
          <cell r="K104">
            <v>2.9000000000000017</v>
          </cell>
          <cell r="L104">
            <v>2.9000000000000017</v>
          </cell>
          <cell r="M104">
            <v>0.53000000000000025</v>
          </cell>
          <cell r="O104">
            <v>7.2500000000000037E-2</v>
          </cell>
          <cell r="P104">
            <v>7.2000000000000022E-2</v>
          </cell>
          <cell r="Q104">
            <v>1.0099999999999998E-2</v>
          </cell>
          <cell r="AY104">
            <v>0.53000000000000025</v>
          </cell>
        </row>
        <row r="105">
          <cell r="C105">
            <v>0.69299999999999995</v>
          </cell>
          <cell r="D105">
            <v>0.69299999999999995</v>
          </cell>
          <cell r="E105">
            <v>0.1</v>
          </cell>
          <cell r="G105">
            <v>5.0999999999999997E-2</v>
          </cell>
          <cell r="H105">
            <v>5.0999999999999997E-2</v>
          </cell>
          <cell r="I105">
            <v>0.01</v>
          </cell>
          <cell r="K105">
            <v>3.0000000000000018</v>
          </cell>
          <cell r="L105">
            <v>3.0000000000000018</v>
          </cell>
          <cell r="M105">
            <v>0.60000000000000031</v>
          </cell>
          <cell r="O105">
            <v>7.5000000000000039E-2</v>
          </cell>
          <cell r="P105">
            <v>7.5000000000000025E-2</v>
          </cell>
          <cell r="Q105">
            <v>1.2999999999999998E-2</v>
          </cell>
          <cell r="AY105">
            <v>0.60000000000000031</v>
          </cell>
        </row>
        <row r="106">
          <cell r="C106">
            <v>0.72599999999999998</v>
          </cell>
          <cell r="D106">
            <v>0.72599999999999998</v>
          </cell>
          <cell r="E106">
            <v>0.12000000000000001</v>
          </cell>
          <cell r="G106">
            <v>5.3499999999999999E-2</v>
          </cell>
          <cell r="H106">
            <v>5.3499999999999999E-2</v>
          </cell>
          <cell r="I106">
            <v>1.2500000000000001E-2</v>
          </cell>
          <cell r="K106">
            <v>3.1000000000000019</v>
          </cell>
          <cell r="L106">
            <v>3.1000000000000019</v>
          </cell>
          <cell r="M106">
            <v>0.67000000000000037</v>
          </cell>
          <cell r="O106">
            <v>7.7500000000000041E-2</v>
          </cell>
          <cell r="P106">
            <v>7.8000000000000028E-2</v>
          </cell>
          <cell r="Q106">
            <v>1.5899999999999997E-2</v>
          </cell>
          <cell r="AY106">
            <v>0.67000000000000037</v>
          </cell>
        </row>
        <row r="107">
          <cell r="C107">
            <v>0.75900000000000001</v>
          </cell>
          <cell r="D107">
            <v>0.75900000000000001</v>
          </cell>
          <cell r="E107">
            <v>0.14000000000000001</v>
          </cell>
          <cell r="G107">
            <v>5.6000000000000001E-2</v>
          </cell>
          <cell r="H107">
            <v>5.6000000000000001E-2</v>
          </cell>
          <cell r="I107">
            <v>1.5000000000000001E-2</v>
          </cell>
          <cell r="K107">
            <v>3.200000000000002</v>
          </cell>
          <cell r="L107">
            <v>3.200000000000002</v>
          </cell>
          <cell r="M107">
            <v>0.74000000000000044</v>
          </cell>
          <cell r="O107">
            <v>8.0000000000000043E-2</v>
          </cell>
          <cell r="P107">
            <v>8.100000000000003E-2</v>
          </cell>
          <cell r="Q107">
            <v>1.8799999999999997E-2</v>
          </cell>
          <cell r="AY107">
            <v>0.74000000000000044</v>
          </cell>
        </row>
        <row r="108">
          <cell r="C108">
            <v>0.79200000000000004</v>
          </cell>
          <cell r="D108">
            <v>0.79200000000000004</v>
          </cell>
          <cell r="E108">
            <v>0.16</v>
          </cell>
          <cell r="G108">
            <v>5.8500000000000003E-2</v>
          </cell>
          <cell r="H108">
            <v>5.8500000000000003E-2</v>
          </cell>
          <cell r="I108">
            <v>1.7500000000000002E-2</v>
          </cell>
          <cell r="K108">
            <v>3.300000000000002</v>
          </cell>
          <cell r="L108">
            <v>3.300000000000002</v>
          </cell>
          <cell r="M108">
            <v>0.8100000000000005</v>
          </cell>
          <cell r="O108">
            <v>8.2500000000000046E-2</v>
          </cell>
          <cell r="P108">
            <v>8.4000000000000033E-2</v>
          </cell>
          <cell r="Q108">
            <v>2.1699999999999997E-2</v>
          </cell>
          <cell r="AY108">
            <v>0.8100000000000005</v>
          </cell>
        </row>
        <row r="109">
          <cell r="C109">
            <v>0.82499999999999996</v>
          </cell>
          <cell r="D109">
            <v>0.82499999999999996</v>
          </cell>
          <cell r="E109">
            <v>0.18</v>
          </cell>
          <cell r="G109">
            <v>6.0999999999999999E-2</v>
          </cell>
          <cell r="H109">
            <v>6.0999999999999999E-2</v>
          </cell>
          <cell r="I109">
            <v>0.02</v>
          </cell>
          <cell r="K109">
            <v>3.4000000000000021</v>
          </cell>
          <cell r="L109">
            <v>3.4000000000000021</v>
          </cell>
          <cell r="M109">
            <v>0.88000000000000056</v>
          </cell>
          <cell r="O109">
            <v>8.5000000000000048E-2</v>
          </cell>
          <cell r="P109">
            <v>8.7000000000000036E-2</v>
          </cell>
          <cell r="Q109">
            <v>2.4599999999999997E-2</v>
          </cell>
          <cell r="AY109">
            <v>0.88000000000000056</v>
          </cell>
        </row>
        <row r="110">
          <cell r="C110">
            <v>0.85799999999999998</v>
          </cell>
          <cell r="D110">
            <v>0.85799999999999998</v>
          </cell>
          <cell r="E110">
            <v>0.19999999999999998</v>
          </cell>
          <cell r="G110">
            <v>6.3500000000000001E-2</v>
          </cell>
          <cell r="H110">
            <v>6.3500000000000001E-2</v>
          </cell>
          <cell r="I110">
            <v>2.2499999999999999E-2</v>
          </cell>
          <cell r="K110">
            <v>3.5000000000000022</v>
          </cell>
          <cell r="L110">
            <v>3.5000000000000022</v>
          </cell>
          <cell r="M110">
            <v>0.95000000000000062</v>
          </cell>
          <cell r="O110">
            <v>8.750000000000005E-2</v>
          </cell>
          <cell r="P110">
            <v>9.0000000000000038E-2</v>
          </cell>
          <cell r="Q110">
            <v>2.7499999999999997E-2</v>
          </cell>
          <cell r="AY110">
            <v>0.95000000000000062</v>
          </cell>
        </row>
        <row r="111">
          <cell r="C111">
            <v>0.89100000000000001</v>
          </cell>
          <cell r="D111">
            <v>0.89100000000000001</v>
          </cell>
          <cell r="E111">
            <v>0.21999999999999997</v>
          </cell>
          <cell r="G111">
            <v>6.6000000000000003E-2</v>
          </cell>
          <cell r="H111">
            <v>6.6000000000000003E-2</v>
          </cell>
          <cell r="I111">
            <v>2.4999999999999998E-2</v>
          </cell>
          <cell r="K111">
            <v>3.6000000000000023</v>
          </cell>
          <cell r="L111">
            <v>3.6000000000000023</v>
          </cell>
          <cell r="M111">
            <v>1.0200000000000007</v>
          </cell>
          <cell r="O111">
            <v>9.0000000000000052E-2</v>
          </cell>
          <cell r="P111">
            <v>9.3000000000000041E-2</v>
          </cell>
          <cell r="Q111">
            <v>3.0399999999999996E-2</v>
          </cell>
          <cell r="AY111">
            <v>1.0200000000000007</v>
          </cell>
        </row>
        <row r="112">
          <cell r="C112">
            <v>0.92400000000000004</v>
          </cell>
          <cell r="D112">
            <v>0.92400000000000004</v>
          </cell>
          <cell r="E112">
            <v>0.23999999999999996</v>
          </cell>
          <cell r="G112">
            <v>6.8500000000000005E-2</v>
          </cell>
          <cell r="H112">
            <v>6.8500000000000005E-2</v>
          </cell>
          <cell r="I112">
            <v>2.7499999999999997E-2</v>
          </cell>
          <cell r="K112">
            <v>3.7000000000000024</v>
          </cell>
          <cell r="L112">
            <v>3.7000000000000024</v>
          </cell>
          <cell r="M112">
            <v>1.0900000000000007</v>
          </cell>
          <cell r="O112">
            <v>9.2500000000000054E-2</v>
          </cell>
          <cell r="P112">
            <v>9.6000000000000044E-2</v>
          </cell>
          <cell r="Q112">
            <v>3.3299999999999996E-2</v>
          </cell>
          <cell r="AY112">
            <v>1.0900000000000007</v>
          </cell>
        </row>
        <row r="113">
          <cell r="C113">
            <v>0.95699999999999996</v>
          </cell>
          <cell r="D113">
            <v>0.95699999999999996</v>
          </cell>
          <cell r="E113">
            <v>0.25999999999999995</v>
          </cell>
          <cell r="G113">
            <v>7.0999999999999994E-2</v>
          </cell>
          <cell r="H113">
            <v>7.0999999999999994E-2</v>
          </cell>
          <cell r="I113">
            <v>2.9999999999999995E-2</v>
          </cell>
          <cell r="K113">
            <v>3.8000000000000025</v>
          </cell>
          <cell r="L113">
            <v>3.8000000000000025</v>
          </cell>
          <cell r="M113">
            <v>1.1600000000000008</v>
          </cell>
          <cell r="O113">
            <v>9.5000000000000057E-2</v>
          </cell>
          <cell r="P113">
            <v>9.9000000000000046E-2</v>
          </cell>
          <cell r="Q113">
            <v>3.6199999999999996E-2</v>
          </cell>
          <cell r="AY113">
            <v>1.1600000000000008</v>
          </cell>
        </row>
        <row r="114">
          <cell r="C114">
            <v>0.99</v>
          </cell>
          <cell r="D114">
            <v>0.99</v>
          </cell>
          <cell r="E114">
            <v>0.27999999999999997</v>
          </cell>
          <cell r="G114">
            <v>7.3499999999999996E-2</v>
          </cell>
          <cell r="H114">
            <v>7.3499999999999996E-2</v>
          </cell>
          <cell r="I114">
            <v>3.2499999999999994E-2</v>
          </cell>
          <cell r="K114">
            <v>3.9000000000000026</v>
          </cell>
          <cell r="L114">
            <v>3.9000000000000026</v>
          </cell>
          <cell r="M114">
            <v>1.2300000000000009</v>
          </cell>
          <cell r="O114">
            <v>9.7500000000000059E-2</v>
          </cell>
          <cell r="P114">
            <v>0.10200000000000005</v>
          </cell>
          <cell r="Q114">
            <v>3.9099999999999996E-2</v>
          </cell>
          <cell r="AY114">
            <v>1.2300000000000009</v>
          </cell>
        </row>
      </sheetData>
      <sheetData sheetId="9"/>
      <sheetData sheetId="10"/>
      <sheetData sheetId="11"/>
      <sheetData sheetId="12"/>
      <sheetData sheetId="13"/>
      <sheetData sheetId="14"/>
      <sheetData sheetId="15">
        <row r="85">
          <cell r="C85">
            <v>18</v>
          </cell>
          <cell r="D85">
            <v>18</v>
          </cell>
          <cell r="E85">
            <v>-3</v>
          </cell>
          <cell r="G85">
            <v>-0.5</v>
          </cell>
          <cell r="H85">
            <v>-0.3</v>
          </cell>
          <cell r="I85">
            <v>-2.4</v>
          </cell>
          <cell r="K85">
            <v>20</v>
          </cell>
          <cell r="L85">
            <v>22</v>
          </cell>
          <cell r="M85">
            <v>-5</v>
          </cell>
          <cell r="O85">
            <v>19</v>
          </cell>
          <cell r="P85">
            <v>19</v>
          </cell>
          <cell r="Q85">
            <v>-3</v>
          </cell>
          <cell r="AO85">
            <v>18</v>
          </cell>
          <cell r="AP85">
            <v>18</v>
          </cell>
          <cell r="AQ85">
            <v>-3</v>
          </cell>
          <cell r="AS85">
            <v>-0.5</v>
          </cell>
          <cell r="AT85">
            <v>-0.3</v>
          </cell>
          <cell r="AU85">
            <v>-2.4</v>
          </cell>
          <cell r="AW85">
            <v>21</v>
          </cell>
          <cell r="AX85">
            <v>21</v>
          </cell>
          <cell r="AY85">
            <v>-6</v>
          </cell>
        </row>
        <row r="86">
          <cell r="C86">
            <v>18.5</v>
          </cell>
          <cell r="D86">
            <v>18.5</v>
          </cell>
          <cell r="E86">
            <v>-2.78</v>
          </cell>
          <cell r="G86">
            <v>-0.3</v>
          </cell>
          <cell r="H86">
            <v>-0.15</v>
          </cell>
          <cell r="I86">
            <v>-2.19</v>
          </cell>
          <cell r="K86">
            <v>20.5</v>
          </cell>
          <cell r="L86">
            <v>22.5</v>
          </cell>
          <cell r="M86">
            <v>-4.5999999999999996</v>
          </cell>
          <cell r="O86">
            <v>19.45</v>
          </cell>
          <cell r="P86">
            <v>19.45</v>
          </cell>
          <cell r="Q86">
            <v>-2.79</v>
          </cell>
          <cell r="AO86">
            <v>18.5</v>
          </cell>
          <cell r="AP86">
            <v>18.5</v>
          </cell>
          <cell r="AQ86">
            <v>-2.78</v>
          </cell>
          <cell r="AS86">
            <v>-0.3</v>
          </cell>
          <cell r="AT86">
            <v>-0.15</v>
          </cell>
          <cell r="AU86">
            <v>-2.19</v>
          </cell>
          <cell r="AW86">
            <v>21.5</v>
          </cell>
          <cell r="AX86">
            <v>21.5</v>
          </cell>
          <cell r="AY86">
            <v>-5.59</v>
          </cell>
        </row>
        <row r="87">
          <cell r="C87">
            <v>19</v>
          </cell>
          <cell r="D87">
            <v>19</v>
          </cell>
          <cell r="E87">
            <v>-2.5599999999999996</v>
          </cell>
          <cell r="G87">
            <v>-9.9999999999999978E-2</v>
          </cell>
          <cell r="H87">
            <v>0</v>
          </cell>
          <cell r="I87">
            <v>-1.98</v>
          </cell>
          <cell r="K87">
            <v>21</v>
          </cell>
          <cell r="L87">
            <v>23</v>
          </cell>
          <cell r="M87">
            <v>-4.1999999999999993</v>
          </cell>
          <cell r="O87">
            <v>19.899999999999999</v>
          </cell>
          <cell r="P87">
            <v>19.899999999999999</v>
          </cell>
          <cell r="Q87">
            <v>-2.58</v>
          </cell>
          <cell r="AO87">
            <v>19</v>
          </cell>
          <cell r="AP87">
            <v>19</v>
          </cell>
          <cell r="AQ87">
            <v>-2.5599999999999996</v>
          </cell>
          <cell r="AS87">
            <v>-9.9999999999999978E-2</v>
          </cell>
          <cell r="AT87">
            <v>0</v>
          </cell>
          <cell r="AU87">
            <v>-1.98</v>
          </cell>
          <cell r="AW87">
            <v>22</v>
          </cell>
          <cell r="AX87">
            <v>22</v>
          </cell>
          <cell r="AY87">
            <v>-5.1899999999999995</v>
          </cell>
        </row>
        <row r="88">
          <cell r="C88">
            <v>19.5</v>
          </cell>
          <cell r="D88">
            <v>19.5</v>
          </cell>
          <cell r="E88">
            <v>-2.3399999999999994</v>
          </cell>
          <cell r="G88">
            <v>0.10000000000000003</v>
          </cell>
          <cell r="H88">
            <v>0.15</v>
          </cell>
          <cell r="I88">
            <v>-1.77</v>
          </cell>
          <cell r="K88">
            <v>21.5</v>
          </cell>
          <cell r="L88">
            <v>23.5</v>
          </cell>
          <cell r="M88">
            <v>-3.7999999999999994</v>
          </cell>
          <cell r="O88">
            <v>20.349999999999998</v>
          </cell>
          <cell r="P88">
            <v>20.349999999999998</v>
          </cell>
          <cell r="Q88">
            <v>-2.37</v>
          </cell>
          <cell r="AO88">
            <v>19.5</v>
          </cell>
          <cell r="AP88">
            <v>19.5</v>
          </cell>
          <cell r="AQ88">
            <v>-2.3399999999999994</v>
          </cell>
          <cell r="AS88">
            <v>0.10000000000000003</v>
          </cell>
          <cell r="AT88">
            <v>0.15</v>
          </cell>
          <cell r="AU88">
            <v>-1.77</v>
          </cell>
          <cell r="AW88">
            <v>22.5</v>
          </cell>
          <cell r="AX88">
            <v>22.5</v>
          </cell>
          <cell r="AY88">
            <v>-4.7899999999999991</v>
          </cell>
        </row>
        <row r="89">
          <cell r="C89">
            <v>20</v>
          </cell>
          <cell r="D89">
            <v>20</v>
          </cell>
          <cell r="E89">
            <v>-2.1199999999999992</v>
          </cell>
          <cell r="G89">
            <v>0.30000000000000004</v>
          </cell>
          <cell r="H89">
            <v>0.3</v>
          </cell>
          <cell r="I89">
            <v>-1.56</v>
          </cell>
          <cell r="K89">
            <v>22</v>
          </cell>
          <cell r="L89">
            <v>24</v>
          </cell>
          <cell r="M89">
            <v>-3.3999999999999995</v>
          </cell>
          <cell r="O89">
            <v>20.799999999999997</v>
          </cell>
          <cell r="P89">
            <v>20.799999999999997</v>
          </cell>
          <cell r="Q89">
            <v>-2.16</v>
          </cell>
          <cell r="AO89">
            <v>20</v>
          </cell>
          <cell r="AP89">
            <v>20</v>
          </cell>
          <cell r="AQ89">
            <v>-2.1199999999999992</v>
          </cell>
          <cell r="AS89">
            <v>0.30000000000000004</v>
          </cell>
          <cell r="AT89">
            <v>0.3</v>
          </cell>
          <cell r="AU89">
            <v>-1.56</v>
          </cell>
          <cell r="AW89">
            <v>23</v>
          </cell>
          <cell r="AX89">
            <v>23</v>
          </cell>
          <cell r="AY89">
            <v>-4.3899999999999988</v>
          </cell>
        </row>
        <row r="90">
          <cell r="C90">
            <v>20.5</v>
          </cell>
          <cell r="D90">
            <v>20.5</v>
          </cell>
          <cell r="E90">
            <v>-1.8999999999999992</v>
          </cell>
          <cell r="G90">
            <v>0.5</v>
          </cell>
          <cell r="H90">
            <v>0.44999999999999996</v>
          </cell>
          <cell r="I90">
            <v>-1.35</v>
          </cell>
          <cell r="K90">
            <v>22.5</v>
          </cell>
          <cell r="L90">
            <v>24.5</v>
          </cell>
          <cell r="M90">
            <v>-2.9999999999999996</v>
          </cell>
          <cell r="O90">
            <v>21.249999999999996</v>
          </cell>
          <cell r="P90">
            <v>21.249999999999996</v>
          </cell>
          <cell r="Q90">
            <v>-1.9500000000000002</v>
          </cell>
          <cell r="AO90">
            <v>20.5</v>
          </cell>
          <cell r="AP90">
            <v>20.5</v>
          </cell>
          <cell r="AQ90">
            <v>-1.8999999999999992</v>
          </cell>
          <cell r="AS90">
            <v>0.5</v>
          </cell>
          <cell r="AT90">
            <v>0.44999999999999996</v>
          </cell>
          <cell r="AU90">
            <v>-1.35</v>
          </cell>
          <cell r="AW90">
            <v>23.5</v>
          </cell>
          <cell r="AX90">
            <v>23.5</v>
          </cell>
          <cell r="AY90">
            <v>-3.9899999999999989</v>
          </cell>
        </row>
        <row r="91">
          <cell r="C91">
            <v>21</v>
          </cell>
          <cell r="D91">
            <v>21</v>
          </cell>
          <cell r="E91">
            <v>-1.6799999999999993</v>
          </cell>
          <cell r="G91">
            <v>0.7</v>
          </cell>
          <cell r="H91">
            <v>0.6</v>
          </cell>
          <cell r="I91">
            <v>-1.1400000000000001</v>
          </cell>
          <cell r="K91">
            <v>23</v>
          </cell>
          <cell r="L91">
            <v>25</v>
          </cell>
          <cell r="M91">
            <v>-2.5999999999999996</v>
          </cell>
          <cell r="O91">
            <v>21.699999999999996</v>
          </cell>
          <cell r="P91">
            <v>21.699999999999996</v>
          </cell>
          <cell r="Q91">
            <v>-1.7400000000000002</v>
          </cell>
          <cell r="AO91">
            <v>21</v>
          </cell>
          <cell r="AP91">
            <v>21</v>
          </cell>
          <cell r="AQ91">
            <v>-1.6799999999999993</v>
          </cell>
          <cell r="AS91">
            <v>0.7</v>
          </cell>
          <cell r="AT91">
            <v>0.6</v>
          </cell>
          <cell r="AU91">
            <v>-1.1400000000000001</v>
          </cell>
          <cell r="AW91">
            <v>24</v>
          </cell>
          <cell r="AX91">
            <v>24</v>
          </cell>
          <cell r="AY91">
            <v>-3.589999999999999</v>
          </cell>
        </row>
        <row r="92">
          <cell r="C92">
            <v>21.5</v>
          </cell>
          <cell r="D92">
            <v>21.5</v>
          </cell>
          <cell r="E92">
            <v>-1.4599999999999993</v>
          </cell>
          <cell r="G92">
            <v>0.89999999999999991</v>
          </cell>
          <cell r="H92">
            <v>0.75</v>
          </cell>
          <cell r="I92">
            <v>-0.93000000000000016</v>
          </cell>
          <cell r="K92">
            <v>23.5</v>
          </cell>
          <cell r="L92">
            <v>25.5</v>
          </cell>
          <cell r="M92">
            <v>-2.1999999999999997</v>
          </cell>
          <cell r="O92">
            <v>22.149999999999995</v>
          </cell>
          <cell r="P92">
            <v>22.149999999999995</v>
          </cell>
          <cell r="Q92">
            <v>-1.5300000000000002</v>
          </cell>
          <cell r="AO92">
            <v>21.5</v>
          </cell>
          <cell r="AP92">
            <v>21.5</v>
          </cell>
          <cell r="AQ92">
            <v>-1.4599999999999993</v>
          </cell>
          <cell r="AS92">
            <v>0.89999999999999991</v>
          </cell>
          <cell r="AT92">
            <v>0.75</v>
          </cell>
          <cell r="AU92">
            <v>-0.93000000000000016</v>
          </cell>
          <cell r="AW92">
            <v>24.5</v>
          </cell>
          <cell r="AX92">
            <v>24.5</v>
          </cell>
          <cell r="AY92">
            <v>-3.1899999999999991</v>
          </cell>
        </row>
        <row r="93">
          <cell r="C93">
            <v>22</v>
          </cell>
          <cell r="D93">
            <v>22</v>
          </cell>
          <cell r="E93">
            <v>-1.2399999999999993</v>
          </cell>
          <cell r="G93">
            <v>1.0999999999999999</v>
          </cell>
          <cell r="H93">
            <v>0.9</v>
          </cell>
          <cell r="I93">
            <v>-0.7200000000000002</v>
          </cell>
          <cell r="K93">
            <v>24</v>
          </cell>
          <cell r="L93">
            <v>26</v>
          </cell>
          <cell r="M93">
            <v>-1.7999999999999998</v>
          </cell>
          <cell r="O93">
            <v>22.599999999999994</v>
          </cell>
          <cell r="P93">
            <v>22.599999999999994</v>
          </cell>
          <cell r="Q93">
            <v>-1.3200000000000003</v>
          </cell>
          <cell r="AO93">
            <v>22</v>
          </cell>
          <cell r="AP93">
            <v>22</v>
          </cell>
          <cell r="AQ93">
            <v>-1.2399999999999993</v>
          </cell>
          <cell r="AS93">
            <v>1.0999999999999999</v>
          </cell>
          <cell r="AT93">
            <v>0.9</v>
          </cell>
          <cell r="AU93">
            <v>-0.7200000000000002</v>
          </cell>
          <cell r="AW93">
            <v>25</v>
          </cell>
          <cell r="AX93">
            <v>25</v>
          </cell>
          <cell r="AY93">
            <v>-2.7899999999999991</v>
          </cell>
        </row>
        <row r="94">
          <cell r="C94">
            <v>22.5</v>
          </cell>
          <cell r="D94">
            <v>22.5</v>
          </cell>
          <cell r="E94">
            <v>-1.0199999999999994</v>
          </cell>
          <cell r="G94">
            <v>1.2999999999999998</v>
          </cell>
          <cell r="H94">
            <v>1.05</v>
          </cell>
          <cell r="I94">
            <v>-0.51000000000000023</v>
          </cell>
          <cell r="K94">
            <v>24.5</v>
          </cell>
          <cell r="L94">
            <v>26.5</v>
          </cell>
          <cell r="M94">
            <v>-1.4</v>
          </cell>
          <cell r="O94">
            <v>23.049999999999994</v>
          </cell>
          <cell r="P94">
            <v>23.049999999999994</v>
          </cell>
          <cell r="Q94">
            <v>-1.1100000000000003</v>
          </cell>
          <cell r="AO94">
            <v>22.5</v>
          </cell>
          <cell r="AP94">
            <v>22.5</v>
          </cell>
          <cell r="AQ94">
            <v>-1.0199999999999994</v>
          </cell>
          <cell r="AS94">
            <v>1.2999999999999998</v>
          </cell>
          <cell r="AT94">
            <v>1.05</v>
          </cell>
          <cell r="AU94">
            <v>-0.51000000000000023</v>
          </cell>
          <cell r="AW94">
            <v>25.5</v>
          </cell>
          <cell r="AX94">
            <v>25.5</v>
          </cell>
          <cell r="AY94">
            <v>-2.3899999999999992</v>
          </cell>
        </row>
        <row r="95">
          <cell r="C95">
            <v>23</v>
          </cell>
          <cell r="D95">
            <v>23</v>
          </cell>
          <cell r="E95">
            <v>-0.79999999999999938</v>
          </cell>
          <cell r="G95">
            <v>1.4999999999999998</v>
          </cell>
          <cell r="H95">
            <v>1.2</v>
          </cell>
          <cell r="I95">
            <v>-0.30000000000000027</v>
          </cell>
          <cell r="K95">
            <v>25</v>
          </cell>
          <cell r="L95">
            <v>27</v>
          </cell>
          <cell r="M95">
            <v>-0.99999999999999989</v>
          </cell>
          <cell r="O95">
            <v>23.499999999999993</v>
          </cell>
          <cell r="P95">
            <v>23.499999999999993</v>
          </cell>
          <cell r="Q95">
            <v>-0.90000000000000036</v>
          </cell>
          <cell r="AO95">
            <v>23</v>
          </cell>
          <cell r="AP95">
            <v>23</v>
          </cell>
          <cell r="AQ95">
            <v>-0.79999999999999938</v>
          </cell>
          <cell r="AS95">
            <v>1.4999999999999998</v>
          </cell>
          <cell r="AT95">
            <v>1.2</v>
          </cell>
          <cell r="AU95">
            <v>-0.30000000000000027</v>
          </cell>
          <cell r="AW95">
            <v>26</v>
          </cell>
          <cell r="AX95">
            <v>26</v>
          </cell>
          <cell r="AY95">
            <v>-1.9899999999999993</v>
          </cell>
        </row>
        <row r="96">
          <cell r="C96">
            <v>23.5</v>
          </cell>
          <cell r="D96">
            <v>23.5</v>
          </cell>
          <cell r="E96">
            <v>-0.5799999999999994</v>
          </cell>
          <cell r="G96">
            <v>1.6999999999999997</v>
          </cell>
          <cell r="H96">
            <v>1.3499999999999999</v>
          </cell>
          <cell r="I96">
            <v>-9.0000000000000274E-2</v>
          </cell>
          <cell r="K96">
            <v>25.5</v>
          </cell>
          <cell r="L96">
            <v>27.5</v>
          </cell>
          <cell r="M96">
            <v>-0.59999999999999987</v>
          </cell>
          <cell r="O96">
            <v>23.949999999999992</v>
          </cell>
          <cell r="P96">
            <v>23.949999999999992</v>
          </cell>
          <cell r="Q96">
            <v>-0.69000000000000039</v>
          </cell>
          <cell r="AO96">
            <v>23.5</v>
          </cell>
          <cell r="AP96">
            <v>23.5</v>
          </cell>
          <cell r="AQ96">
            <v>-0.5799999999999994</v>
          </cell>
          <cell r="AS96">
            <v>1.6999999999999997</v>
          </cell>
          <cell r="AT96">
            <v>1.3499999999999999</v>
          </cell>
          <cell r="AU96">
            <v>-9.0000000000000274E-2</v>
          </cell>
          <cell r="AW96">
            <v>26.5</v>
          </cell>
          <cell r="AX96">
            <v>26.5</v>
          </cell>
          <cell r="AY96">
            <v>-1.5899999999999994</v>
          </cell>
        </row>
        <row r="97">
          <cell r="C97">
            <v>24</v>
          </cell>
          <cell r="D97">
            <v>24</v>
          </cell>
          <cell r="E97">
            <v>-0.35999999999999943</v>
          </cell>
          <cell r="G97">
            <v>1.8999999999999997</v>
          </cell>
          <cell r="H97">
            <v>1.4999999999999998</v>
          </cell>
          <cell r="I97">
            <v>0.11999999999999972</v>
          </cell>
          <cell r="K97">
            <v>26</v>
          </cell>
          <cell r="L97">
            <v>28</v>
          </cell>
          <cell r="M97">
            <v>-0.19999999999999984</v>
          </cell>
          <cell r="O97">
            <v>24.399999999999991</v>
          </cell>
          <cell r="P97">
            <v>24.399999999999991</v>
          </cell>
          <cell r="Q97">
            <v>-0.48000000000000043</v>
          </cell>
          <cell r="AO97">
            <v>24</v>
          </cell>
          <cell r="AP97">
            <v>24</v>
          </cell>
          <cell r="AQ97">
            <v>-0.35999999999999943</v>
          </cell>
          <cell r="AS97">
            <v>1.8999999999999997</v>
          </cell>
          <cell r="AT97">
            <v>1.4999999999999998</v>
          </cell>
          <cell r="AU97">
            <v>0.11999999999999972</v>
          </cell>
          <cell r="AW97">
            <v>27</v>
          </cell>
          <cell r="AX97">
            <v>27</v>
          </cell>
          <cell r="AY97">
            <v>-1.1899999999999995</v>
          </cell>
        </row>
        <row r="98">
          <cell r="C98">
            <v>24.5</v>
          </cell>
          <cell r="D98">
            <v>24.5</v>
          </cell>
          <cell r="E98">
            <v>-0.13999999999999943</v>
          </cell>
          <cell r="G98">
            <v>2.0999999999999996</v>
          </cell>
          <cell r="H98">
            <v>1.6499999999999997</v>
          </cell>
          <cell r="I98">
            <v>0.32999999999999974</v>
          </cell>
          <cell r="K98">
            <v>26.5</v>
          </cell>
          <cell r="L98">
            <v>28.5</v>
          </cell>
          <cell r="M98">
            <v>0.20000000000000018</v>
          </cell>
          <cell r="O98">
            <v>24.849999999999991</v>
          </cell>
          <cell r="P98">
            <v>24.849999999999991</v>
          </cell>
          <cell r="Q98">
            <v>-0.27000000000000046</v>
          </cell>
          <cell r="AO98">
            <v>24.5</v>
          </cell>
          <cell r="AP98">
            <v>24.5</v>
          </cell>
          <cell r="AQ98">
            <v>-0.13999999999999943</v>
          </cell>
          <cell r="AS98">
            <v>2.0999999999999996</v>
          </cell>
          <cell r="AT98">
            <v>1.6499999999999997</v>
          </cell>
          <cell r="AU98">
            <v>0.32999999999999974</v>
          </cell>
          <cell r="AW98">
            <v>27.5</v>
          </cell>
          <cell r="AX98">
            <v>27.5</v>
          </cell>
          <cell r="AY98">
            <v>-0.78999999999999948</v>
          </cell>
        </row>
        <row r="99">
          <cell r="C99">
            <v>25</v>
          </cell>
          <cell r="D99">
            <v>25</v>
          </cell>
          <cell r="E99">
            <v>8.0000000000000571E-2</v>
          </cell>
          <cell r="G99">
            <v>2.2999999999999998</v>
          </cell>
          <cell r="H99">
            <v>1.7999999999999996</v>
          </cell>
          <cell r="I99">
            <v>0.5399999999999997</v>
          </cell>
          <cell r="K99">
            <v>27</v>
          </cell>
          <cell r="L99">
            <v>29</v>
          </cell>
          <cell r="M99">
            <v>0.6000000000000002</v>
          </cell>
          <cell r="O99">
            <v>25.29999999999999</v>
          </cell>
          <cell r="P99">
            <v>25.29999999999999</v>
          </cell>
          <cell r="Q99">
            <v>-6.000000000000047E-2</v>
          </cell>
          <cell r="AO99">
            <v>25</v>
          </cell>
          <cell r="AP99">
            <v>25</v>
          </cell>
          <cell r="AQ99">
            <v>8.0000000000000571E-2</v>
          </cell>
          <cell r="AS99">
            <v>2.2999999999999998</v>
          </cell>
          <cell r="AT99">
            <v>1.7999999999999996</v>
          </cell>
          <cell r="AU99">
            <v>0.5399999999999997</v>
          </cell>
          <cell r="AW99">
            <v>28</v>
          </cell>
          <cell r="AX99">
            <v>28</v>
          </cell>
          <cell r="AY99">
            <v>-0.38999999999999946</v>
          </cell>
        </row>
        <row r="100">
          <cell r="C100">
            <v>25.5</v>
          </cell>
          <cell r="D100">
            <v>25.5</v>
          </cell>
          <cell r="E100">
            <v>0.3000000000000006</v>
          </cell>
          <cell r="G100">
            <v>2.5</v>
          </cell>
          <cell r="H100">
            <v>1.9499999999999995</v>
          </cell>
          <cell r="I100">
            <v>0.74999999999999967</v>
          </cell>
          <cell r="K100">
            <v>27.5</v>
          </cell>
          <cell r="L100">
            <v>29.5</v>
          </cell>
          <cell r="M100">
            <v>1.0000000000000002</v>
          </cell>
          <cell r="O100">
            <v>25.749999999999989</v>
          </cell>
          <cell r="P100">
            <v>25.749999999999989</v>
          </cell>
          <cell r="Q100">
            <v>0.14999999999999952</v>
          </cell>
          <cell r="AO100">
            <v>25.5</v>
          </cell>
          <cell r="AP100">
            <v>25.5</v>
          </cell>
          <cell r="AQ100">
            <v>0.3000000000000006</v>
          </cell>
          <cell r="AS100">
            <v>2.5</v>
          </cell>
          <cell r="AT100">
            <v>1.9499999999999995</v>
          </cell>
          <cell r="AU100">
            <v>0.74999999999999967</v>
          </cell>
          <cell r="AW100">
            <v>28.5</v>
          </cell>
          <cell r="AX100">
            <v>28.5</v>
          </cell>
          <cell r="AY100">
            <v>1.0000000000000564E-2</v>
          </cell>
        </row>
        <row r="101">
          <cell r="C101">
            <v>26</v>
          </cell>
          <cell r="D101">
            <v>26</v>
          </cell>
          <cell r="E101">
            <v>0.52000000000000057</v>
          </cell>
          <cell r="G101">
            <v>2.7</v>
          </cell>
          <cell r="H101">
            <v>2.0999999999999996</v>
          </cell>
          <cell r="I101">
            <v>0.95999999999999963</v>
          </cell>
          <cell r="K101">
            <v>28</v>
          </cell>
          <cell r="L101">
            <v>30</v>
          </cell>
          <cell r="M101">
            <v>1.4000000000000004</v>
          </cell>
          <cell r="O101">
            <v>26.199999999999989</v>
          </cell>
          <cell r="P101">
            <v>26.199999999999989</v>
          </cell>
          <cell r="Q101">
            <v>0.35999999999999954</v>
          </cell>
          <cell r="AO101">
            <v>26</v>
          </cell>
          <cell r="AP101">
            <v>26</v>
          </cell>
          <cell r="AQ101">
            <v>0.52000000000000057</v>
          </cell>
          <cell r="AS101">
            <v>2.7</v>
          </cell>
          <cell r="AT101">
            <v>2.0999999999999996</v>
          </cell>
          <cell r="AU101">
            <v>0.95999999999999963</v>
          </cell>
          <cell r="AW101">
            <v>29</v>
          </cell>
          <cell r="AX101">
            <v>29</v>
          </cell>
          <cell r="AY101">
            <v>0.41000000000000059</v>
          </cell>
        </row>
        <row r="102">
          <cell r="C102">
            <v>26.5</v>
          </cell>
          <cell r="D102">
            <v>26.5</v>
          </cell>
          <cell r="E102">
            <v>0.74000000000000055</v>
          </cell>
          <cell r="G102">
            <v>2.9000000000000004</v>
          </cell>
          <cell r="H102">
            <v>2.2499999999999996</v>
          </cell>
          <cell r="I102">
            <v>1.1699999999999997</v>
          </cell>
          <cell r="K102">
            <v>28.5</v>
          </cell>
          <cell r="L102">
            <v>30.5</v>
          </cell>
          <cell r="M102">
            <v>1.8000000000000003</v>
          </cell>
          <cell r="O102">
            <v>26.649999999999988</v>
          </cell>
          <cell r="P102">
            <v>26.649999999999988</v>
          </cell>
          <cell r="Q102">
            <v>0.56999999999999951</v>
          </cell>
          <cell r="AO102">
            <v>26.5</v>
          </cell>
          <cell r="AP102">
            <v>26.5</v>
          </cell>
          <cell r="AQ102">
            <v>0.74000000000000055</v>
          </cell>
          <cell r="AS102">
            <v>2.9000000000000004</v>
          </cell>
          <cell r="AT102">
            <v>2.2499999999999996</v>
          </cell>
          <cell r="AU102">
            <v>1.1699999999999997</v>
          </cell>
          <cell r="AW102">
            <v>29.5</v>
          </cell>
          <cell r="AX102">
            <v>29.5</v>
          </cell>
          <cell r="AY102">
            <v>0.81000000000000061</v>
          </cell>
        </row>
        <row r="103">
          <cell r="C103">
            <v>27</v>
          </cell>
          <cell r="D103">
            <v>27</v>
          </cell>
          <cell r="E103">
            <v>0.96000000000000052</v>
          </cell>
          <cell r="G103">
            <v>3.1000000000000005</v>
          </cell>
          <cell r="H103">
            <v>2.3999999999999995</v>
          </cell>
          <cell r="I103">
            <v>1.3799999999999997</v>
          </cell>
          <cell r="K103">
            <v>29</v>
          </cell>
          <cell r="L103">
            <v>31</v>
          </cell>
          <cell r="M103">
            <v>2.2000000000000002</v>
          </cell>
          <cell r="O103">
            <v>27.099999999999987</v>
          </cell>
          <cell r="P103">
            <v>27.099999999999987</v>
          </cell>
          <cell r="Q103">
            <v>0.77999999999999947</v>
          </cell>
          <cell r="AO103">
            <v>27</v>
          </cell>
          <cell r="AP103">
            <v>27</v>
          </cell>
          <cell r="AQ103">
            <v>0.96000000000000052</v>
          </cell>
          <cell r="AS103">
            <v>3.1000000000000005</v>
          </cell>
          <cell r="AT103">
            <v>2.3999999999999995</v>
          </cell>
          <cell r="AU103">
            <v>1.3799999999999997</v>
          </cell>
          <cell r="AW103">
            <v>30</v>
          </cell>
          <cell r="AX103">
            <v>30</v>
          </cell>
          <cell r="AY103">
            <v>1.2100000000000006</v>
          </cell>
        </row>
        <row r="104">
          <cell r="C104">
            <v>27.5</v>
          </cell>
          <cell r="D104">
            <v>27.5</v>
          </cell>
          <cell r="E104">
            <v>1.1800000000000006</v>
          </cell>
          <cell r="G104">
            <v>3.3000000000000007</v>
          </cell>
          <cell r="H104">
            <v>2.5499999999999994</v>
          </cell>
          <cell r="I104">
            <v>1.5899999999999996</v>
          </cell>
          <cell r="K104">
            <v>29.5</v>
          </cell>
          <cell r="L104">
            <v>31.5</v>
          </cell>
          <cell r="M104">
            <v>2.6</v>
          </cell>
          <cell r="O104">
            <v>27.549999999999986</v>
          </cell>
          <cell r="P104">
            <v>27.549999999999986</v>
          </cell>
          <cell r="Q104">
            <v>0.98999999999999944</v>
          </cell>
          <cell r="AO104">
            <v>27.5</v>
          </cell>
          <cell r="AP104">
            <v>27.5</v>
          </cell>
          <cell r="AQ104">
            <v>1.1800000000000006</v>
          </cell>
          <cell r="AS104">
            <v>3.3000000000000007</v>
          </cell>
          <cell r="AT104">
            <v>2.5499999999999994</v>
          </cell>
          <cell r="AU104">
            <v>1.5899999999999996</v>
          </cell>
          <cell r="AW104">
            <v>30.5</v>
          </cell>
          <cell r="AX104">
            <v>30.5</v>
          </cell>
          <cell r="AY104">
            <v>1.6100000000000008</v>
          </cell>
        </row>
        <row r="105">
          <cell r="C105">
            <v>28</v>
          </cell>
          <cell r="D105">
            <v>28</v>
          </cell>
          <cell r="E105">
            <v>1.4000000000000006</v>
          </cell>
          <cell r="G105">
            <v>3.5000000000000009</v>
          </cell>
          <cell r="H105">
            <v>2.6999999999999993</v>
          </cell>
          <cell r="I105">
            <v>1.7999999999999996</v>
          </cell>
          <cell r="K105">
            <v>30</v>
          </cell>
          <cell r="L105">
            <v>32</v>
          </cell>
          <cell r="M105">
            <v>3</v>
          </cell>
          <cell r="O105">
            <v>27.999999999999986</v>
          </cell>
          <cell r="P105">
            <v>27.999999999999986</v>
          </cell>
          <cell r="Q105">
            <v>1.1999999999999995</v>
          </cell>
          <cell r="AO105">
            <v>28</v>
          </cell>
          <cell r="AP105">
            <v>28</v>
          </cell>
          <cell r="AQ105">
            <v>1.4000000000000006</v>
          </cell>
          <cell r="AS105">
            <v>3.5000000000000009</v>
          </cell>
          <cell r="AT105">
            <v>2.6999999999999993</v>
          </cell>
          <cell r="AU105">
            <v>1.7999999999999996</v>
          </cell>
          <cell r="AW105">
            <v>31</v>
          </cell>
          <cell r="AX105">
            <v>31</v>
          </cell>
          <cell r="AY105">
            <v>2.0100000000000007</v>
          </cell>
        </row>
        <row r="106">
          <cell r="C106">
            <v>28.5</v>
          </cell>
          <cell r="D106">
            <v>28.5</v>
          </cell>
          <cell r="E106">
            <v>1.6200000000000006</v>
          </cell>
          <cell r="G106">
            <v>3.7000000000000011</v>
          </cell>
          <cell r="H106">
            <v>2.8499999999999992</v>
          </cell>
          <cell r="I106">
            <v>2.0099999999999998</v>
          </cell>
          <cell r="K106">
            <v>30.5</v>
          </cell>
          <cell r="L106">
            <v>32.5</v>
          </cell>
          <cell r="M106">
            <v>3.4</v>
          </cell>
          <cell r="O106">
            <v>28.449999999999985</v>
          </cell>
          <cell r="P106">
            <v>28.449999999999985</v>
          </cell>
          <cell r="Q106">
            <v>1.4099999999999995</v>
          </cell>
          <cell r="AO106">
            <v>28.5</v>
          </cell>
          <cell r="AP106">
            <v>28.5</v>
          </cell>
          <cell r="AQ106">
            <v>1.6200000000000006</v>
          </cell>
          <cell r="AS106">
            <v>3.7000000000000011</v>
          </cell>
          <cell r="AT106">
            <v>2.8499999999999992</v>
          </cell>
          <cell r="AU106">
            <v>2.0099999999999998</v>
          </cell>
          <cell r="AW106">
            <v>31.5</v>
          </cell>
          <cell r="AX106">
            <v>31.5</v>
          </cell>
          <cell r="AY106">
            <v>2.4100000000000006</v>
          </cell>
        </row>
        <row r="107">
          <cell r="C107">
            <v>29</v>
          </cell>
          <cell r="D107">
            <v>29</v>
          </cell>
          <cell r="E107">
            <v>1.8400000000000005</v>
          </cell>
          <cell r="G107">
            <v>3.9000000000000012</v>
          </cell>
          <cell r="H107">
            <v>2.9999999999999991</v>
          </cell>
          <cell r="I107">
            <v>2.2199999999999998</v>
          </cell>
          <cell r="K107">
            <v>31</v>
          </cell>
          <cell r="L107">
            <v>33</v>
          </cell>
          <cell r="M107">
            <v>3.8</v>
          </cell>
          <cell r="O107">
            <v>28.899999999999984</v>
          </cell>
          <cell r="P107">
            <v>28.899999999999984</v>
          </cell>
          <cell r="Q107">
            <v>1.6199999999999994</v>
          </cell>
          <cell r="AO107">
            <v>29</v>
          </cell>
          <cell r="AP107">
            <v>29</v>
          </cell>
          <cell r="AQ107">
            <v>1.8400000000000005</v>
          </cell>
          <cell r="AS107">
            <v>3.9000000000000012</v>
          </cell>
          <cell r="AT107">
            <v>2.9999999999999991</v>
          </cell>
          <cell r="AU107">
            <v>2.2199999999999998</v>
          </cell>
          <cell r="AW107">
            <v>32</v>
          </cell>
          <cell r="AX107">
            <v>32</v>
          </cell>
          <cell r="AY107">
            <v>2.8100000000000005</v>
          </cell>
        </row>
        <row r="108">
          <cell r="C108">
            <v>29.5</v>
          </cell>
          <cell r="D108">
            <v>29.5</v>
          </cell>
          <cell r="E108">
            <v>2.0600000000000005</v>
          </cell>
          <cell r="G108">
            <v>4.1000000000000014</v>
          </cell>
          <cell r="H108">
            <v>3.149999999999999</v>
          </cell>
          <cell r="I108">
            <v>2.4299999999999997</v>
          </cell>
          <cell r="K108">
            <v>31.5</v>
          </cell>
          <cell r="L108">
            <v>33.5</v>
          </cell>
          <cell r="M108">
            <v>4.2</v>
          </cell>
          <cell r="O108">
            <v>29.349999999999984</v>
          </cell>
          <cell r="P108">
            <v>29.349999999999984</v>
          </cell>
          <cell r="Q108">
            <v>1.8299999999999994</v>
          </cell>
          <cell r="AO108">
            <v>29.5</v>
          </cell>
          <cell r="AP108">
            <v>29.5</v>
          </cell>
          <cell r="AQ108">
            <v>2.0600000000000005</v>
          </cell>
          <cell r="AS108">
            <v>4.1000000000000014</v>
          </cell>
          <cell r="AT108">
            <v>3.149999999999999</v>
          </cell>
          <cell r="AU108">
            <v>2.4299999999999997</v>
          </cell>
          <cell r="AW108">
            <v>32.5</v>
          </cell>
          <cell r="AX108">
            <v>32.5</v>
          </cell>
          <cell r="AY108">
            <v>3.2100000000000004</v>
          </cell>
        </row>
        <row r="109">
          <cell r="C109">
            <v>30</v>
          </cell>
          <cell r="D109">
            <v>30</v>
          </cell>
          <cell r="E109">
            <v>2.2800000000000007</v>
          </cell>
          <cell r="G109">
            <v>4.3000000000000016</v>
          </cell>
          <cell r="H109">
            <v>3.2999999999999989</v>
          </cell>
          <cell r="I109">
            <v>2.6399999999999997</v>
          </cell>
          <cell r="K109">
            <v>32</v>
          </cell>
          <cell r="L109">
            <v>34</v>
          </cell>
          <cell r="M109">
            <v>4.6000000000000005</v>
          </cell>
          <cell r="O109">
            <v>29.799999999999983</v>
          </cell>
          <cell r="P109">
            <v>29.799999999999983</v>
          </cell>
          <cell r="Q109">
            <v>2.0399999999999996</v>
          </cell>
          <cell r="AO109">
            <v>30</v>
          </cell>
          <cell r="AP109">
            <v>30</v>
          </cell>
          <cell r="AQ109">
            <v>2.2800000000000007</v>
          </cell>
          <cell r="AS109">
            <v>4.3000000000000016</v>
          </cell>
          <cell r="AT109">
            <v>3.2999999999999989</v>
          </cell>
          <cell r="AU109">
            <v>2.6399999999999997</v>
          </cell>
          <cell r="AW109">
            <v>33</v>
          </cell>
          <cell r="AX109">
            <v>33</v>
          </cell>
          <cell r="AY109">
            <v>3.6100000000000003</v>
          </cell>
        </row>
        <row r="110">
          <cell r="C110">
            <v>30.5</v>
          </cell>
          <cell r="D110">
            <v>30.5</v>
          </cell>
          <cell r="E110">
            <v>2.5000000000000009</v>
          </cell>
          <cell r="G110">
            <v>4.5000000000000018</v>
          </cell>
          <cell r="H110">
            <v>3.4499999999999988</v>
          </cell>
          <cell r="I110">
            <v>2.8499999999999996</v>
          </cell>
          <cell r="K110">
            <v>32.5</v>
          </cell>
          <cell r="L110">
            <v>34.5</v>
          </cell>
          <cell r="M110">
            <v>5.0000000000000009</v>
          </cell>
          <cell r="O110">
            <v>30.249999999999982</v>
          </cell>
          <cell r="P110">
            <v>30.249999999999982</v>
          </cell>
          <cell r="Q110">
            <v>2.2499999999999996</v>
          </cell>
          <cell r="AO110">
            <v>30.5</v>
          </cell>
          <cell r="AP110">
            <v>30.5</v>
          </cell>
          <cell r="AQ110">
            <v>2.5000000000000009</v>
          </cell>
          <cell r="AS110">
            <v>4.5000000000000018</v>
          </cell>
          <cell r="AT110">
            <v>3.4499999999999988</v>
          </cell>
          <cell r="AU110">
            <v>2.8499999999999996</v>
          </cell>
          <cell r="AW110">
            <v>33.5</v>
          </cell>
          <cell r="AX110">
            <v>33.5</v>
          </cell>
          <cell r="AY110">
            <v>4.0100000000000007</v>
          </cell>
        </row>
        <row r="111">
          <cell r="C111">
            <v>31</v>
          </cell>
          <cell r="D111">
            <v>31</v>
          </cell>
          <cell r="E111">
            <v>2.7200000000000011</v>
          </cell>
          <cell r="G111">
            <v>4.700000000000002</v>
          </cell>
          <cell r="H111">
            <v>3.5999999999999988</v>
          </cell>
          <cell r="I111">
            <v>3.0599999999999996</v>
          </cell>
          <cell r="K111">
            <v>33</v>
          </cell>
          <cell r="L111">
            <v>35</v>
          </cell>
          <cell r="M111">
            <v>5.4000000000000012</v>
          </cell>
          <cell r="O111">
            <v>30.699999999999982</v>
          </cell>
          <cell r="P111">
            <v>30.699999999999982</v>
          </cell>
          <cell r="Q111">
            <v>2.4599999999999995</v>
          </cell>
          <cell r="AO111">
            <v>31</v>
          </cell>
          <cell r="AP111">
            <v>31</v>
          </cell>
          <cell r="AQ111">
            <v>2.7200000000000011</v>
          </cell>
          <cell r="AS111">
            <v>4.700000000000002</v>
          </cell>
          <cell r="AT111">
            <v>3.5999999999999988</v>
          </cell>
          <cell r="AU111">
            <v>3.0599999999999996</v>
          </cell>
          <cell r="AW111">
            <v>34</v>
          </cell>
          <cell r="AX111">
            <v>34</v>
          </cell>
          <cell r="AY111">
            <v>4.410000000000001</v>
          </cell>
        </row>
        <row r="112">
          <cell r="C112">
            <v>31.5</v>
          </cell>
          <cell r="D112">
            <v>31.5</v>
          </cell>
          <cell r="E112">
            <v>2.9400000000000013</v>
          </cell>
          <cell r="G112">
            <v>4.9000000000000021</v>
          </cell>
          <cell r="H112">
            <v>3.7499999999999987</v>
          </cell>
          <cell r="I112">
            <v>3.2699999999999996</v>
          </cell>
          <cell r="K112">
            <v>33.5</v>
          </cell>
          <cell r="L112">
            <v>35.5</v>
          </cell>
          <cell r="M112">
            <v>5.8000000000000016</v>
          </cell>
          <cell r="O112">
            <v>31.149999999999981</v>
          </cell>
          <cell r="P112">
            <v>31.149999999999981</v>
          </cell>
          <cell r="Q112">
            <v>2.6699999999999995</v>
          </cell>
          <cell r="AO112">
            <v>31.5</v>
          </cell>
          <cell r="AP112">
            <v>31.5</v>
          </cell>
          <cell r="AQ112">
            <v>2.9400000000000013</v>
          </cell>
          <cell r="AS112">
            <v>4.9000000000000021</v>
          </cell>
          <cell r="AT112">
            <v>3.7499999999999987</v>
          </cell>
          <cell r="AU112">
            <v>3.2699999999999996</v>
          </cell>
          <cell r="AW112">
            <v>34.5</v>
          </cell>
          <cell r="AX112">
            <v>34.5</v>
          </cell>
          <cell r="AY112">
            <v>4.8100000000000014</v>
          </cell>
        </row>
        <row r="113">
          <cell r="C113">
            <v>32</v>
          </cell>
          <cell r="D113">
            <v>32</v>
          </cell>
          <cell r="E113">
            <v>3.1600000000000015</v>
          </cell>
          <cell r="G113">
            <v>5.1000000000000023</v>
          </cell>
          <cell r="H113">
            <v>3.8999999999999986</v>
          </cell>
          <cell r="I113">
            <v>3.4799999999999995</v>
          </cell>
          <cell r="K113">
            <v>34</v>
          </cell>
          <cell r="L113">
            <v>36</v>
          </cell>
          <cell r="M113">
            <v>6.200000000000002</v>
          </cell>
          <cell r="O113">
            <v>31.59999999999998</v>
          </cell>
          <cell r="P113">
            <v>31.59999999999998</v>
          </cell>
          <cell r="Q113">
            <v>2.8799999999999994</v>
          </cell>
          <cell r="AO113">
            <v>32</v>
          </cell>
          <cell r="AP113">
            <v>32</v>
          </cell>
          <cell r="AQ113">
            <v>3.1600000000000015</v>
          </cell>
          <cell r="AS113">
            <v>5.1000000000000023</v>
          </cell>
          <cell r="AT113">
            <v>3.8999999999999986</v>
          </cell>
          <cell r="AU113">
            <v>3.4799999999999995</v>
          </cell>
          <cell r="AW113">
            <v>35</v>
          </cell>
          <cell r="AX113">
            <v>35</v>
          </cell>
          <cell r="AY113">
            <v>5.2100000000000017</v>
          </cell>
        </row>
        <row r="114">
          <cell r="C114">
            <v>32.5</v>
          </cell>
          <cell r="D114">
            <v>32.5</v>
          </cell>
          <cell r="E114">
            <v>3.3800000000000017</v>
          </cell>
          <cell r="G114">
            <v>5.3000000000000025</v>
          </cell>
          <cell r="H114">
            <v>4.0499999999999989</v>
          </cell>
          <cell r="I114">
            <v>3.6899999999999995</v>
          </cell>
          <cell r="K114">
            <v>34.5</v>
          </cell>
          <cell r="L114">
            <v>36.5</v>
          </cell>
          <cell r="M114">
            <v>6.6000000000000023</v>
          </cell>
          <cell r="O114">
            <v>32.049999999999983</v>
          </cell>
          <cell r="P114">
            <v>32.049999999999983</v>
          </cell>
          <cell r="Q114">
            <v>3.0899999999999994</v>
          </cell>
          <cell r="AO114">
            <v>32.5</v>
          </cell>
          <cell r="AP114">
            <v>32.5</v>
          </cell>
          <cell r="AQ114">
            <v>3.3800000000000017</v>
          </cell>
          <cell r="AS114">
            <v>5.3000000000000025</v>
          </cell>
          <cell r="AT114">
            <v>4.0499999999999989</v>
          </cell>
          <cell r="AU114">
            <v>3.6899999999999995</v>
          </cell>
          <cell r="AW114">
            <v>35.5</v>
          </cell>
          <cell r="AX114">
            <v>35.5</v>
          </cell>
          <cell r="AY114">
            <v>5.6100000000000021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R125"/>
  <sheetViews>
    <sheetView showGridLines="0" view="pageBreakPreview" topLeftCell="D116" zoomScaleNormal="40" zoomScaleSheetLayoutView="100" zoomScalePageLayoutView="70" workbookViewId="0">
      <selection activeCell="M41" sqref="M41"/>
    </sheetView>
  </sheetViews>
  <sheetFormatPr defaultColWidth="25" defaultRowHeight="12.75" x14ac:dyDescent="0.2"/>
  <cols>
    <col min="1" max="1" width="30.5703125" style="63" hidden="1" customWidth="1"/>
    <col min="2" max="2" width="36.85546875" style="63" hidden="1" customWidth="1"/>
    <col min="3" max="3" width="18" style="63" hidden="1" customWidth="1"/>
    <col min="4" max="4" width="16" style="63" customWidth="1"/>
    <col min="5" max="5" width="12.7109375" style="63" customWidth="1"/>
    <col min="6" max="6" width="14.85546875" style="63" customWidth="1"/>
    <col min="7" max="8" width="12.7109375" style="63" customWidth="1"/>
    <col min="9" max="9" width="15" style="63" customWidth="1"/>
    <col min="10" max="15" width="12.7109375" style="63" customWidth="1"/>
    <col min="16" max="16" width="14.85546875" style="63" customWidth="1"/>
    <col min="17" max="17" width="12.7109375" style="63" customWidth="1"/>
    <col min="18" max="16384" width="25" style="63"/>
  </cols>
  <sheetData>
    <row r="1" spans="1:18" ht="18" customHeight="1" x14ac:dyDescent="0.2">
      <c r="A1" s="63" t="s">
        <v>56</v>
      </c>
      <c r="D1" s="63" t="s">
        <v>18</v>
      </c>
      <c r="F1" s="63" t="s">
        <v>18</v>
      </c>
      <c r="O1" s="86"/>
      <c r="P1" s="87"/>
    </row>
    <row r="2" spans="1:18" ht="11.25" customHeight="1" x14ac:dyDescent="0.2">
      <c r="D2" s="8"/>
      <c r="E2" s="88"/>
    </row>
    <row r="3" spans="1:18" ht="17.25" customHeight="1" x14ac:dyDescent="0.2">
      <c r="D3" s="164">
        <v>2</v>
      </c>
      <c r="E3" s="365" t="s">
        <v>173</v>
      </c>
      <c r="F3" s="365"/>
      <c r="G3" s="365"/>
      <c r="H3" s="365"/>
      <c r="I3" s="365"/>
      <c r="J3" s="365"/>
      <c r="K3" s="365"/>
      <c r="L3" s="365"/>
      <c r="M3" s="365"/>
      <c r="N3" s="365"/>
      <c r="O3" s="365"/>
      <c r="P3" s="365"/>
    </row>
    <row r="4" spans="1:18" ht="18" customHeight="1" x14ac:dyDescent="0.2">
      <c r="D4" s="164">
        <v>2</v>
      </c>
      <c r="N4" s="290">
        <v>46278</v>
      </c>
      <c r="P4" s="295">
        <f>YEAR(P5)</f>
        <v>2026</v>
      </c>
    </row>
    <row r="5" spans="1:18" ht="17.25" customHeight="1" x14ac:dyDescent="0.2">
      <c r="D5" s="165">
        <f ca="1">+NOW()</f>
        <v>46279.127873032405</v>
      </c>
      <c r="J5" s="89"/>
      <c r="N5" s="115">
        <v>44278</v>
      </c>
      <c r="O5" s="132" t="s">
        <v>13</v>
      </c>
      <c r="P5" s="133">
        <f>N4</f>
        <v>46278</v>
      </c>
    </row>
    <row r="6" spans="1:18" ht="2.25" customHeight="1" x14ac:dyDescent="0.2"/>
    <row r="7" spans="1:18" s="90" customFormat="1" ht="16.5" x14ac:dyDescent="0.2">
      <c r="E7" s="149" t="s">
        <v>9</v>
      </c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</row>
    <row r="8" spans="1:18" ht="15" x14ac:dyDescent="0.2">
      <c r="E8" s="91" t="s">
        <v>1</v>
      </c>
      <c r="F8" s="91"/>
      <c r="G8" s="91"/>
      <c r="H8" s="92"/>
      <c r="I8" s="93" t="s">
        <v>2</v>
      </c>
      <c r="J8" s="94"/>
      <c r="K8" s="94"/>
      <c r="L8" s="95"/>
      <c r="M8" s="96" t="s">
        <v>3</v>
      </c>
      <c r="N8" s="97"/>
      <c r="O8" s="97"/>
      <c r="P8" s="98"/>
    </row>
    <row r="9" spans="1:18" x14ac:dyDescent="0.2">
      <c r="E9" s="99" t="s">
        <v>10</v>
      </c>
      <c r="F9" s="100"/>
      <c r="G9" s="101" t="s">
        <v>11</v>
      </c>
      <c r="H9" s="100"/>
      <c r="I9" s="101" t="s">
        <v>10</v>
      </c>
      <c r="J9" s="100"/>
      <c r="K9" s="101" t="s">
        <v>11</v>
      </c>
      <c r="L9" s="100"/>
      <c r="M9" s="101" t="s">
        <v>10</v>
      </c>
      <c r="N9" s="100"/>
      <c r="O9" s="101" t="s">
        <v>11</v>
      </c>
      <c r="P9" s="100"/>
    </row>
    <row r="10" spans="1:18" ht="15" customHeight="1" x14ac:dyDescent="0.2">
      <c r="E10" s="102" t="s">
        <v>8</v>
      </c>
      <c r="F10" s="103" t="s">
        <v>12</v>
      </c>
      <c r="G10" s="103" t="s">
        <v>8</v>
      </c>
      <c r="H10" s="103" t="s">
        <v>12</v>
      </c>
      <c r="I10" s="103" t="s">
        <v>8</v>
      </c>
      <c r="J10" s="103" t="s">
        <v>12</v>
      </c>
      <c r="K10" s="103" t="s">
        <v>8</v>
      </c>
      <c r="L10" s="103" t="s">
        <v>12</v>
      </c>
      <c r="M10" s="103" t="s">
        <v>8</v>
      </c>
      <c r="N10" s="103" t="s">
        <v>12</v>
      </c>
      <c r="O10" s="103" t="s">
        <v>8</v>
      </c>
      <c r="P10" s="103" t="s">
        <v>12</v>
      </c>
    </row>
    <row r="11" spans="1:18" ht="15" customHeight="1" thickBot="1" x14ac:dyDescent="0.25">
      <c r="E11" s="104">
        <f>IF(ISNUMBER(LOOKUP($P$5,Courier!$B$15:$B$45,Courier!E15:E45)),LOOKUP($P$5,Courier!$B$15:$B$45,Courier!E15:E45),"Sin dato")</f>
        <v>0.4757004976272583</v>
      </c>
      <c r="F11" s="105">
        <f>IF(ISNUMBER(LOOKUP($P$5,Laboratorio!$B$7:$B$37,Laboratorio!E7:E37)),LOOKUP($P$5,Laboratorio!$B$7:$B$37,Laboratorio!E7:E37),"Sin dato")</f>
        <v>0.47</v>
      </c>
      <c r="G11" s="106" t="str">
        <f>IF(ISNUMBER(LOOKUP($P$5,Courier!$B$15:$B$45,Courier!F15:F45)),LOOKUP($P$5,Courier!$B$15:$B$45,Courier!F15:F45),"Sin dato")</f>
        <v>Sin dato</v>
      </c>
      <c r="H11" s="105" t="str">
        <f>IF(ISNUMBER(LOOKUP($P$5,Laboratorio!$B$7:$B$37,Laboratorio!F7:F37)),LOOKUP($P$5,Laboratorio!$B$7:$B$37,Laboratorio!F7:F37),"Sin dato")</f>
        <v>Sin dato</v>
      </c>
      <c r="I11" s="106">
        <f>IF(ISNUMBER(LOOKUP($P$5,Courier!$B$15:$B$45,Courier!G15:G45)),LOOKUP($P$5,Courier!$B$15:$B$45,Courier!G15:G45),"Sin dato")</f>
        <v>2.761489525437355E-2</v>
      </c>
      <c r="J11" s="105">
        <f>IF(ISNUMBER(LOOKUP($P$5,Laboratorio!$B$7:$B$37,Laboratorio!G7:G37)),LOOKUP($P$5,Laboratorio!$B$7:$B$37,Laboratorio!G7:G37),"Sin dato")</f>
        <v>3.4000000000000002E-2</v>
      </c>
      <c r="K11" s="106" t="str">
        <f>IF(ISNUMBER(LOOKUP($P$5,Courier!$B$15:$B$45,Courier!H15:H45)),LOOKUP($P$5,Courier!$B$15:$B$45,Courier!H15:H45),"Sin dato")</f>
        <v>Sin dato</v>
      </c>
      <c r="L11" s="105" t="str">
        <f>IF(ISNUMBER(LOOKUP($P$5,Laboratorio!$B$7:$B$37,Laboratorio!H7:H37)),LOOKUP($P$5,Laboratorio!$B$7:$B$37,Laboratorio!H7:H37),"Sin dato")</f>
        <v>Sin dato</v>
      </c>
      <c r="M11" s="106">
        <f>IF(ISNUMBER(LOOKUP($P$5,Courier!$B$15:$B$45,Courier!I15:I45)),LOOKUP($P$5,Courier!$B$15:$B$45,Courier!I15:I45),"Sin dato")</f>
        <v>1.8959189653396606</v>
      </c>
      <c r="N11" s="105">
        <f>IF(ISNUMBER(LOOKUP($P$5,Laboratorio!$B$7:$B$37,Laboratorio!I7:I37)),LOOKUP($P$5,Laboratorio!$B$7:$B$37,Laboratorio!I7:I37),"Sin dato")</f>
        <v>1.8620000000000001</v>
      </c>
      <c r="O11" s="106" t="str">
        <f>IF(ISNUMBER(LOOKUP($P$5,Courier!$B$15:$B$45,Courier!J15:J45)),LOOKUP($P$5,Courier!$B$15:$B$45,Courier!J15:J45),"Sin dato")</f>
        <v>Sin dato</v>
      </c>
      <c r="P11" s="105" t="str">
        <f>IF(ISNUMBER(LOOKUP($P$5,Laboratorio!$B$7:$B$37,Laboratorio!J7:J37)),LOOKUP($P$5,Laboratorio!$B$7:$B$37,Laboratorio!J7:J37),"Sin dato")</f>
        <v>Sin dato</v>
      </c>
    </row>
    <row r="12" spans="1:18" ht="15" customHeight="1" thickTop="1" x14ac:dyDescent="0.2">
      <c r="C12" s="107"/>
      <c r="D12" s="154" t="s">
        <v>99</v>
      </c>
      <c r="E12" s="291">
        <f>IF(ISNUMBER(F11-E11),F11-E11,"Sin dato")</f>
        <v>-5.7004976272583274E-3</v>
      </c>
      <c r="F12" s="113">
        <f>IF(ISNUMBER(E12),(ABS(E12))/F11*100,"Sin dato")</f>
        <v>1.2128718355868782</v>
      </c>
      <c r="G12" s="292" t="str">
        <f>IF(ISNUMBER(H11-G11),H11-G11,"Sin dato")</f>
        <v>Sin dato</v>
      </c>
      <c r="H12" s="113" t="str">
        <f>IF(ISNUMBER(G12),(ABS(G12))/H11*100,"Sin dato")</f>
        <v>Sin dato</v>
      </c>
      <c r="I12" s="292">
        <f>IF(ISNUMBER(J11-I11),J11-I11,"Sin dato")</f>
        <v>6.385104745626452E-3</v>
      </c>
      <c r="J12" s="113">
        <f>IF(ISNUMBER(I12),(ABS(I12))/J11*100,"Sin dato")</f>
        <v>18.779719840077799</v>
      </c>
      <c r="K12" s="292" t="str">
        <f>IF(ISNUMBER(L11-K11),L11-K11,"Sin dato")</f>
        <v>Sin dato</v>
      </c>
      <c r="L12" s="113" t="str">
        <f>IF(ISNUMBER(K12),(ABS(K12))/L11*100,"Sin dato")</f>
        <v>Sin dato</v>
      </c>
      <c r="M12" s="292">
        <f>IF(ISNUMBER(N11-M11),N11-M11,"Sin dato")</f>
        <v>-3.3918965339660545E-2</v>
      </c>
      <c r="N12" s="113">
        <f>IF(ISNUMBER(M12),(ABS(M12))/N11*100,"Sin dato")</f>
        <v>1.8216415327422419</v>
      </c>
      <c r="O12" s="292" t="str">
        <f>IF(ISNUMBER(P11-O11),P11-O11,"Sin dato")</f>
        <v>Sin dato</v>
      </c>
      <c r="P12" s="113" t="str">
        <f>IF(ISNUMBER(O12),(ABS(O12))/P11*100,"Sin dato")</f>
        <v>Sin dato</v>
      </c>
      <c r="R12" s="166"/>
    </row>
    <row r="13" spans="1:18" ht="4.5" customHeight="1" x14ac:dyDescent="0.2">
      <c r="C13" s="107"/>
      <c r="E13" s="261"/>
      <c r="F13" s="262"/>
      <c r="G13" s="261"/>
      <c r="H13" s="277"/>
      <c r="I13" s="278"/>
      <c r="J13" s="262"/>
      <c r="K13" s="261"/>
      <c r="L13" s="277"/>
      <c r="M13" s="252"/>
      <c r="N13" s="260"/>
      <c r="O13" s="252"/>
      <c r="P13" s="260"/>
      <c r="R13" s="166"/>
    </row>
    <row r="14" spans="1:18" ht="15" customHeight="1" x14ac:dyDescent="0.2">
      <c r="E14" s="108" t="s">
        <v>44</v>
      </c>
      <c r="F14" s="108"/>
      <c r="G14" s="108"/>
      <c r="H14" s="109"/>
      <c r="I14" s="110" t="s">
        <v>45</v>
      </c>
      <c r="J14" s="111"/>
      <c r="K14" s="111"/>
      <c r="L14" s="112"/>
    </row>
    <row r="15" spans="1:18" ht="15" customHeight="1" x14ac:dyDescent="0.2">
      <c r="E15" s="99" t="s">
        <v>10</v>
      </c>
      <c r="F15" s="100"/>
      <c r="G15" s="101" t="s">
        <v>11</v>
      </c>
      <c r="H15" s="100"/>
      <c r="I15" s="101" t="s">
        <v>10</v>
      </c>
      <c r="J15" s="100"/>
      <c r="K15" s="101" t="s">
        <v>11</v>
      </c>
      <c r="L15" s="100"/>
    </row>
    <row r="16" spans="1:18" ht="15" customHeight="1" x14ac:dyDescent="0.2">
      <c r="E16" s="102" t="s">
        <v>8</v>
      </c>
      <c r="F16" s="103" t="s">
        <v>12</v>
      </c>
      <c r="G16" s="103" t="s">
        <v>8</v>
      </c>
      <c r="H16" s="103" t="s">
        <v>12</v>
      </c>
      <c r="I16" s="103" t="s">
        <v>8</v>
      </c>
      <c r="J16" s="103" t="s">
        <v>12</v>
      </c>
      <c r="K16" s="103" t="s">
        <v>8</v>
      </c>
      <c r="L16" s="103" t="s">
        <v>12</v>
      </c>
    </row>
    <row r="17" spans="4:16" ht="15" customHeight="1" thickBot="1" x14ac:dyDescent="0.25">
      <c r="E17" s="104">
        <f>IF(ISNUMBER(LOOKUP($P$5,Courier!$B$15:$B$45,Courier!K15:K45)),LOOKUP($P$5,Courier!$B$15:$B$45,Courier!K15:K45),"Sin dato")</f>
        <v>7.9368008300662041E-3</v>
      </c>
      <c r="F17" s="105">
        <f>IF(ISNUMBER(LOOKUP($P$5,Laboratorio!$B$7:$B$37,Laboratorio!K7:K37)),LOOKUP($P$5,Laboratorio!$B$7:$B$37,Laboratorio!K7:K37),"Sin dato")</f>
        <v>7.0000000000000001E-3</v>
      </c>
      <c r="G17" s="106" t="str">
        <f>IF(ISNUMBER(LOOKUP($P$5,Courier!$B$15:$B$45,Courier!L15:L45)),LOOKUP($P$5,Courier!$B$15:$B$45,Courier!L15:L45),"Sin dato")</f>
        <v>Sin dato</v>
      </c>
      <c r="H17" s="105" t="str">
        <f>IF(ISNUMBER(LOOKUP($P$5,Laboratorio!$B$7:$B$37,Laboratorio!L7:L37)),LOOKUP($P$5,Laboratorio!$B$7:$B$37,Laboratorio!L7:L37),"Sin dato")</f>
        <v>Sin dato</v>
      </c>
      <c r="I17" s="106" t="str">
        <f>IF(ISNUMBER(LOOKUP($P$5,Courier!$B$15:$B$45,Courier!M15:M45)),LOOKUP($P$5,Courier!$B$15:$B$45,Courier!M15:M45),"Sin dato")</f>
        <v>Sin dato</v>
      </c>
      <c r="J17" s="105" t="str">
        <f>IF(ISNUMBER(LOOKUP($P$5,Laboratorio!$B$7:$B$37,Laboratorio!M7:M37)),LOOKUP($P$5,Laboratorio!$B$7:$B$37,Laboratorio!M7:M37),"Sin dato")</f>
        <v>Sin dato</v>
      </c>
      <c r="K17" s="106" t="str">
        <f ca="1">IF(ISNUMBER(LOOKUP($P$5,Courier!$B$4:$B$15,Courier!N15:N45)),LOOKUP($P$5,Courier!$B$15:$B$45,Courier!N15:N45),"Sin dato")</f>
        <v>Sin dato</v>
      </c>
      <c r="L17" s="105" t="str">
        <f>IF(ISNUMBER(LOOKUP($P$5,Laboratorio!$B$7:$B$37,Laboratorio!N7:N37)),LOOKUP($P$5,Laboratorio!$B$7:$B$37,Laboratorio!N7:N37),"Sin dato")</f>
        <v>Sin dato</v>
      </c>
    </row>
    <row r="18" spans="4:16" ht="15" customHeight="1" thickTop="1" x14ac:dyDescent="0.2">
      <c r="D18" s="154" t="s">
        <v>99</v>
      </c>
      <c r="E18" s="291">
        <f>IF(ISNUMBER(F17-E17),F17-E17,"Sin dato")</f>
        <v>-9.3680083006620393E-4</v>
      </c>
      <c r="F18" s="113">
        <f>IF(ISNUMBER(E18),(ABS(E18))/F17*100,"Sin dato")</f>
        <v>13.382869000945771</v>
      </c>
      <c r="G18" s="292" t="str">
        <f>IF(ISNUMBER(H17-G17),H17-G17,"Sin dato")</f>
        <v>Sin dato</v>
      </c>
      <c r="H18" s="113" t="str">
        <f>IF(ISNUMBER(G18),(ABS(G18))/H17*100,"Sin dato")</f>
        <v>Sin dato</v>
      </c>
      <c r="I18" s="114" t="str">
        <f>IF(ISNUMBER(J17-I17),J17-I17,"Sin dato")</f>
        <v>Sin dato</v>
      </c>
      <c r="J18" s="113" t="str">
        <f>IF(ISNUMBER(I18),(ABS(I18))/J17*100,"Sin dato")</f>
        <v>Sin dato</v>
      </c>
      <c r="K18" s="114" t="str">
        <f ca="1">IF(ISNUMBER(L17-K17),L17-K17,"Sin dato")</f>
        <v>Sin dato</v>
      </c>
      <c r="L18" s="113" t="str">
        <f ca="1">IF(ISNUMBER(K18),(ABS(K18))/L17*100,"Sin dato")</f>
        <v>Sin dato</v>
      </c>
    </row>
    <row r="19" spans="4:16" ht="9" customHeight="1" x14ac:dyDescent="0.2">
      <c r="E19" s="89"/>
    </row>
    <row r="20" spans="4:16" ht="16.5" x14ac:dyDescent="0.2">
      <c r="E20" s="149" t="s">
        <v>4</v>
      </c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1"/>
    </row>
    <row r="21" spans="4:16" ht="15" x14ac:dyDescent="0.2">
      <c r="E21" s="91" t="s">
        <v>1</v>
      </c>
      <c r="F21" s="91"/>
      <c r="G21" s="91"/>
      <c r="H21" s="92"/>
      <c r="I21" s="93" t="s">
        <v>2</v>
      </c>
      <c r="J21" s="94"/>
      <c r="K21" s="94"/>
      <c r="L21" s="95"/>
      <c r="M21" s="96" t="s">
        <v>3</v>
      </c>
      <c r="N21" s="97"/>
      <c r="O21" s="97"/>
      <c r="P21" s="98"/>
    </row>
    <row r="22" spans="4:16" x14ac:dyDescent="0.2">
      <c r="E22" s="99" t="s">
        <v>10</v>
      </c>
      <c r="F22" s="100"/>
      <c r="G22" s="101" t="s">
        <v>11</v>
      </c>
      <c r="H22" s="100"/>
      <c r="I22" s="101" t="s">
        <v>10</v>
      </c>
      <c r="J22" s="100"/>
      <c r="K22" s="101" t="s">
        <v>11</v>
      </c>
      <c r="L22" s="100"/>
      <c r="M22" s="101" t="s">
        <v>10</v>
      </c>
      <c r="N22" s="100"/>
      <c r="O22" s="101" t="s">
        <v>11</v>
      </c>
      <c r="P22" s="100"/>
    </row>
    <row r="23" spans="4:16" ht="15.75" customHeight="1" x14ac:dyDescent="0.2">
      <c r="E23" s="102" t="s">
        <v>8</v>
      </c>
      <c r="F23" s="103" t="s">
        <v>12</v>
      </c>
      <c r="G23" s="103" t="s">
        <v>8</v>
      </c>
      <c r="H23" s="103" t="s">
        <v>12</v>
      </c>
      <c r="I23" s="103" t="s">
        <v>8</v>
      </c>
      <c r="J23" s="103" t="s">
        <v>12</v>
      </c>
      <c r="K23" s="103" t="s">
        <v>8</v>
      </c>
      <c r="L23" s="103" t="s">
        <v>12</v>
      </c>
      <c r="M23" s="103" t="s">
        <v>8</v>
      </c>
      <c r="N23" s="103" t="s">
        <v>12</v>
      </c>
      <c r="O23" s="103" t="s">
        <v>8</v>
      </c>
      <c r="P23" s="103" t="s">
        <v>12</v>
      </c>
    </row>
    <row r="24" spans="4:16" ht="15.75" customHeight="1" thickBot="1" x14ac:dyDescent="0.25">
      <c r="E24" s="104">
        <f>IF(ISNUMBER(LOOKUP($P$5,Courier!$B$15:$B$45,Courier!O15:O45)),LOOKUP($P$5,Courier!$B$15:$B$45,Courier!O15:O45),"Sin dato")</f>
        <v>4.7551747411489487E-2</v>
      </c>
      <c r="F24" s="105">
        <f>IF(ISNUMBER(LOOKUP($P$5,Laboratorio!$B$7:$B$37,Laboratorio!O7:O37)),LOOKUP($P$5,Laboratorio!$B$7:$B$37,Laboratorio!O7:O37),"Sin dato")</f>
        <v>5.8000000000000003E-2</v>
      </c>
      <c r="G24" s="104" t="str">
        <f>IF(ISNUMBER(LOOKUP($P$5,Courier!$B$15:$B$45,Courier!P15:P45)),LOOKUP($P$5,Courier!$B$15:$B$45,Courier!P15:P45),"Sin dato")</f>
        <v>Sin dato</v>
      </c>
      <c r="H24" s="105" t="str">
        <f>IF(ISNUMBER(LOOKUP($P$5,Laboratorio!$B$7:$B$37,Laboratorio!P7:P37)),LOOKUP($P$5,Laboratorio!$B$7:$B$37,Laboratorio!P7:P37),"Sin dato")</f>
        <v>Sin dato</v>
      </c>
      <c r="I24" s="104">
        <f>IF(ISNUMBER(LOOKUP($P$5,Courier!$B$15:$B$45,Courier!Q15:Q45)),LOOKUP($P$5,Courier!$B$15:$B$45,Courier!Q15:Q45),"Sin dato")</f>
        <v>1.1307978071272373E-2</v>
      </c>
      <c r="J24" s="105">
        <f>IF(ISNUMBER(LOOKUP($P$5,Laboratorio!$B$7:$B$37,Laboratorio!Q7:Q37)),LOOKUP($P$5,Laboratorio!$B$7:$B$37,Laboratorio!Q7:Q37),"Sin dato")</f>
        <v>7.0000000000000001E-3</v>
      </c>
      <c r="K24" s="104" t="str">
        <f>IF(ISNUMBER(LOOKUP($P$5,Courier!$B$15:$B$45,Courier!R15:R45)),LOOKUP($P$5,Courier!$B$15:$B$45,Courier!R15:R45),"Sin dato")</f>
        <v>Sin dato</v>
      </c>
      <c r="L24" s="105" t="str">
        <f>IF(ISNUMBER(LOOKUP($P$5,Laboratorio!$B$7:$B$37,Laboratorio!R7:R37)),LOOKUP($P$5,Laboratorio!$B$7:$B$37,Laboratorio!R7:R37),"Sin dato")</f>
        <v>Sin dato</v>
      </c>
      <c r="M24" s="104">
        <f>IF(ISNUMBER(LOOKUP($P$5,Courier!$B$15:$B$45,Courier!S15:S45)),LOOKUP($P$5,Courier!$B$15:$B$45,Courier!S15:S45),"Sin dato")</f>
        <v>1.1370348930358887</v>
      </c>
      <c r="N24" s="105">
        <f>IF(ISNUMBER(LOOKUP($P$5,Laboratorio!$B$7:$B$37,Laboratorio!S7:S37)),LOOKUP($P$5,Laboratorio!$B$7:$B$37,Laboratorio!S7:S37),"Sin dato")</f>
        <v>1.3420000000000001</v>
      </c>
      <c r="O24" s="104" t="str">
        <f>IF(ISNUMBER(LOOKUP($P$5,Courier!$B$15:$B$45,Courier!T15:T45)),LOOKUP($P$5,Courier!$B$15:$B$45,Courier!T15:T45),"Sin dato")</f>
        <v>Sin dato</v>
      </c>
      <c r="P24" s="105" t="str">
        <f>IF(ISNUMBER(LOOKUP($P$5,Laboratorio!$B$7:$B$37,Laboratorio!T7:T37)),LOOKUP($P$5,Laboratorio!$B$7:$B$37,Laboratorio!T7:T37),"Sin dato")</f>
        <v>Sin dato</v>
      </c>
    </row>
    <row r="25" spans="4:16" ht="15.75" customHeight="1" thickTop="1" x14ac:dyDescent="0.2">
      <c r="D25" s="154" t="s">
        <v>99</v>
      </c>
      <c r="E25" s="291">
        <f>IF(ISNUMBER(F24-E24),F24-E24,"Sin dato")</f>
        <v>1.0448252588510516E-2</v>
      </c>
      <c r="F25" s="113">
        <f>IF(ISNUMBER(E25),(ABS(E25))/F24*100,"Sin dato")</f>
        <v>18.014228600880202</v>
      </c>
      <c r="G25" s="292" t="str">
        <f>IF(ISNUMBER(H24-G24),H24-G24,"Sin dato")</f>
        <v>Sin dato</v>
      </c>
      <c r="H25" s="113" t="str">
        <f>IF(ISNUMBER(G25),(ABS(G25))/H24*100,"Sin dato")</f>
        <v>Sin dato</v>
      </c>
      <c r="I25" s="292">
        <f>IF(ISNUMBER(J24-I24),J24-I24,"Sin dato")</f>
        <v>-4.3079780712723731E-3</v>
      </c>
      <c r="J25" s="113">
        <f>IF(ISNUMBER(I25),(ABS(I25))/J24*100,"Sin dato")</f>
        <v>61.542543875319609</v>
      </c>
      <c r="K25" s="292" t="str">
        <f>IF(ISNUMBER(L24-K24),L24-K24,"Sin dato")</f>
        <v>Sin dato</v>
      </c>
      <c r="L25" s="113" t="str">
        <f>IF(ISNUMBER(K25),(ABS(K25))/L24*100,"Sin dato")</f>
        <v>Sin dato</v>
      </c>
      <c r="M25" s="292">
        <f>IF(ISNUMBER(N24-M24),N24-M24,"Sin dato")</f>
        <v>0.20496510696411141</v>
      </c>
      <c r="N25" s="113">
        <f>IF(ISNUMBER(M25),(ABS(M25))/N24*100,"Sin dato")</f>
        <v>15.273107821468807</v>
      </c>
      <c r="O25" s="292" t="str">
        <f>IF(ISNUMBER(P24-O24),P24-O24,"Sin dato")</f>
        <v>Sin dato</v>
      </c>
      <c r="P25" s="113" t="str">
        <f>IF(ISNUMBER(O25),(ABS(O25))/P24*100,"Sin dato")</f>
        <v>Sin dato</v>
      </c>
    </row>
    <row r="26" spans="4:16" ht="9.75" customHeight="1" x14ac:dyDescent="0.2"/>
    <row r="27" spans="4:16" ht="16.5" x14ac:dyDescent="0.2">
      <c r="E27" s="149" t="s">
        <v>5</v>
      </c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1"/>
    </row>
    <row r="28" spans="4:16" ht="15" x14ac:dyDescent="0.2">
      <c r="E28" s="91" t="s">
        <v>1</v>
      </c>
      <c r="F28" s="91"/>
      <c r="G28" s="91"/>
      <c r="H28" s="92"/>
      <c r="I28" s="93" t="s">
        <v>2</v>
      </c>
      <c r="J28" s="94"/>
      <c r="K28" s="94"/>
      <c r="L28" s="95"/>
      <c r="M28" s="96" t="s">
        <v>3</v>
      </c>
      <c r="N28" s="97"/>
      <c r="O28" s="97"/>
      <c r="P28" s="98"/>
    </row>
    <row r="29" spans="4:16" x14ac:dyDescent="0.2">
      <c r="E29" s="99" t="s">
        <v>10</v>
      </c>
      <c r="F29" s="100"/>
      <c r="G29" s="101" t="s">
        <v>11</v>
      </c>
      <c r="H29" s="100"/>
      <c r="I29" s="101" t="s">
        <v>10</v>
      </c>
      <c r="J29" s="100"/>
      <c r="K29" s="101" t="s">
        <v>11</v>
      </c>
      <c r="L29" s="100"/>
      <c r="M29" s="101" t="s">
        <v>10</v>
      </c>
      <c r="N29" s="100"/>
      <c r="O29" s="101" t="s">
        <v>11</v>
      </c>
      <c r="P29" s="100"/>
    </row>
    <row r="30" spans="4:16" ht="15.75" customHeight="1" x14ac:dyDescent="0.2">
      <c r="E30" s="102" t="s">
        <v>8</v>
      </c>
      <c r="F30" s="103" t="s">
        <v>12</v>
      </c>
      <c r="G30" s="103" t="s">
        <v>8</v>
      </c>
      <c r="H30" s="103" t="s">
        <v>12</v>
      </c>
      <c r="I30" s="103" t="s">
        <v>8</v>
      </c>
      <c r="J30" s="103" t="s">
        <v>12</v>
      </c>
      <c r="K30" s="103" t="s">
        <v>8</v>
      </c>
      <c r="L30" s="103" t="s">
        <v>12</v>
      </c>
      <c r="M30" s="103" t="s">
        <v>8</v>
      </c>
      <c r="N30" s="103" t="s">
        <v>12</v>
      </c>
      <c r="O30" s="103" t="s">
        <v>8</v>
      </c>
      <c r="P30" s="103" t="s">
        <v>12</v>
      </c>
    </row>
    <row r="31" spans="4:16" ht="15.75" customHeight="1" thickBot="1" x14ac:dyDescent="0.25">
      <c r="E31" s="104">
        <f>IF(ISNUMBER(LOOKUP($P$5,Courier!$B$15:$B$45,Courier!W15:W45)),LOOKUP($P$5,Courier!$B$15:$B$45,Courier!W15:W45),"Sin dato")</f>
        <v>22.85106086730957</v>
      </c>
      <c r="F31" s="105">
        <f>IF(ISNUMBER(LOOKUP($P$5,Laboratorio!$B$7:$B$37,Laboratorio!U7:U37)),LOOKUP($P$5,Laboratorio!$B$7:$B$37,Laboratorio!U7:U37),"Sin dato")</f>
        <v>23.077999999999999</v>
      </c>
      <c r="G31" s="104" t="str">
        <f>IF(ISNUMBER(LOOKUP($P$5,Courier!$B$15:$B$45,Courier!X15:X45)),LOOKUP($P$5,Courier!$B$15:$B$45,Courier!X15:X45),"Sin dato")</f>
        <v>Sin dato</v>
      </c>
      <c r="H31" s="105" t="str">
        <f>IF(ISNUMBER(LOOKUP($P$5,Laboratorio!$B$7:$B$37,Laboratorio!V7:V37)),LOOKUP($P$5,Laboratorio!$B$7:$B$37,Laboratorio!V7:V37),"Sin dato")</f>
        <v>Sin dato</v>
      </c>
      <c r="I31" s="104">
        <f>IF(ISNUMBER(LOOKUP($P$5,Courier!$B$15:$B$45,Courier!Y15:Y45)),LOOKUP($P$5,Courier!$B$15:$B$45,Courier!Y15:Y45),"Sin dato")</f>
        <v>1.6234313249588013</v>
      </c>
      <c r="J31" s="105">
        <f>IF(ISNUMBER(LOOKUP($P$5,Laboratorio!$B$7:$B$37,Laboratorio!W7:W37)),LOOKUP($P$5,Laboratorio!$B$7:$B$37,Laboratorio!W7:W37),"Sin dato")</f>
        <v>1.899</v>
      </c>
      <c r="K31" s="104" t="str">
        <f>IF(ISNUMBER(LOOKUP($P$5,Courier!$B$15:$B$45,Courier!Z15:Z45)),LOOKUP($P$5,Courier!$B$15:$B$45,Courier!Z15:Z45),"Sin dato")</f>
        <v>Sin dato</v>
      </c>
      <c r="L31" s="105" t="str">
        <f>IF(ISNUMBER(LOOKUP($P$5,Laboratorio!$B$7:$B$37,Laboratorio!X7:X37)),LOOKUP($P$5,Laboratorio!$B$7:$B$37,Laboratorio!X7:X37),"Sin dato")</f>
        <v>Sin dato</v>
      </c>
      <c r="M31" s="104">
        <f>IF(ISNUMBER(LOOKUP($P$5,Courier!$B$15:$B$45,Courier!AA15:AA45)),LOOKUP($P$5,Courier!$B$15:$B$45,Courier!AA15:AA45),"Sin dato")</f>
        <v>28.092273712158203</v>
      </c>
      <c r="N31" s="105">
        <f>IF(ISNUMBER(LOOKUP($P$5,Laboratorio!$B$7:$B$37,Laboratorio!Y7:Y37)),LOOKUP($P$5,Laboratorio!$B$7:$B$37,Laboratorio!Y7:Y37),"Sin dato")</f>
        <v>29.47</v>
      </c>
      <c r="O31" s="104" t="str">
        <f>IF(ISNUMBER(LOOKUP($P$5,Courier!$B$15:$B$45,Courier!AB15:AB45)),LOOKUP($P$5,Courier!$B$15:$B$45,Courier!AB15:AB45),"Sin dato")</f>
        <v>Sin dato</v>
      </c>
      <c r="P31" s="105" t="str">
        <f>IF(ISNUMBER(LOOKUP($P$5,Laboratorio!$B$7:$B$37,Laboratorio!Z7:Z37)),LOOKUP($P$5,Laboratorio!$B$7:$B$37,Laboratorio!Z7:Z37),"Sin dato")</f>
        <v>Sin dato</v>
      </c>
    </row>
    <row r="32" spans="4:16" ht="15.75" customHeight="1" thickTop="1" x14ac:dyDescent="0.2">
      <c r="D32" s="154" t="s">
        <v>99</v>
      </c>
      <c r="E32" s="291">
        <f>IF(ISNUMBER(F31-E31),F31-E31,"Sin dato")</f>
        <v>0.22693913269042909</v>
      </c>
      <c r="F32" s="113">
        <f>IF(ISNUMBER(E32),(ABS(E32))/F31*100,"Sin dato")</f>
        <v>0.98335701833100408</v>
      </c>
      <c r="G32" s="292" t="str">
        <f>IF(ISNUMBER(H31-G31),H31-G31,"Sin dato")</f>
        <v>Sin dato</v>
      </c>
      <c r="H32" s="113" t="str">
        <f>IF(ISNUMBER(G32),(ABS(G32))/H31*100,"Sin dato")</f>
        <v>Sin dato</v>
      </c>
      <c r="I32" s="292">
        <f>IF(ISNUMBER(J31-I31),J31-I31,"Sin dato")</f>
        <v>0.27556867504119875</v>
      </c>
      <c r="J32" s="113">
        <f>IF(ISNUMBER(I32),(ABS(I32))/J31*100,"Sin dato")</f>
        <v>14.511251976893035</v>
      </c>
      <c r="K32" s="292" t="str">
        <f>IF(ISNUMBER(L31-K31),L31-K31,"Sin dato")</f>
        <v>Sin dato</v>
      </c>
      <c r="L32" s="113" t="str">
        <f>IF(ISNUMBER(K32),(ABS(K32))/L31*100,"Sin dato")</f>
        <v>Sin dato</v>
      </c>
      <c r="M32" s="292">
        <f>IF(ISNUMBER(N31-M31),N31-M31,"Sin dato")</f>
        <v>1.3777262878417957</v>
      </c>
      <c r="N32" s="113">
        <f>IF(ISNUMBER(M32),(ABS(M32))/N31*100,"Sin dato")</f>
        <v>4.6750128532127437</v>
      </c>
      <c r="O32" s="292" t="str">
        <f>IF(ISNUMBER(P31-O31),P31-O31,"Sin dato")</f>
        <v>Sin dato</v>
      </c>
      <c r="P32" s="113" t="str">
        <f>IF(ISNUMBER(O32),(ABS(O32))/P31*100,"Sin dato")</f>
        <v>Sin dato</v>
      </c>
    </row>
    <row r="33" spans="1:17" ht="5.25" customHeight="1" x14ac:dyDescent="0.2">
      <c r="D33" s="154"/>
      <c r="E33" s="261"/>
      <c r="F33" s="262"/>
      <c r="G33" s="261"/>
      <c r="H33" s="277"/>
      <c r="I33" s="278"/>
      <c r="J33" s="262"/>
      <c r="K33" s="261"/>
      <c r="L33" s="277"/>
      <c r="M33" s="252"/>
      <c r="N33" s="260"/>
      <c r="O33" s="252"/>
      <c r="P33" s="260"/>
    </row>
    <row r="34" spans="1:17" ht="15" x14ac:dyDescent="0.2">
      <c r="E34" s="282" t="s">
        <v>236</v>
      </c>
      <c r="F34" s="282"/>
      <c r="G34" s="282"/>
      <c r="H34" s="283"/>
      <c r="I34" s="110" t="s">
        <v>45</v>
      </c>
      <c r="J34" s="111"/>
      <c r="K34" s="111"/>
      <c r="L34" s="112"/>
    </row>
    <row r="35" spans="1:17" x14ac:dyDescent="0.2">
      <c r="E35" s="99" t="s">
        <v>10</v>
      </c>
      <c r="F35" s="100"/>
      <c r="G35" s="101" t="s">
        <v>11</v>
      </c>
      <c r="H35" s="100"/>
      <c r="I35" s="101" t="s">
        <v>10</v>
      </c>
      <c r="J35" s="100"/>
      <c r="K35" s="101" t="s">
        <v>11</v>
      </c>
      <c r="L35" s="100"/>
    </row>
    <row r="36" spans="1:17" x14ac:dyDescent="0.2">
      <c r="E36" s="102" t="s">
        <v>8</v>
      </c>
      <c r="F36" s="103" t="s">
        <v>12</v>
      </c>
      <c r="G36" s="103" t="s">
        <v>8</v>
      </c>
      <c r="H36" s="103" t="s">
        <v>12</v>
      </c>
      <c r="I36" s="103" t="s">
        <v>8</v>
      </c>
      <c r="J36" s="103" t="s">
        <v>12</v>
      </c>
      <c r="K36" s="103" t="s">
        <v>8</v>
      </c>
      <c r="L36" s="103" t="s">
        <v>12</v>
      </c>
    </row>
    <row r="37" spans="1:17" ht="16.5" thickBot="1" x14ac:dyDescent="0.25">
      <c r="E37" s="104">
        <f>IF(ISNUMBER(LOOKUP($P$5,Courier!$B$15:$B$45,Courier!AC15:AC45)),LOOKUP($P$5,Courier!$B$15:$B$45,Courier!AC15:AC45),"Sin dato")</f>
        <v>12.394271632420351</v>
      </c>
      <c r="F37" s="105">
        <f>IF(ISNUMBER(LOOKUP($P$5,Laboratorio!$B$7:$B$37,Laboratorio!AA7:AA37)),LOOKUP($P$5,Laboratorio!$B$7:$B$37,Laboratorio!AA7:AA37),"Sin dato")</f>
        <v>13.18</v>
      </c>
      <c r="G37" s="106">
        <f>IF(ISNUMBER(LOOKUP($P$5,Courier!$B$15:$B$45,Courier!AD15:AD45)),LOOKUP($P$5,Courier!$B$15:$B$45,Courier!AD15:AD45),"Sin dato")</f>
        <v>14.388977212425793</v>
      </c>
      <c r="H37" s="105" t="str">
        <f>IF(ISNUMBER(LOOKUP($P$5,Laboratorio!$B$7:$B$37,Laboratorio!AB7:AB37)),LOOKUP($P$5,Laboratorio!$B$7:$B$37,Laboratorio!AB7:AB37),"Sin dato")</f>
        <v>Sin dato</v>
      </c>
      <c r="I37" s="106" t="s">
        <v>239</v>
      </c>
      <c r="J37" s="105" t="s">
        <v>239</v>
      </c>
      <c r="K37" s="106" t="s">
        <v>239</v>
      </c>
      <c r="L37" s="105" t="s">
        <v>239</v>
      </c>
    </row>
    <row r="38" spans="1:17" s="279" customFormat="1" ht="13.5" thickTop="1" x14ac:dyDescent="0.2">
      <c r="D38" s="280" t="s">
        <v>99</v>
      </c>
      <c r="E38" s="291">
        <f>IF(ISNUMBER(F37-E37),F37-E37,"Sin dato")</f>
        <v>0.78572836757964915</v>
      </c>
      <c r="F38" s="113">
        <f>IF(ISNUMBER(E38),(ABS(E38))/F37*100,"Sin dato")</f>
        <v>5.9615202396028009</v>
      </c>
      <c r="G38" s="292" t="str">
        <f>IF(ISNUMBER(H37-G37),H37-G37,"Sin dato")</f>
        <v>Sin dato</v>
      </c>
      <c r="H38" s="113" t="str">
        <f>IF(ISNUMBER(G38),(ABS(G38))/H37*100,"Sin dato")</f>
        <v>Sin dato</v>
      </c>
      <c r="I38" s="258" t="s">
        <v>239</v>
      </c>
      <c r="J38" s="281" t="s">
        <v>239</v>
      </c>
      <c r="K38" s="258" t="s">
        <v>239</v>
      </c>
      <c r="L38" s="281" t="s">
        <v>239</v>
      </c>
    </row>
    <row r="39" spans="1:17" ht="8.25" customHeight="1" x14ac:dyDescent="0.2"/>
    <row r="40" spans="1:17" ht="4.5" customHeight="1" x14ac:dyDescent="0.2"/>
    <row r="41" spans="1:17" ht="15.75" customHeight="1" x14ac:dyDescent="0.2">
      <c r="E41" s="370" t="s">
        <v>58</v>
      </c>
      <c r="F41" s="371"/>
      <c r="G41" s="371"/>
      <c r="H41" s="372"/>
      <c r="I41" s="349" t="s">
        <v>59</v>
      </c>
      <c r="J41" s="350"/>
      <c r="K41" s="350"/>
      <c r="L41" s="351"/>
    </row>
    <row r="42" spans="1:17" ht="15.75" customHeight="1" x14ac:dyDescent="0.2">
      <c r="E42" s="101" t="s">
        <v>10</v>
      </c>
      <c r="F42" s="100"/>
      <c r="G42" s="101" t="s">
        <v>11</v>
      </c>
      <c r="H42" s="100"/>
      <c r="I42" s="101" t="s">
        <v>10</v>
      </c>
      <c r="J42" s="100"/>
      <c r="K42" s="101" t="s">
        <v>11</v>
      </c>
      <c r="L42" s="100"/>
    </row>
    <row r="43" spans="1:17" ht="15.75" customHeight="1" x14ac:dyDescent="0.2">
      <c r="A43" s="62">
        <f>P5+6.5/24</f>
        <v>46278.270833333336</v>
      </c>
      <c r="E43" s="103" t="s">
        <v>8</v>
      </c>
      <c r="F43" s="103" t="s">
        <v>12</v>
      </c>
      <c r="G43" s="103" t="s">
        <v>8</v>
      </c>
      <c r="H43" s="103" t="s">
        <v>12</v>
      </c>
      <c r="I43" s="103" t="s">
        <v>8</v>
      </c>
      <c r="J43" s="103" t="s">
        <v>12</v>
      </c>
      <c r="K43" s="103" t="s">
        <v>8</v>
      </c>
      <c r="L43" s="103" t="s">
        <v>12</v>
      </c>
      <c r="M43" s="89"/>
      <c r="N43" s="89"/>
      <c r="O43" s="89"/>
      <c r="P43" s="89"/>
      <c r="Q43" s="89"/>
    </row>
    <row r="44" spans="1:17" ht="15.75" customHeight="1" x14ac:dyDescent="0.2">
      <c r="A44" s="62"/>
      <c r="E44" s="106">
        <f t="shared" ref="E44:L44" si="0">IF(ISNUMBER(E31*(E11-E24)/(E11*(E31-E24))*100),E31*(E11-E24)/(E11*(E31-E24))*100,"Sin dato")</f>
        <v>90.191530856850292</v>
      </c>
      <c r="F44" s="106">
        <f t="shared" si="0"/>
        <v>87.880436992809194</v>
      </c>
      <c r="G44" s="106" t="str">
        <f t="shared" si="0"/>
        <v>Sin dato</v>
      </c>
      <c r="H44" s="106" t="str">
        <f t="shared" si="0"/>
        <v>Sin dato</v>
      </c>
      <c r="I44" s="106">
        <f t="shared" si="0"/>
        <v>59.465369181684515</v>
      </c>
      <c r="J44" s="106">
        <f t="shared" si="0"/>
        <v>79.705571446337515</v>
      </c>
      <c r="K44" s="106" t="str">
        <f t="shared" si="0"/>
        <v>Sin dato</v>
      </c>
      <c r="L44" s="106" t="str">
        <f t="shared" si="0"/>
        <v>Sin dato</v>
      </c>
      <c r="M44" s="123"/>
      <c r="N44" s="123"/>
      <c r="O44" s="123"/>
      <c r="P44" s="123"/>
      <c r="Q44" s="123"/>
    </row>
    <row r="45" spans="1:17" ht="18" hidden="1" customHeight="1" thickTop="1" x14ac:dyDescent="0.2">
      <c r="A45" s="62"/>
      <c r="E45" s="114"/>
      <c r="F45" s="113"/>
      <c r="G45" s="114"/>
      <c r="H45" s="113"/>
      <c r="I45" s="114"/>
      <c r="J45" s="113"/>
      <c r="K45" s="114"/>
      <c r="L45" s="113"/>
      <c r="M45" s="123"/>
      <c r="N45" s="123"/>
      <c r="O45" s="123"/>
      <c r="P45" s="123"/>
      <c r="Q45" s="123"/>
    </row>
    <row r="46" spans="1:17" ht="21.75" hidden="1" customHeight="1" x14ac:dyDescent="0.2">
      <c r="A46" s="62"/>
      <c r="D46" s="125" t="s">
        <v>18</v>
      </c>
      <c r="E46" s="152"/>
      <c r="F46" s="153"/>
      <c r="G46" s="152"/>
      <c r="H46" s="153"/>
      <c r="I46" s="152"/>
      <c r="J46" s="153"/>
      <c r="K46" s="152"/>
      <c r="L46" s="153"/>
      <c r="M46" s="123"/>
      <c r="N46" s="123"/>
      <c r="O46" s="123"/>
      <c r="P46" s="123"/>
      <c r="Q46" s="123"/>
    </row>
    <row r="47" spans="1:17" ht="15.75" customHeight="1" x14ac:dyDescent="0.2">
      <c r="A47" s="62"/>
      <c r="D47" s="125"/>
      <c r="E47" s="68"/>
      <c r="F47"/>
      <c r="G47" s="352" t="s">
        <v>62</v>
      </c>
      <c r="H47" s="353"/>
      <c r="I47" s="353"/>
      <c r="J47" s="353"/>
      <c r="K47" s="353"/>
      <c r="L47" s="353"/>
      <c r="M47" s="353"/>
      <c r="N47" s="353"/>
      <c r="O47" s="354"/>
      <c r="P47" s="123"/>
      <c r="Q47" s="123"/>
    </row>
    <row r="48" spans="1:17" ht="15.75" customHeight="1" x14ac:dyDescent="0.2">
      <c r="A48" s="62"/>
      <c r="D48" s="125"/>
      <c r="E48" s="359"/>
      <c r="F48" s="359"/>
      <c r="G48" s="162" t="s">
        <v>63</v>
      </c>
      <c r="H48" s="162" t="s">
        <v>64</v>
      </c>
      <c r="I48" s="162" t="s">
        <v>108</v>
      </c>
      <c r="J48" s="162" t="s">
        <v>65</v>
      </c>
      <c r="K48" s="162" t="s">
        <v>66</v>
      </c>
      <c r="L48" s="162" t="s">
        <v>109</v>
      </c>
      <c r="M48" s="162" t="s">
        <v>67</v>
      </c>
      <c r="N48" s="162" t="s">
        <v>68</v>
      </c>
      <c r="O48" s="162" t="s">
        <v>110</v>
      </c>
      <c r="P48" s="123"/>
      <c r="Q48" s="123"/>
    </row>
    <row r="49" spans="1:17" ht="15.75" customHeight="1" x14ac:dyDescent="0.2">
      <c r="A49" s="62"/>
      <c r="D49" s="125"/>
      <c r="E49" s="360" t="s">
        <v>95</v>
      </c>
      <c r="F49" s="360"/>
      <c r="G49" s="131">
        <f>TABLA!H66</f>
        <v>166.03133884624867</v>
      </c>
      <c r="H49" s="131">
        <f>TABLA!O66</f>
        <v>24.973272765499114</v>
      </c>
      <c r="I49" s="131">
        <f>TABLA!U66</f>
        <v>10.480568585875202</v>
      </c>
      <c r="J49" s="131">
        <f>TABLA!AH66</f>
        <v>19.613682773560743</v>
      </c>
      <c r="K49" s="131">
        <f>TABLA!AO66</f>
        <v>27.740032708014805</v>
      </c>
      <c r="L49" s="131">
        <f>TABLA!AU66</f>
        <v>11.041513121910674</v>
      </c>
      <c r="M49" s="131">
        <f>TABLA!BA66</f>
        <v>5.4363078793466206</v>
      </c>
      <c r="N49" s="131">
        <f>TABLA!BH66</f>
        <v>13.801702970728636</v>
      </c>
      <c r="O49" s="131">
        <f>TABLA!BN66</f>
        <v>3.5094082264481385</v>
      </c>
      <c r="P49" s="123"/>
      <c r="Q49" s="123"/>
    </row>
    <row r="50" spans="1:17" hidden="1" x14ac:dyDescent="0.2">
      <c r="A50" s="62">
        <f>A43+0.5</f>
        <v>46278.770833333336</v>
      </c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</row>
    <row r="51" spans="1:17" x14ac:dyDescent="0.2">
      <c r="A51" s="62">
        <f>A50+0.5</f>
        <v>46279.270833333336</v>
      </c>
      <c r="D51" s="357" t="str">
        <f>"Fecha:  "&amp;TEXT(Portada!P5,"dd-mmm-yyyy")</f>
        <v>Fecha:  13-Sep-2026</v>
      </c>
      <c r="E51" s="357"/>
      <c r="F51" s="358" t="s">
        <v>16</v>
      </c>
      <c r="G51" s="358"/>
      <c r="H51" s="358"/>
      <c r="I51" s="358"/>
      <c r="J51" s="358"/>
      <c r="K51" s="358"/>
      <c r="L51" s="358" t="s">
        <v>17</v>
      </c>
      <c r="M51" s="358"/>
      <c r="N51" s="358"/>
      <c r="O51" s="358"/>
      <c r="P51" s="358"/>
      <c r="Q51" s="358"/>
    </row>
    <row r="52" spans="1:17" x14ac:dyDescent="0.2">
      <c r="D52" s="357"/>
      <c r="E52" s="357"/>
      <c r="F52" s="85" t="s">
        <v>29</v>
      </c>
      <c r="G52" s="85" t="s">
        <v>50</v>
      </c>
      <c r="H52" s="85" t="s">
        <v>49</v>
      </c>
      <c r="I52" s="85" t="s">
        <v>54</v>
      </c>
      <c r="J52" s="85" t="s">
        <v>55</v>
      </c>
      <c r="K52" s="85" t="s">
        <v>48</v>
      </c>
      <c r="L52" s="85" t="s">
        <v>29</v>
      </c>
      <c r="M52" s="85" t="s">
        <v>50</v>
      </c>
      <c r="N52" s="85" t="s">
        <v>49</v>
      </c>
      <c r="O52" s="85" t="s">
        <v>54</v>
      </c>
      <c r="P52" s="85" t="s">
        <v>55</v>
      </c>
      <c r="Q52" s="85" t="s">
        <v>48</v>
      </c>
    </row>
    <row r="53" spans="1:17" x14ac:dyDescent="0.2">
      <c r="A53" s="13" t="s">
        <v>139</v>
      </c>
      <c r="B53" s="14" t="s">
        <v>140</v>
      </c>
      <c r="D53" s="346" t="s">
        <v>131</v>
      </c>
      <c r="E53" s="346"/>
      <c r="F53" s="347">
        <f>_xll.PITimeFilterVal($B53,$A$43,$A$50,"hours", 0,"TPI")</f>
        <v>12</v>
      </c>
      <c r="G53" s="348">
        <f>F53/12</f>
        <v>1</v>
      </c>
      <c r="H53" s="288" t="s">
        <v>1</v>
      </c>
      <c r="I53" s="289" t="str">
        <f>IF($F53&gt;0,_xll.PIAdvCalcFilVal($A53,$A$43,$A$50,$B53,"minimum","event-weighted","pt. compressed","10m", 0, 1, 0,"TPI")," ")</f>
        <v>[-11057] Not Enough Values For Calculation</v>
      </c>
      <c r="J53" s="289" t="str">
        <f>IF($F53&gt;0,_xll.PIAdvCalcFilVal($A53,$A$43,$A$50,$B53,"maximum","event-weighted","pt. compressed","10m", 0, 1, 0,"TPI")," ")</f>
        <v>[-11057] Not Enough Values For Calculation</v>
      </c>
      <c r="K53" s="289" t="str">
        <f>IF($F53&gt;0,_xll.PIAdvCalcFilVal($A53,$A$43,$A$50,$B53,"average","event-weighted","pt. compressed","10m", 0, 1, 0,"TPI")," ")</f>
        <v>[-11057] Not Enough Values For Calculation</v>
      </c>
      <c r="L53" s="347">
        <f>_xll.PITimeFilterVal($B53,$A$50,$A$51,"hours", 0,"TPI")</f>
        <v>8.5699999999999985</v>
      </c>
      <c r="M53" s="348">
        <f>L53/12</f>
        <v>0.71416666666666651</v>
      </c>
      <c r="N53" s="288" t="s">
        <v>1</v>
      </c>
      <c r="O53" s="289" t="str">
        <f>IF(L$53&gt;0,_xll.PIAdvCalcFilVal($A53,$A$50,$A$51,$B53,"minimum","event-weighted","pt. compressed","10m", 0, 1, 0,"TPI")," ")</f>
        <v>[-11057] Not Enough Values For Calculation</v>
      </c>
      <c r="P53" s="289" t="str">
        <f>IF($L53&gt;0,_xll.PIAdvCalcFilVal($A53,$A$50,$A$51,$B53,"maximum","event-weighted","pt. compressed","10m", 0, 1, 0,"TPI")," ")</f>
        <v>[-11057] Not Enough Values For Calculation</v>
      </c>
      <c r="Q53" s="289" t="str">
        <f>IF($L53&gt;0,_xll.PIAdvCalcFilVal($A53,$A$50,$A$51,$B53,"average","event-weighted","pt. compressed","10m", 0, 1, 0,"TPI")," ")</f>
        <v>[-11057] Not Enough Values For Calculation</v>
      </c>
    </row>
    <row r="54" spans="1:17" x14ac:dyDescent="0.2">
      <c r="A54" s="13" t="s">
        <v>141</v>
      </c>
      <c r="B54" s="14" t="s">
        <v>142</v>
      </c>
      <c r="D54" s="346"/>
      <c r="E54" s="346"/>
      <c r="F54" s="347"/>
      <c r="G54" s="348"/>
      <c r="H54" s="288" t="s">
        <v>2</v>
      </c>
      <c r="I54" s="289" t="str">
        <f>IF($F53&gt;0,_xll.PIAdvCalcFilVal($A54,$A$43,$A$50,$B54,"minimum","event-weighted","pt. compressed","10m", 0, 1, 0,"TPI")," ")</f>
        <v>[-11057] Not Enough Values For Calculation</v>
      </c>
      <c r="J54" s="289" t="str">
        <f>IF($F53&gt;0,_xll.PIAdvCalcFilVal($A54,$A$43,$A$50,$B54,"maximum","event-weighted","pt. compressed","10m", 0, 1, 0,"TPI")," ")</f>
        <v>[-11057] Not Enough Values For Calculation</v>
      </c>
      <c r="K54" s="289" t="str">
        <f>IF($F53&gt;0,_xll.PIAdvCalcFilVal($A54,$A$43,$A$50,$B54,"average","event-weighted","pt. compressed","10m", 0, 1, 0,"TPI")," ")</f>
        <v>[-11057] Not Enough Values For Calculation</v>
      </c>
      <c r="L54" s="347"/>
      <c r="M54" s="348"/>
      <c r="N54" s="288" t="s">
        <v>2</v>
      </c>
      <c r="O54" s="289" t="str">
        <f>IF(L$53&gt;0,_xll.PIAdvCalcFilVal($A54,$A$50,$A$51,$B54,"minimum","event-weighted","pt. compressed","10m", 0, 1, 0,"TPI")," ")</f>
        <v>[-11057] Not Enough Values For Calculation</v>
      </c>
      <c r="P54" s="289" t="str">
        <f>IF($L53&gt;0,_xll.PIAdvCalcFilVal($A54,$A$50,$A$51,$B54,"maximum","event-weighted","pt. compressed","10m", 0, 1, 0,"TPI")," ")</f>
        <v>[-11057] Not Enough Values For Calculation</v>
      </c>
      <c r="Q54" s="289" t="str">
        <f>IF($L53&gt;0,_xll.PIAdvCalcFilVal($A54,$A$50,$A$51,$B54,"average","event-weighted","pt. compressed","10m", 0, 1, 0,"TPI")," ")</f>
        <v>[-11057] Not Enough Values For Calculation</v>
      </c>
    </row>
    <row r="55" spans="1:17" x14ac:dyDescent="0.2">
      <c r="A55" s="13" t="s">
        <v>143</v>
      </c>
      <c r="B55" s="14" t="s">
        <v>144</v>
      </c>
      <c r="D55" s="346" t="s">
        <v>132</v>
      </c>
      <c r="E55" s="346"/>
      <c r="F55" s="347">
        <f>_xll.PITimeFilterVal($B55,$A$43,$A$50,"hours", 0,"TPI")</f>
        <v>12</v>
      </c>
      <c r="G55" s="348">
        <f>F55/12</f>
        <v>1</v>
      </c>
      <c r="H55" s="288" t="s">
        <v>1</v>
      </c>
      <c r="I55" s="289" t="str">
        <f>IF($F55&gt;0,_xll.PIAdvCalcFilVal($A55,$A$43,$A$50,$B55,"minimum","event-weighted","pt. compressed","10m", 0, 1, 0,"TPI")," ")</f>
        <v>[-11057] Not Enough Values For Calculation</v>
      </c>
      <c r="J55" s="289" t="str">
        <f>IF($F55&gt;0,_xll.PIAdvCalcFilVal($A55,$A$43,$A$50,$B55,"maximum","event-weighted","pt. compressed","10m", 0, 1, 0,"TPI")," ")</f>
        <v>[-11057] Not Enough Values For Calculation</v>
      </c>
      <c r="K55" s="289" t="str">
        <f>IF($F55&gt;0,_xll.PIAdvCalcFilVal($A55,$A$43,$A$50,$B55,"average","event-weighted","pt. compressed","10m", 0, 1, 0,"TPI")," ")</f>
        <v>[-11057] Not Enough Values For Calculation</v>
      </c>
      <c r="L55" s="347">
        <f>_xll.PITimeFilterVal($B55,$A$50,$A$51,"hours", 0,"TPI")</f>
        <v>8.5699999999999985</v>
      </c>
      <c r="M55" s="348">
        <f>L55/12</f>
        <v>0.71416666666666651</v>
      </c>
      <c r="N55" s="288" t="s">
        <v>1</v>
      </c>
      <c r="O55" s="289" t="str">
        <f>IF(L$55&gt;0,_xll.PIAdvCalcFilVal($A55,$A$50,$A$51,$B55,"minimum","event-weighted","pt. compressed","10m", 0, 1, 0,"TPI")," ")</f>
        <v>[-11057] Not Enough Values For Calculation</v>
      </c>
      <c r="P55" s="289" t="str">
        <f>IF($L55&gt;0,_xll.PIAdvCalcFilVal($A55,$A$50,$A$51,$B55,"maximum","event-weighted","pt. compressed","10m", 0, 1, 0,"TPI")," ")</f>
        <v>[-11057] Not Enough Values For Calculation</v>
      </c>
      <c r="Q55" s="289" t="str">
        <f>IF($L55&gt;0,_xll.PIAdvCalcFilVal($A55,$A$50,$A$51,$B55,"average","event-weighted","pt. compressed","10m", 0, 1, 0,"TPI")," ")</f>
        <v>[-11057] Not Enough Values For Calculation</v>
      </c>
    </row>
    <row r="56" spans="1:17" x14ac:dyDescent="0.2">
      <c r="A56" s="13" t="s">
        <v>145</v>
      </c>
      <c r="B56" s="14" t="s">
        <v>146</v>
      </c>
      <c r="D56" s="346"/>
      <c r="E56" s="346"/>
      <c r="F56" s="347"/>
      <c r="G56" s="348"/>
      <c r="H56" s="288" t="s">
        <v>2</v>
      </c>
      <c r="I56" s="289" t="str">
        <f>IF($F55&gt;0,_xll.PIAdvCalcFilVal($A56,$A$43,$A$50,$B56,"minimum","event-weighted","pt. compressed","10m", 0, 1, 0,"TPI")," ")</f>
        <v>[-11057] Not Enough Values For Calculation</v>
      </c>
      <c r="J56" s="289" t="str">
        <f>IF($F55&gt;0,_xll.PIAdvCalcFilVal($A56,$A$43,$A$50,$B56,"maximum","event-weighted","pt. compressed","10m", 0, 1, 0,"TPI")," ")</f>
        <v>[-11057] Not Enough Values For Calculation</v>
      </c>
      <c r="K56" s="289" t="str">
        <f>IF($F55&gt;0,_xll.PIAdvCalcFilVal($A56,$A$43,$A$50,$B56,"average","event-weighted","pt. compressed","10m", 0, 1, 0,"TPI")," ")</f>
        <v>[-11057] Not Enough Values For Calculation</v>
      </c>
      <c r="L56" s="347"/>
      <c r="M56" s="348"/>
      <c r="N56" s="288" t="s">
        <v>2</v>
      </c>
      <c r="O56" s="289" t="str">
        <f>IF(L$55&gt;0,_xll.PIAdvCalcFilVal($A56,$A$50,$A$51,$B56,"minimum","event-weighted","pt. compressed","10m", 0, 1, 0,"TPI")," ")</f>
        <v>[-11057] Not Enough Values For Calculation</v>
      </c>
      <c r="P56" s="289" t="str">
        <f>IF($L55&gt;0,_xll.PIAdvCalcFilVal($A56,$A$50,$A$51,$B56,"maximum","event-weighted","pt. compressed","10m", 0, 1, 0,"TPI")," ")</f>
        <v>[-11057] Not Enough Values For Calculation</v>
      </c>
      <c r="Q56" s="289" t="str">
        <f>IF($L55&gt;0,_xll.PIAdvCalcFilVal($A56,$A$50,$A$51,$B56,"average","event-weighted","pt. compressed","10m", 0, 1, 0,"TPI")," ")</f>
        <v>[-11057] Not Enough Values For Calculation</v>
      </c>
    </row>
    <row r="57" spans="1:17" x14ac:dyDescent="0.2">
      <c r="A57" s="13" t="s">
        <v>147</v>
      </c>
      <c r="B57" s="14" t="s">
        <v>148</v>
      </c>
      <c r="D57" s="346" t="s">
        <v>133</v>
      </c>
      <c r="E57" s="346"/>
      <c r="F57" s="347">
        <f>_xll.PITimeFilterVal($B57,$A$43,$A$50,"hours", 0,"TPI")</f>
        <v>12</v>
      </c>
      <c r="G57" s="348">
        <f>F57/12</f>
        <v>1</v>
      </c>
      <c r="H57" s="288" t="s">
        <v>1</v>
      </c>
      <c r="I57" s="289">
        <f>IF(F57&gt;0,_xll.PIAdvCalcFilVal($A57,$A$43,$A$50,$B57,"minimum","event-weighted","pt. compressed","10m", 0, 1, 0,"TPI")," ")</f>
        <v>4.0849518030881882E-2</v>
      </c>
      <c r="J57" s="289">
        <f>IF($F57&gt;0,_xll.PIAdvCalcFilVal($A57,$A$43,$A$50,$B57,"maximum","event-weighted","pt. compressed","10m", 0, 1, 0,"TPI")," ")</f>
        <v>5.3014535456895828E-2</v>
      </c>
      <c r="K57" s="289">
        <f>IF($F57&gt;0,_xll.PIAdvCalcFilVal($A57,$A$43,$A$50,$B57,"average","event-weighted","pt. compressed","10m", 0, 1, 0,"TPI")," ")</f>
        <v>4.8431302553841045E-2</v>
      </c>
      <c r="L57" s="347">
        <f>_xll.PITimeFilterVal($B57,$A$50,$A$51,"hours", 0,"TPI")</f>
        <v>8.5699999999999985</v>
      </c>
      <c r="M57" s="348">
        <f>L57/12</f>
        <v>0.71416666666666651</v>
      </c>
      <c r="N57" s="288" t="s">
        <v>1</v>
      </c>
      <c r="O57" s="289" t="str">
        <f>IF(L$57&gt;0,_xll.PIAdvCalcFilVal($A57,$A$50,$A$51,$B57,"minimum","event-weighted","pt. compressed","10m", 0, 1, 0,"TPI")," ")</f>
        <v>[-11057] Not Enough Values For Calculation</v>
      </c>
      <c r="P57" s="289" t="str">
        <f>IF($L57&gt;0,_xll.PIAdvCalcFilVal($A57,$A$50,$A$51,$B57,"maximum","event-weighted","pt. compressed","10m", 0, 1, 0,"TPI")," ")</f>
        <v>[-11057] Not Enough Values For Calculation</v>
      </c>
      <c r="Q57" s="289" t="str">
        <f>IF($L57&gt;0,_xll.PIAdvCalcFilVal($A57,$A$50,$A$51,$B57,"average","event-weighted","pt. compressed","10m", 0, 1, 0,"TPI")," ")</f>
        <v>[-11057] Not Enough Values For Calculation</v>
      </c>
    </row>
    <row r="58" spans="1:17" x14ac:dyDescent="0.2">
      <c r="A58" s="13" t="s">
        <v>149</v>
      </c>
      <c r="B58" s="14" t="s">
        <v>150</v>
      </c>
      <c r="D58" s="346"/>
      <c r="E58" s="346"/>
      <c r="F58" s="347"/>
      <c r="G58" s="348"/>
      <c r="H58" s="288" t="s">
        <v>2</v>
      </c>
      <c r="I58" s="289">
        <f>IF(F57&gt;0,_xll.PIAdvCalcFilVal($A58,$A$43,$A$50,$B58,"minimum","event-weighted","pt. compressed","10m", 0, 1, 0,"TPI")," ")</f>
        <v>1.0132159106433392E-2</v>
      </c>
      <c r="J58" s="289">
        <f>IF($F57&gt;0,_xll.PIAdvCalcFilVal($A58,$A$43,$A$50,$B58,"maximum","event-weighted","pt. compressed","10m", 0, 1, 0,"TPI")," ")</f>
        <v>1.3721896335482597E-2</v>
      </c>
      <c r="K58" s="289">
        <f>IF($F57&gt;0,_xll.PIAdvCalcFilVal($A58,$A$43,$A$50,$B58,"average","event-weighted","pt. compressed","10m", 0, 1, 0,"TPI")," ")</f>
        <v>1.2036505155265331E-2</v>
      </c>
      <c r="L58" s="347"/>
      <c r="M58" s="348"/>
      <c r="N58" s="288" t="s">
        <v>2</v>
      </c>
      <c r="O58" s="289" t="str">
        <f>IF(L$57&gt;0,_xll.PIAdvCalcFilVal($A58,$A$50,$A$51,$B58,"minimum","event-weighted","pt. compressed","10m", 0, 1, 0,"TPI")," ")</f>
        <v>[-11057] Not Enough Values For Calculation</v>
      </c>
      <c r="P58" s="289" t="str">
        <f>IF($L57&gt;0,_xll.PIAdvCalcFilVal($A58,$A$50,$A$51,$B58,"maximum","event-weighted","pt. compressed","10m", 0, 1, 0,"TPI")," ")</f>
        <v>[-11057] Not Enough Values For Calculation</v>
      </c>
      <c r="Q58" s="289" t="str">
        <f>IF($L57&gt;0,_xll.PIAdvCalcFilVal($A58,$A$50,$A$51,$B58,"average","event-weighted","pt. compressed","10m", 0, 1, 0,"TPI")," ")</f>
        <v>[-11057] Not Enough Values For Calculation</v>
      </c>
    </row>
    <row r="59" spans="1:17" x14ac:dyDescent="0.2">
      <c r="A59" s="13" t="s">
        <v>151</v>
      </c>
      <c r="B59" s="14" t="s">
        <v>152</v>
      </c>
      <c r="D59" s="366" t="s">
        <v>134</v>
      </c>
      <c r="E59" s="367"/>
      <c r="F59" s="363">
        <f>_xll.PITimeFilterVal($B59,$A$43,$A$50,"hours", 0,"TPI")</f>
        <v>12</v>
      </c>
      <c r="G59" s="361">
        <f>F59/12</f>
        <v>1</v>
      </c>
      <c r="H59" s="288" t="s">
        <v>1</v>
      </c>
      <c r="I59" s="289">
        <f>IF(F59&gt;0,_xll.PIAdvCalcFilVal($A59,$A$43,$A$50,$B59,"minimum","event-weighted","pt. compressed","10m", 0, 1, 0,"TPI")," ")</f>
        <v>0</v>
      </c>
      <c r="J59" s="289">
        <f>IF($F59&gt;0,_xll.PIAdvCalcFilVal($A59,$A$43,$A$50,$B59,"maximum","event-weighted","pt. compressed","10m", 0, 1, 0,"TPI")," ")</f>
        <v>0.16085636615753174</v>
      </c>
      <c r="K59" s="289">
        <f>IF($F59&gt;0,_xll.PIAdvCalcFilVal($A59,$A$43,$A$50,$B59,"average","event-weighted","pt. compressed","10m", 0, 1, 0,"TPI")," ")</f>
        <v>0.13769257522147635</v>
      </c>
      <c r="L59" s="363">
        <f>_xll.PITimeFilterVal($B59,$A$50,$A$51,"hours", 0,"TPI")</f>
        <v>8.5697222222222216</v>
      </c>
      <c r="M59" s="361">
        <f>L59/12</f>
        <v>0.71414351851851843</v>
      </c>
      <c r="N59" s="288" t="s">
        <v>1</v>
      </c>
      <c r="O59" s="289">
        <f>IF(L$59&gt;0,_xll.PIAdvCalcFilVal($A59,$A$50,$A$51,$B59,"minimum","event-weighted","pt. compressed","10m", 0, 1, 0,"TPI")," ")</f>
        <v>0</v>
      </c>
      <c r="P59" s="289">
        <f>IF($L59&gt;0,_xll.PIAdvCalcFilVal($A59,$A$50,$A$51,$B59,"maximum","event-weighted","pt. compressed","10m", 0, 1, 0,"TPI")," ")</f>
        <v>0</v>
      </c>
      <c r="Q59" s="289">
        <f>IF($L59&gt;0,_xll.PIAdvCalcFilVal($A59,$A$50,$A$51,$B59,"average","event-weighted","pt. compressed","10m", 0, 1, 0,"TPI")," ")</f>
        <v>0</v>
      </c>
    </row>
    <row r="60" spans="1:17" x14ac:dyDescent="0.2">
      <c r="A60" s="13" t="s">
        <v>153</v>
      </c>
      <c r="B60" s="14" t="s">
        <v>154</v>
      </c>
      <c r="D60" s="368"/>
      <c r="E60" s="369"/>
      <c r="F60" s="364"/>
      <c r="G60" s="362"/>
      <c r="H60" s="288" t="s">
        <v>2</v>
      </c>
      <c r="I60" s="289">
        <f>IF(F59&gt;0,_xll.PIAdvCalcFilVal($A60,$A$43,$A$50,$B60,"minimum","event-weighted","pt. compressed","10m", 0, 1, 0,"TPI")," ")</f>
        <v>0</v>
      </c>
      <c r="J60" s="289">
        <f>IF($F59&gt;0,_xll.PIAdvCalcFilVal($A60,$A$43,$A$50,$B60,"maximum","event-weighted","pt. compressed","10m", 0, 1, 0,"TPI")," ")</f>
        <v>1.229533925652504E-2</v>
      </c>
      <c r="K60" s="289">
        <f>IF($F59&gt;0,_xll.PIAdvCalcFilVal($A60,$A$43,$A$50,$B60,"average","event-weighted","pt. compressed","10m", 0, 1, 0,"TPI")," ")</f>
        <v>6.1476696282625198E-3</v>
      </c>
      <c r="L60" s="364"/>
      <c r="M60" s="362"/>
      <c r="N60" s="288" t="s">
        <v>2</v>
      </c>
      <c r="O60" s="289">
        <f>IF(L$59&gt;0,_xll.PIAdvCalcFilVal($A60,$A$50,$A$51,$B60,"minimum","event-weighted","pt. compressed","10m", 0, 1, 0,"TPI")," ")</f>
        <v>0</v>
      </c>
      <c r="P60" s="289">
        <f>IF($L59&gt;0,_xll.PIAdvCalcFilVal($A60,$A$50,$A$51,$B60,"maximum","event-weighted","pt. compressed","10m", 0, 1, 0,"TPI")," ")</f>
        <v>0</v>
      </c>
      <c r="Q60" s="289">
        <f>IF($L59&gt;0,_xll.PIAdvCalcFilVal($A60,$A$50,$A$51,$B60,"average","event-weighted","pt. compressed","10m", 0, 1, 0,"TPI")," ")</f>
        <v>0</v>
      </c>
    </row>
    <row r="61" spans="1:17" x14ac:dyDescent="0.2">
      <c r="A61" s="13" t="s">
        <v>155</v>
      </c>
      <c r="B61" s="14" t="s">
        <v>156</v>
      </c>
      <c r="D61" s="366" t="s">
        <v>135</v>
      </c>
      <c r="E61" s="367"/>
      <c r="F61" s="363">
        <f>_xll.PITimeFilterVal($B61,$A$43,$A$50,"hours", 0,"TPI")</f>
        <v>12</v>
      </c>
      <c r="G61" s="361">
        <f>F61/12</f>
        <v>1</v>
      </c>
      <c r="H61" s="288" t="s">
        <v>1</v>
      </c>
      <c r="I61" s="289">
        <f>IF(F61&gt;0,_xll.PIAdvCalcFilVal($A61,$A$43,$A$50,$B61,"minimum","event-weighted","pt. compressed","10m", 0, 1, 0,"TPI")," ")</f>
        <v>0</v>
      </c>
      <c r="J61" s="289">
        <f>IF($F61&gt;0,_xll.PIAdvCalcFilVal($A61,$A$43,$A$50,$B61,"maximum","event-weighted","pt. compressed","10m", 0, 1, 0,"TPI")," ")</f>
        <v>0.18787150084972382</v>
      </c>
      <c r="K61" s="289">
        <f>IF($F61&gt;0,_xll.PIAdvCalcFilVal($A61,$A$43,$A$50,$B61,"average","event-weighted","pt. compressed","10m", 0, 1, 0,"TPI")," ")</f>
        <v>0.15571006822089353</v>
      </c>
      <c r="L61" s="363">
        <f>_xll.PITimeFilterVal($B61,$A$50,$A$51,"hours", 0,"TPI")</f>
        <v>8.5699999999999985</v>
      </c>
      <c r="M61" s="361">
        <f>L61/12</f>
        <v>0.71416666666666651</v>
      </c>
      <c r="N61" s="288" t="s">
        <v>1</v>
      </c>
      <c r="O61" s="289">
        <f>IF(L$61&gt;0,_xll.PIAdvCalcFilVal($A61,$A$50,$A$51,$B61,"minimum","event-weighted","pt. compressed","10m", 0, 1, 0,"TPI")," ")</f>
        <v>0</v>
      </c>
      <c r="P61" s="289">
        <f>IF($L61&gt;0,_xll.PIAdvCalcFilVal($A61,$A$50,$A$51,$B61,"maximum","event-weighted","pt. compressed","10m", 0, 1, 0,"TPI")," ")</f>
        <v>0</v>
      </c>
      <c r="Q61" s="289">
        <f>IF($L61&gt;0,_xll.PIAdvCalcFilVal($A61,$A$50,$A$51,$B61,"average","event-weighted","pt. compressed","10m", 0, 1, 0,"TPI")," ")</f>
        <v>0</v>
      </c>
    </row>
    <row r="62" spans="1:17" x14ac:dyDescent="0.2">
      <c r="A62" s="13" t="s">
        <v>157</v>
      </c>
      <c r="B62" s="14" t="s">
        <v>158</v>
      </c>
      <c r="D62" s="368"/>
      <c r="E62" s="369"/>
      <c r="F62" s="364"/>
      <c r="G62" s="362"/>
      <c r="H62" s="288" t="s">
        <v>2</v>
      </c>
      <c r="I62" s="289">
        <f>IF(F61&gt;0,_xll.PIAdvCalcFilVal($A62,$A$43,$A$50,$B62,"minimum","event-weighted","pt. compressed","10m", 0, 1, 0,"TPI")," ")</f>
        <v>0</v>
      </c>
      <c r="J62" s="289">
        <f>IF($F61&gt;0,_xll.PIAdvCalcFilVal($A62,$A$43,$A$50,$B62,"maximum","event-weighted","pt. compressed","10m", 0, 1, 0,"TPI")," ")</f>
        <v>1.178619172424078E-2</v>
      </c>
      <c r="K62" s="289">
        <f>IF($F61&gt;0,_xll.PIAdvCalcFilVal($A62,$A$43,$A$50,$B62,"average","event-weighted","pt. compressed","10m", 0, 1, 0,"TPI")," ")</f>
        <v>7.4697847788532572E-3</v>
      </c>
      <c r="L62" s="364"/>
      <c r="M62" s="362"/>
      <c r="N62" s="288" t="s">
        <v>2</v>
      </c>
      <c r="O62" s="289">
        <f>IF(L$61&gt;0,_xll.PIAdvCalcFilVal($A62,$A$50,$A$51,$B62,"minimum","event-weighted","pt. compressed","10m", 0, 1, 0,"TPI")," ")</f>
        <v>0</v>
      </c>
      <c r="P62" s="289">
        <f>IF($L61&gt;0,_xll.PIAdvCalcFilVal($A62,$A$50,$A$51,$B62,"maximum","event-weighted","pt. compressed","10m", 0, 1, 0,"TPI")," ")</f>
        <v>0</v>
      </c>
      <c r="Q62" s="289">
        <f>IF($L61&gt;0,_xll.PIAdvCalcFilVal($A62,$A$50,$A$51,$B62,"average","event-weighted","pt. compressed","10m", 0, 1, 0,"TPI")," ")</f>
        <v>0</v>
      </c>
    </row>
    <row r="63" spans="1:17" x14ac:dyDescent="0.2">
      <c r="A63" s="13" t="s">
        <v>159</v>
      </c>
      <c r="B63" s="14" t="s">
        <v>101</v>
      </c>
      <c r="D63" s="346" t="s">
        <v>136</v>
      </c>
      <c r="E63" s="346"/>
      <c r="F63" s="347">
        <f>_xll.PITimeFilterVal($B63,$A$43,$A$50,"hours", 0,"TPI")</f>
        <v>12</v>
      </c>
      <c r="G63" s="348">
        <f>F63/12</f>
        <v>1</v>
      </c>
      <c r="H63" s="288" t="s">
        <v>1</v>
      </c>
      <c r="I63" s="289" t="str">
        <f>IF(F63&gt;0,_xll.PIAdvCalcFilVal($A63,$A$43,$A$50,$B63,"minimum","event-weighted","pt. compressed","10m", 0, 1, 0,"TPI")," ")</f>
        <v>[-11057] Not Enough Values For Calculation</v>
      </c>
      <c r="J63" s="289" t="str">
        <f>IF($F63&gt;0,_xll.PIAdvCalcFilVal($A63,$A$43,$A$50,$B63,"maximum","event-weighted","pt. compressed","10m", 0, 1, 0,"TPI")," ")</f>
        <v>[-11057] Not Enough Values For Calculation</v>
      </c>
      <c r="K63" s="289" t="str">
        <f>IF($F63&gt;0,_xll.PIAdvCalcFilVal($A63,$A$43,$A$50,$B63,"average","event-weighted","pt. compressed","10m", 0, 1, 0,"TPI")," ")</f>
        <v>[-11057] Not Enough Values For Calculation</v>
      </c>
      <c r="L63" s="347">
        <f>_xll.PITimeFilterVal($B63,$A$50,$A$51,"hours", 0,"TPI")</f>
        <v>8.5699999999999985</v>
      </c>
      <c r="M63" s="348">
        <f>L63/12</f>
        <v>0.71416666666666651</v>
      </c>
      <c r="N63" s="288" t="s">
        <v>1</v>
      </c>
      <c r="O63" s="289" t="str">
        <f>IF(L$63&gt;0,_xll.PIAdvCalcFilVal($A63,$A$50,$A$51,$B63,"minimum","event-weighted","pt. compressed","10m", 0, 1, 0,"TPI")," ")</f>
        <v>[-11057] Not Enough Values For Calculation</v>
      </c>
      <c r="P63" s="289" t="str">
        <f>IF($L63&gt;0,_xll.PIAdvCalcFilVal($A63,$A$50,$A$51,$B63,"maximum","event-weighted","pt. compressed","10m", 0, 1, 0,"TPI")," ")</f>
        <v>[-11057] Not Enough Values For Calculation</v>
      </c>
      <c r="Q63" s="289" t="str">
        <f>IF($L63&gt;0,_xll.PIAdvCalcFilVal($A63,$A$50,$A$51,$B63,"average","event-weighted","pt. compressed","10m", 0, 1, 0,"TPI")," ")</f>
        <v>[-11057] Not Enough Values For Calculation</v>
      </c>
    </row>
    <row r="64" spans="1:17" x14ac:dyDescent="0.2">
      <c r="A64" s="13" t="s">
        <v>160</v>
      </c>
      <c r="B64" s="14" t="s">
        <v>102</v>
      </c>
      <c r="D64" s="346"/>
      <c r="E64" s="346"/>
      <c r="F64" s="347"/>
      <c r="G64" s="348"/>
      <c r="H64" s="288" t="s">
        <v>2</v>
      </c>
      <c r="I64" s="289" t="str">
        <f>IF(F63&gt;0,_xll.PIAdvCalcFilVal($A64,$A$43,$A$50,$B64,"minimum","event-weighted","pt. compressed","10m", 0, 1, 0,"TPI")," ")</f>
        <v>[-11057] Not Enough Values For Calculation</v>
      </c>
      <c r="J64" s="289" t="str">
        <f>IF($F63&gt;0,_xll.PIAdvCalcFilVal($A64,$A$43,$A$50,$B64,"maximum","event-weighted","pt. compressed","10m", 0, 1, 0,"TPI")," ")</f>
        <v>[-11057] Not Enough Values For Calculation</v>
      </c>
      <c r="K64" s="289" t="str">
        <f>IF($F63&gt;0,_xll.PIAdvCalcFilVal($A64,$A$43,$A$50,$B64,"average","event-weighted","pt. compressed","10m", 0, 1, 0,"TPI")," ")</f>
        <v>[-11057] Not Enough Values For Calculation</v>
      </c>
      <c r="L64" s="347"/>
      <c r="M64" s="348"/>
      <c r="N64" s="288" t="s">
        <v>2</v>
      </c>
      <c r="O64" s="289" t="str">
        <f>IF(L$63&gt;0,_xll.PIAdvCalcFilVal($A64,$A$50,$A$51,$B64,"minimum","event-weighted","pt. compressed","10m", 0, 1, 0,"TPI")," ")</f>
        <v>[-11057] Not Enough Values For Calculation</v>
      </c>
      <c r="P64" s="289" t="str">
        <f>IF($L63&gt;0,_xll.PIAdvCalcFilVal($A64,$A$50,$A$51,$B64,"maximum","event-weighted","pt. compressed","10m", 0, 1, 0,"TPI")," ")</f>
        <v>[-11057] Not Enough Values For Calculation</v>
      </c>
      <c r="Q64" s="289" t="str">
        <f>IF($L63&gt;0,_xll.PIAdvCalcFilVal($A64,$A$50,$A$51,$B64,"average","event-weighted","pt. compressed","10m", 0, 1, 0,"TPI")," ")</f>
        <v>[-11057] Not Enough Values For Calculation</v>
      </c>
    </row>
    <row r="65" spans="1:17" x14ac:dyDescent="0.2">
      <c r="A65" s="13" t="s">
        <v>161</v>
      </c>
      <c r="B65" s="14" t="s">
        <v>103</v>
      </c>
      <c r="D65" s="346" t="s">
        <v>137</v>
      </c>
      <c r="E65" s="346"/>
      <c r="F65" s="347">
        <f>_xll.PITimeFilterVal($B65,$A$43,$A$50,"hours", 0,"TPI")</f>
        <v>12</v>
      </c>
      <c r="G65" s="348">
        <f>F65/12</f>
        <v>1</v>
      </c>
      <c r="H65" s="288" t="s">
        <v>1</v>
      </c>
      <c r="I65" s="289" t="str">
        <f>IF(F65&gt;0,_xll.PIAdvCalcFilVal($A65,$A$43,$A$50,$B65,"minimum","event-weighted","pt. compressed","10m", 0, 1, 0,"TPI")," ")</f>
        <v>[-11057] Not Enough Values For Calculation</v>
      </c>
      <c r="J65" s="289" t="str">
        <f>IF($F65&gt;0,_xll.PIAdvCalcFilVal($A65,$A$43,$A$50,$B65,"maximum","event-weighted","pt. compressed","10m", 0, 1, 0,"TPI")," ")</f>
        <v>[-11057] Not Enough Values For Calculation</v>
      </c>
      <c r="K65" s="289" t="str">
        <f>IF($F65&gt;0,_xll.PIAdvCalcFilVal($A65,$A$43,$A$50,$B65,"average","event-weighted","pt. compressed","10m", 0, 1, 0,"TPI")," ")</f>
        <v>[-11057] Not Enough Values For Calculation</v>
      </c>
      <c r="L65" s="347">
        <f>_xll.PITimeFilterVal($B65,$A$50,$A$51,"hours", 0,"TPI")</f>
        <v>8.5699999999999985</v>
      </c>
      <c r="M65" s="348">
        <f>L65/12</f>
        <v>0.71416666666666651</v>
      </c>
      <c r="N65" s="288" t="s">
        <v>1</v>
      </c>
      <c r="O65" s="289" t="str">
        <f>IF(L$65&gt;0,_xll.PIAdvCalcFilVal($A65,$A$50,$A$51,$B65,"minimum","event-weighted","pt. compressed","10m", 0, 1, 0,"TPI")," ")</f>
        <v>[-11057] Not Enough Values For Calculation</v>
      </c>
      <c r="P65" s="289" t="str">
        <f>IF($L65&gt;0,_xll.PIAdvCalcFilVal($A65,$A$50,$A$51,$B65,"maximum","event-weighted","pt. compressed","10m", 0, 1, 0,"TPI")," ")</f>
        <v>[-11057] Not Enough Values For Calculation</v>
      </c>
      <c r="Q65" s="289" t="str">
        <f>IF($L65&gt;0,_xll.PIAdvCalcFilVal($A65,$A$50,$A$51,$B65,"average","event-weighted","pt. compressed","10m", 0, 1, 0,"TPI")," ")</f>
        <v>[-11057] Not Enough Values For Calculation</v>
      </c>
    </row>
    <row r="66" spans="1:17" x14ac:dyDescent="0.2">
      <c r="A66" s="13" t="s">
        <v>162</v>
      </c>
      <c r="B66" s="14" t="s">
        <v>104</v>
      </c>
      <c r="D66" s="346"/>
      <c r="E66" s="346"/>
      <c r="F66" s="347"/>
      <c r="G66" s="348"/>
      <c r="H66" s="288" t="s">
        <v>2</v>
      </c>
      <c r="I66" s="289" t="str">
        <f>IF(F65&gt;0,_xll.PIAdvCalcFilVal($A66,$A$43,$A$50,$B66,"minimum","event-weighted","pt. compressed","10m", 0, 1, 0,"TPI")," ")</f>
        <v>[-11057] Not Enough Values For Calculation</v>
      </c>
      <c r="J66" s="289" t="str">
        <f>IF($F65&gt;0,_xll.PIAdvCalcFilVal($A66,$A$43,$A$50,$B66,"maximum","event-weighted","pt. compressed","10m", 0, 1, 0,"TPI")," ")</f>
        <v>[-11057] Not Enough Values For Calculation</v>
      </c>
      <c r="K66" s="289" t="str">
        <f>IF($F65&gt;0,_xll.PIAdvCalcFilVal($A66,$A$43,$A$50,$B66,"average","event-weighted","pt. compressed","10m", 0, 1, 0,"TPI")," ")</f>
        <v>[-11057] Not Enough Values For Calculation</v>
      </c>
      <c r="L66" s="347"/>
      <c r="M66" s="348"/>
      <c r="N66" s="288" t="s">
        <v>2</v>
      </c>
      <c r="O66" s="289" t="str">
        <f>IF(L$65&gt;0,_xll.PIAdvCalcFilVal($A66,$A$50,$A$51,$B66,"minimum","event-weighted","pt. compressed","10m", 0, 1, 0,"TPI")," ")</f>
        <v>[-11057] Not Enough Values For Calculation</v>
      </c>
      <c r="P66" s="289" t="str">
        <f>IF($L65&gt;0,_xll.PIAdvCalcFilVal($A66,$A$50,$A$51,$B66,"maximum","event-weighted","pt. compressed","10m", 0, 1, 0,"TPI")," ")</f>
        <v>[-11057] Not Enough Values For Calculation</v>
      </c>
      <c r="Q66" s="289" t="str">
        <f>IF($L65&gt;0,_xll.PIAdvCalcFilVal($A66,$A$50,$A$51,$B66,"average","event-weighted","pt. compressed","10m", 0, 1, 0,"TPI")," ")</f>
        <v>[-11057] Not Enough Values For Calculation</v>
      </c>
    </row>
    <row r="67" spans="1:17" x14ac:dyDescent="0.2">
      <c r="A67" s="13" t="s">
        <v>163</v>
      </c>
      <c r="B67" s="14" t="s">
        <v>164</v>
      </c>
      <c r="D67" s="346" t="s">
        <v>138</v>
      </c>
      <c r="E67" s="346"/>
      <c r="F67" s="347">
        <f>_xll.PITimeFilterVal($B67,$A$43,$A$50,"hours", 0,"TPI")</f>
        <v>12</v>
      </c>
      <c r="G67" s="348">
        <f>F67/12</f>
        <v>1</v>
      </c>
      <c r="H67" s="288" t="s">
        <v>1</v>
      </c>
      <c r="I67" s="289" t="str">
        <f>IF(F67&gt;0,_xll.PIAdvCalcFilVal($A67,$A$43,$A$50,$B67,"minimum","event-weighted","pt. compressed","10m", 0, 1, 0,"TPI")," ")</f>
        <v>[-11057] Not Enough Values For Calculation</v>
      </c>
      <c r="J67" s="289" t="str">
        <f>IF($F67&gt;0,_xll.PIAdvCalcFilVal($A67,$A$43,$A$50,$B67,"maximum","event-weighted","pt. compressed","10m", 0, 1, 0,"TPI")," ")</f>
        <v>[-11057] Not Enough Values For Calculation</v>
      </c>
      <c r="K67" s="289" t="str">
        <f>IF($F67&gt;0,_xll.PIAdvCalcFilVal($A67,$A$43,$A$50,$B67,"average","event-weighted","pt. compressed","10m", 0, 1, 0,"TPI")," ")</f>
        <v>[-11057] Not Enough Values For Calculation</v>
      </c>
      <c r="L67" s="347">
        <f>_xll.PITimeFilterVal($B67,$A$50,$A$51,"hours", 0,"TPI")</f>
        <v>8.5697222222222216</v>
      </c>
      <c r="M67" s="348">
        <f>L67/12</f>
        <v>0.71414351851851843</v>
      </c>
      <c r="N67" s="288" t="s">
        <v>1</v>
      </c>
      <c r="O67" s="289" t="str">
        <f>IF(L$67&gt;0,_xll.PIAdvCalcFilVal($A67,$A$50,$A$51,$B67,"minimum","event-weighted","pt. compressed","10m", 0, 1, 0,"TPI")," ")</f>
        <v>[-11057] Not Enough Values For Calculation</v>
      </c>
      <c r="P67" s="289" t="str">
        <f>IF($L67&gt;0,_xll.PIAdvCalcFilVal($A67,$A$50,$A$51,$B67,"maximum","event-weighted","pt. compressed","10m", 0, 1, 0,"TPI")," ")</f>
        <v>[-11057] Not Enough Values For Calculation</v>
      </c>
      <c r="Q67" s="289" t="str">
        <f>IF($L67&gt;0,_xll.PIAdvCalcFilVal($A67,$A$50,$A$51,$B67,"average","event-weighted","pt. compressed","10m", 0, 1, 0,"TPI")," ")</f>
        <v>[-11057] Not Enough Values For Calculation</v>
      </c>
    </row>
    <row r="68" spans="1:17" x14ac:dyDescent="0.2">
      <c r="A68" s="13" t="s">
        <v>165</v>
      </c>
      <c r="B68" s="14" t="s">
        <v>166</v>
      </c>
      <c r="D68" s="346"/>
      <c r="E68" s="346"/>
      <c r="F68" s="347"/>
      <c r="G68" s="348"/>
      <c r="H68" s="288" t="s">
        <v>2</v>
      </c>
      <c r="I68" s="289" t="str">
        <f>IF(F67&gt;0,_xll.PIAdvCalcFilVal($A68,$A$43,$A$50,$B68,"minimum","event-weighted","pt. compressed","10m", 0, 1, 0,"TPI")," ")</f>
        <v>[-11057] Not Enough Values For Calculation</v>
      </c>
      <c r="J68" s="289" t="str">
        <f>IF($F67&gt;0,_xll.PIAdvCalcFilVal($A68,$A$43,$A$50,$B68,"maximum","event-weighted","pt. compressed","10m", 0, 1, 0,"TPI")," ")</f>
        <v>[-11057] Not Enough Values For Calculation</v>
      </c>
      <c r="K68" s="289" t="str">
        <f>IF($F67&gt;0,_xll.PIAdvCalcFilVal($A68,$A$43,$A$50,$B68,"average","event-weighted","pt. compressed","10m", 0, 1, 0,"TPI")," ")</f>
        <v>[-11057] Not Enough Values For Calculation</v>
      </c>
      <c r="L68" s="347"/>
      <c r="M68" s="348"/>
      <c r="N68" s="288" t="s">
        <v>2</v>
      </c>
      <c r="O68" s="289" t="str">
        <f>IF(L$67&gt;0,_xll.PIAdvCalcFilVal($A68,$A$50,$A$51,$B68,"minimum","event-weighted","pt. compressed","10m", 0, 1, 0,"TPI")," ")</f>
        <v>[-11057] Not Enough Values For Calculation</v>
      </c>
      <c r="P68" s="289" t="str">
        <f>IF($L67&gt;0,_xll.PIAdvCalcFilVal($A68,$A$50,$A$51,$B68,"maximum","event-weighted","pt. compressed","10m", 0, 1, 0,"TPI")," ")</f>
        <v>[-11057] Not Enough Values For Calculation</v>
      </c>
      <c r="Q68" s="289" t="str">
        <f>IF($L67&gt;0,_xll.PIAdvCalcFilVal($A68,$A$50,$A$51,$B68,"average","event-weighted","pt. compressed","10m", 0, 1, 0,"TPI")," ")</f>
        <v>[-11057] Not Enough Values For Calculation</v>
      </c>
    </row>
    <row r="69" spans="1:17" x14ac:dyDescent="0.2">
      <c r="A69" s="13" t="s">
        <v>167</v>
      </c>
      <c r="B69" s="14" t="s">
        <v>105</v>
      </c>
      <c r="D69" s="346" t="s">
        <v>171</v>
      </c>
      <c r="E69" s="346"/>
      <c r="F69" s="347">
        <f>_xll.PITimeFilterVal($B69,$A$43,$A$50,"hours", 0,"TPI")</f>
        <v>12</v>
      </c>
      <c r="G69" s="348">
        <f>F69/12</f>
        <v>1</v>
      </c>
      <c r="H69" s="288" t="s">
        <v>1</v>
      </c>
      <c r="I69" s="289" t="str">
        <f>IF(F69&gt;0,_xll.PIAdvCalcFilVal($A69,$A$43,$A$50,$B69,"minimum","event-weighted","pt. compressed","10m", 0, 1, 0,"TPI")," ")</f>
        <v>[-11057] Not Enough Values For Calculation</v>
      </c>
      <c r="J69" s="289" t="str">
        <f>IF($F69&gt;0,_xll.PIAdvCalcFilVal($A69,$A$43,$A$50,$B69,"maximum","event-weighted","pt. compressed","10m", 0, 1, 0,"TPI")," ")</f>
        <v>[-11057] Not Enough Values For Calculation</v>
      </c>
      <c r="K69" s="289" t="str">
        <f>IF($F69&gt;0,_xll.PIAdvCalcFilVal($A69,$A$43,$A$50,$B69,"average","event-weighted","pt. compressed","10m", 0, 1, 0,"TPI")," ")</f>
        <v>[-11057] Not Enough Values For Calculation</v>
      </c>
      <c r="L69" s="347">
        <f>_xll.PITimeFilterVal($B69,$A$50,$A$51,"hours", 0,"TPI")</f>
        <v>8.5699999999999985</v>
      </c>
      <c r="M69" s="348">
        <f>L69/12</f>
        <v>0.71416666666666651</v>
      </c>
      <c r="N69" s="288" t="s">
        <v>1</v>
      </c>
      <c r="O69" s="289" t="str">
        <f>IF(L$69&gt;0,_xll.PIAdvCalcFilVal($A69,$A$50,$A$51,$B69,"minimum","event-weighted","pt. compressed","10m", 0, 1, 0,"TPI")," ")</f>
        <v>[-11057] Not Enough Values For Calculation</v>
      </c>
      <c r="P69" s="289" t="str">
        <f>IF($L69&gt;0,_xll.PIAdvCalcFilVal($A69,$A$50,$A$51,$B69,"maximum","event-weighted","pt. compressed","10m", 0, 1, 0,"TPI")," ")</f>
        <v>[-11057] Not Enough Values For Calculation</v>
      </c>
      <c r="Q69" s="289" t="str">
        <f>IF($L69&gt;0,_xll.PIAdvCalcFilVal($A69,$A$50,$A$51,$B69,"average","event-weighted","pt. compressed","10m", 0, 1, 0,"TPI")," ")</f>
        <v>[-11057] Not Enough Values For Calculation</v>
      </c>
    </row>
    <row r="70" spans="1:17" x14ac:dyDescent="0.2">
      <c r="A70" s="13" t="s">
        <v>168</v>
      </c>
      <c r="B70" s="14" t="s">
        <v>106</v>
      </c>
      <c r="D70" s="346"/>
      <c r="E70" s="346"/>
      <c r="F70" s="347"/>
      <c r="G70" s="348"/>
      <c r="H70" s="288" t="s">
        <v>2</v>
      </c>
      <c r="I70" s="289" t="str">
        <f>IF(F69&gt;0,_xll.PIAdvCalcFilVal($A70,$A$43,$A$50,$B70,"minimum","event-weighted","pt. compressed","10m", 0, 1, 0,"TPI")," ")</f>
        <v>[-11057] Not Enough Values For Calculation</v>
      </c>
      <c r="J70" s="289" t="str">
        <f>IF($F69&gt;0,_xll.PIAdvCalcFilVal($A70,$A$43,$A$50,$B70,"maximum","event-weighted","pt. compressed","10m", 0, 1, 0,"TPI")," ")</f>
        <v>[-11057] Not Enough Values For Calculation</v>
      </c>
      <c r="K70" s="289" t="str">
        <f>IF($F69&gt;0,_xll.PIAdvCalcFilVal($A70,$A$43,$A$50,$B70,"average","event-weighted","pt. compressed","10m", 0, 1, 0,"TPI")," ")</f>
        <v>[-11057] Not Enough Values For Calculation</v>
      </c>
      <c r="L70" s="347"/>
      <c r="M70" s="348"/>
      <c r="N70" s="288" t="s">
        <v>2</v>
      </c>
      <c r="O70" s="289" t="str">
        <f>IF(L$69&gt;0,_xll.PIAdvCalcFilVal($A70,$A$50,$A$51,$B70,"minimum","event-weighted","pt. compressed","10m", 0, 1, 0,"TPI")," ")</f>
        <v>[-11057] Not Enough Values For Calculation</v>
      </c>
      <c r="P70" s="289" t="str">
        <f>IF($L69&gt;0,_xll.PIAdvCalcFilVal($A70,$A$50,$A$51,$B70,"maximum","event-weighted","pt. compressed","10m", 0, 1, 0,"TPI")," ")</f>
        <v>[-11057] Not Enough Values For Calculation</v>
      </c>
      <c r="Q70" s="289" t="str">
        <f>IF($L69&gt;0,_xll.PIAdvCalcFilVal($A70,$A$50,$A$51,$B70,"average","event-weighted","pt. compressed","10m", 0, 1, 0,"TPI")," ")</f>
        <v>[-11057] Not Enough Values For Calculation</v>
      </c>
    </row>
    <row r="71" spans="1:17" x14ac:dyDescent="0.2">
      <c r="A71" s="13" t="s">
        <v>169</v>
      </c>
      <c r="B71" s="14" t="s">
        <v>107</v>
      </c>
      <c r="D71" s="346" t="s">
        <v>172</v>
      </c>
      <c r="E71" s="346"/>
      <c r="F71" s="347">
        <f>_xll.PITimeFilterVal($B71,$A$43,$A$50,"hours", 0,"TPI")</f>
        <v>12</v>
      </c>
      <c r="G71" s="348">
        <f>F71/12</f>
        <v>1</v>
      </c>
      <c r="H71" s="288" t="s">
        <v>1</v>
      </c>
      <c r="I71" s="289" t="str">
        <f>IF(F71&gt;0,_xll.PIAdvCalcFilVal($A71,$A$43,$A$50,$B71,"minimum","event-weighted","pt. compressed","10m", 0, 1, 0,"TPI")," ")</f>
        <v>[-11057] Not Enough Values For Calculation</v>
      </c>
      <c r="J71" s="289" t="str">
        <f>IF($F71&gt;0,_xll.PIAdvCalcFilVal($A71,$A$43,$A$50,$B71,"maximum","event-weighted","pt. compressed","10m", 0, 1, 0,"TPI")," ")</f>
        <v>[-11057] Not Enough Values For Calculation</v>
      </c>
      <c r="K71" s="289" t="str">
        <f>IF($F71&gt;0,_xll.PIAdvCalcFilVal($A71,$A$43,$A$50,$B71,"average","event-weighted","pt. compressed","10m", 0, 1, 0,"TPI")," ")</f>
        <v>[-11057] Not Enough Values For Calculation</v>
      </c>
      <c r="L71" s="347">
        <f>_xll.PITimeFilterVal($B71,$A$50,$A$51,"hours", 0,"TPI")</f>
        <v>8.5699999999999985</v>
      </c>
      <c r="M71" s="348">
        <f>L71/12</f>
        <v>0.71416666666666651</v>
      </c>
      <c r="N71" s="288" t="s">
        <v>1</v>
      </c>
      <c r="O71" s="289" t="str">
        <f>IF(L$71&gt;0,_xll.PIAdvCalcFilVal($A71,$A$50,$A$51,$B71,"minimum","event-weighted","pt. compressed","10m", 0, 1, 0,"TPI")," ")</f>
        <v>[-11057] Not Enough Values For Calculation</v>
      </c>
      <c r="P71" s="289" t="str">
        <f>IF($L71&gt;0,_xll.PIAdvCalcFilVal($A71,$A$50,$A$51,$B71,"maximum","event-weighted","pt. compressed","10m", 0, 1, 0,"TPI")," ")</f>
        <v>[-11057] Not Enough Values For Calculation</v>
      </c>
      <c r="Q71" s="289" t="str">
        <f>IF($L71&gt;0,_xll.PIAdvCalcFilVal($A71,$A$50,$A$51,$B71,"average","event-weighted","pt. compressed","10m", 0, 1, 0,"TPI")," ")</f>
        <v>[-11057] Not Enough Values For Calculation</v>
      </c>
    </row>
    <row r="72" spans="1:17" x14ac:dyDescent="0.2">
      <c r="A72" s="13" t="s">
        <v>170</v>
      </c>
      <c r="B72" s="14" t="s">
        <v>100</v>
      </c>
      <c r="D72" s="346"/>
      <c r="E72" s="346"/>
      <c r="F72" s="347"/>
      <c r="G72" s="348"/>
      <c r="H72" s="288" t="s">
        <v>2</v>
      </c>
      <c r="I72" s="289" t="str">
        <f>IF(F71&gt;0,_xll.PIAdvCalcFilVal($A72,$A$43,$A$50,$B72,"minimum","event-weighted","pt. compressed","10m", 0, 1, 0,"TPI")," ")</f>
        <v>[-11057] Not Enough Values For Calculation</v>
      </c>
      <c r="J72" s="289" t="str">
        <f>IF($F71&gt;0,_xll.PIAdvCalcFilVal($A72,$A$43,$A$50,$B72,"maximum","event-weighted","pt. compressed","10m", 0, 1, 0,"TPI")," ")</f>
        <v>[-11057] Not Enough Values For Calculation</v>
      </c>
      <c r="K72" s="289" t="str">
        <f>IF($F71&gt;0,_xll.PIAdvCalcFilVal($A72,$A$43,$A$50,$B72,"average","event-weighted","pt. compressed","10m", 0, 1, 0,"TPI")," ")</f>
        <v>[-11057] Not Enough Values For Calculation</v>
      </c>
      <c r="L72" s="347"/>
      <c r="M72" s="348"/>
      <c r="N72" s="288" t="s">
        <v>2</v>
      </c>
      <c r="O72" s="289" t="str">
        <f>IF(L$71&gt;0,_xll.PIAdvCalcFilVal($A72,$A$50,$A$51,$B72,"minimum","event-weighted","pt. compressed","10m", 0, 1, 0,"TPI")," ")</f>
        <v>[-11057] Not Enough Values For Calculation</v>
      </c>
      <c r="P72" s="289" t="str">
        <f>IF($L71&gt;0,_xll.PIAdvCalcFilVal($A72,$A$50,$A$51,$B72,"maximum","event-weighted","pt. compressed","10m", 0, 1, 0,"TPI")," ")</f>
        <v>[-11057] Not Enough Values For Calculation</v>
      </c>
      <c r="Q72" s="289" t="str">
        <f>IF($L71&gt;0,_xll.PIAdvCalcFilVal($A72,$A$50,$A$51,$B72,"average","event-weighted","pt. compressed","10m", 0, 1, 0,"TPI")," ")</f>
        <v>[-11057] Not Enough Values For Calculation</v>
      </c>
    </row>
    <row r="73" spans="1:17" hidden="1" x14ac:dyDescent="0.2">
      <c r="A73" s="15"/>
      <c r="B73" s="16"/>
      <c r="D73" s="68"/>
      <c r="E73" s="68"/>
      <c r="F73" s="65"/>
      <c r="G73" s="66"/>
      <c r="H73" s="69"/>
      <c r="I73" s="67"/>
      <c r="J73" s="67"/>
      <c r="K73" s="67"/>
      <c r="L73" s="65"/>
      <c r="M73" s="66"/>
      <c r="N73" s="69"/>
      <c r="O73" s="67"/>
      <c r="P73" s="67"/>
      <c r="Q73" s="67"/>
    </row>
    <row r="74" spans="1:17" ht="1.5" customHeight="1" x14ac:dyDescent="0.2">
      <c r="A74" s="15"/>
      <c r="B74" s="16"/>
      <c r="D74" s="68"/>
      <c r="E74" s="68"/>
      <c r="F74" s="65"/>
      <c r="G74" s="66"/>
      <c r="H74" s="69"/>
      <c r="I74" s="67"/>
      <c r="J74" s="67"/>
      <c r="K74" s="67"/>
      <c r="L74" s="65"/>
      <c r="M74" s="66"/>
      <c r="N74" s="69"/>
      <c r="O74" s="67"/>
      <c r="P74" s="67"/>
      <c r="Q74" s="67"/>
    </row>
    <row r="75" spans="1:17" ht="1.5" customHeight="1" x14ac:dyDescent="0.2">
      <c r="L75" s="62"/>
    </row>
    <row r="76" spans="1:17" ht="18" x14ac:dyDescent="0.2">
      <c r="A76" s="15"/>
      <c r="B76" s="16"/>
      <c r="E76" s="243" t="s">
        <v>226</v>
      </c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67"/>
    </row>
    <row r="77" spans="1:17" ht="4.5" customHeight="1" x14ac:dyDescent="0.2">
      <c r="A77" s="15"/>
      <c r="B77" s="16"/>
      <c r="Q77" s="67"/>
    </row>
    <row r="78" spans="1:17" ht="9.75" hidden="1" customHeight="1" x14ac:dyDescent="0.2">
      <c r="A78" s="15"/>
      <c r="B78" s="16"/>
      <c r="O78" s="244"/>
      <c r="P78" s="245"/>
      <c r="Q78" s="67"/>
    </row>
    <row r="79" spans="1:17" ht="3.75" customHeight="1" x14ac:dyDescent="0.2">
      <c r="A79" s="15"/>
      <c r="B79" s="16"/>
      <c r="Q79" s="67"/>
    </row>
    <row r="80" spans="1:17" ht="16.5" x14ac:dyDescent="0.2">
      <c r="A80" s="15"/>
      <c r="B80" s="16"/>
      <c r="D80" s="90"/>
      <c r="E80" s="246" t="s">
        <v>202</v>
      </c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1"/>
      <c r="Q80" s="67"/>
    </row>
    <row r="81" spans="1:17" ht="15.75" customHeight="1" x14ac:dyDescent="0.2">
      <c r="A81" s="15"/>
      <c r="B81" s="16"/>
      <c r="E81" s="247" t="s">
        <v>1</v>
      </c>
      <c r="F81" s="91"/>
      <c r="G81" s="91"/>
      <c r="H81" s="92"/>
      <c r="I81" s="93" t="s">
        <v>2</v>
      </c>
      <c r="J81" s="94"/>
      <c r="K81" s="94"/>
      <c r="L81" s="95"/>
      <c r="M81" s="96" t="s">
        <v>3</v>
      </c>
      <c r="N81" s="97"/>
      <c r="O81" s="97"/>
      <c r="P81" s="98"/>
      <c r="Q81" s="67"/>
    </row>
    <row r="82" spans="1:17" x14ac:dyDescent="0.2">
      <c r="A82" s="15"/>
      <c r="B82" s="16"/>
      <c r="E82" s="101" t="s">
        <v>10</v>
      </c>
      <c r="F82" s="100"/>
      <c r="G82" s="101" t="s">
        <v>11</v>
      </c>
      <c r="H82" s="100"/>
      <c r="I82" s="101" t="s">
        <v>10</v>
      </c>
      <c r="J82" s="100"/>
      <c r="K82" s="101" t="s">
        <v>11</v>
      </c>
      <c r="L82" s="100"/>
      <c r="M82" s="101" t="s">
        <v>10</v>
      </c>
      <c r="N82" s="100"/>
      <c r="O82" s="101" t="s">
        <v>11</v>
      </c>
      <c r="P82" s="100"/>
      <c r="Q82" s="67"/>
    </row>
    <row r="83" spans="1:17" x14ac:dyDescent="0.2">
      <c r="A83" s="15"/>
      <c r="B83" s="16"/>
      <c r="E83" s="103" t="s">
        <v>8</v>
      </c>
      <c r="F83" s="103" t="s">
        <v>12</v>
      </c>
      <c r="G83" s="103" t="s">
        <v>8</v>
      </c>
      <c r="H83" s="103" t="s">
        <v>12</v>
      </c>
      <c r="I83" s="103" t="s">
        <v>8</v>
      </c>
      <c r="J83" s="103" t="s">
        <v>12</v>
      </c>
      <c r="K83" s="103" t="s">
        <v>8</v>
      </c>
      <c r="L83" s="103" t="s">
        <v>12</v>
      </c>
      <c r="M83" s="103" t="s">
        <v>8</v>
      </c>
      <c r="N83" s="103" t="s">
        <v>12</v>
      </c>
      <c r="O83" s="103" t="s">
        <v>8</v>
      </c>
      <c r="P83" s="103" t="s">
        <v>12</v>
      </c>
      <c r="Q83" s="67"/>
    </row>
    <row r="84" spans="1:17" ht="15.75" customHeight="1" thickBot="1" x14ac:dyDescent="0.25">
      <c r="A84" s="15"/>
      <c r="B84" s="16"/>
      <c r="E84" s="248">
        <f>IF(ISNUMBER(LOOKUP($P$5, 'Courier_M.'!$B$9:$B$39, 'Courier_M.'!E9:E39)),LOOKUP($P$5,'Courier_M.'!$B$9:$B$39,'Courier_M.'!E9:E39),"Sin dato")</f>
        <v>23.400463104248047</v>
      </c>
      <c r="F84" s="249">
        <f>LOOKUP($P$5,Laboratorio_M!$B$7:$B$37,Laboratorio_M!E7:E37)</f>
        <v>23.776</v>
      </c>
      <c r="G84" s="248" t="str">
        <f>IF(ISNUMBER(LOOKUP($P$5, 'Courier_M.'!$B$9:$B$39, 'Courier_M.'!F9:F39)),LOOKUP($P$5,'Courier_M.'!$B$9:$B$39,'Courier_M.'!F9:F39),"Sin dato")</f>
        <v>Sin dato</v>
      </c>
      <c r="H84" s="249" t="str">
        <f>LOOKUP($P$5,Laboratorio_M!$B$7:$B$37,Laboratorio_M!F7:F37)</f>
        <v/>
      </c>
      <c r="I84" s="248">
        <f>IF(ISNUMBER(LOOKUP($P$5, 'Courier_M.'!$B$9:$B$39, 'Courier_M.'!G9:G39)),LOOKUP($P$5,'Courier_M.'!$B$9:$B$39,'Courier_M.'!G9:G39),"Sin dato")</f>
        <v>1.8072060346603394</v>
      </c>
      <c r="J84" s="249">
        <f>LOOKUP($P$5,Laboratorio_M!$B$7:$B$37,Laboratorio_M!G7:G37)</f>
        <v>1.7549999999999999</v>
      </c>
      <c r="K84" s="248" t="str">
        <f>IF(ISNUMBER(LOOKUP($P$5, 'Courier_M.'!$B$9:$B$39, 'Courier_M.'!H9:H39)),LOOKUP($P$5,'Courier_M.'!$B$9:$B$39,'Courier_M.'!H9:H39),"Sin dato")</f>
        <v>Sin dato</v>
      </c>
      <c r="L84" s="249" t="str">
        <f>LOOKUP($P$5,Laboratorio_M!$B$7:$B$37,Laboratorio_M!H7:H37)</f>
        <v/>
      </c>
      <c r="M84" s="248">
        <f>IF(ISNUMBER(LOOKUP($P$5, 'Courier_M.'!$B$9:$B$39, 'Courier_M.'!I9:I39)),LOOKUP($P$5,'Courier_M.'!$B$9:$B$39,'Courier_M.'!I9:I39),"Sin dato")</f>
        <v>27.310827255249023</v>
      </c>
      <c r="N84" s="249">
        <f>LOOKUP($P$5,Laboratorio_M!$B$7:$B$37,Laboratorio_M!I7:I37)</f>
        <v>30.1</v>
      </c>
      <c r="O84" s="248" t="str">
        <f>IF(ISNUMBER(LOOKUP($P$5, 'Courier_M.'!$B$9:$B$39, 'Courier_M.'!J9:J39)),LOOKUP($P$5,'Courier_M.'!$B$9:$B$39,'Courier_M.'!J9:J39),"Sin dato")</f>
        <v>Sin dato</v>
      </c>
      <c r="P84" s="250" t="str">
        <f>LOOKUP($P$5,Laboratorio_M!$B$7:$B$37,Laboratorio_M!J7:J37)</f>
        <v/>
      </c>
      <c r="Q84" s="251"/>
    </row>
    <row r="85" spans="1:17" ht="15.75" customHeight="1" thickTop="1" x14ac:dyDescent="0.2">
      <c r="A85" s="15"/>
      <c r="B85" s="16"/>
      <c r="D85" s="154" t="s">
        <v>99</v>
      </c>
      <c r="E85" s="293">
        <f>IF(ISNUMBER(F84-E84),F84-E84,"Sin dato")</f>
        <v>0.37553689575195293</v>
      </c>
      <c r="F85" s="113">
        <f>IF(ISNUMBER(E85),(ABS(E85))/F84*100,"Sin dato")</f>
        <v>1.5794788684049166</v>
      </c>
      <c r="G85" s="292" t="str">
        <f>IF(ISNUMBER(H84-G84),H84-G84,"Sin dato")</f>
        <v>Sin dato</v>
      </c>
      <c r="H85" s="113" t="str">
        <f>IF(ISNUMBER(G85),(ABS(G85))/H84*100,"Sin dato")</f>
        <v>Sin dato</v>
      </c>
      <c r="I85" s="292">
        <f>IF(ISNUMBER(J84-I84),J84-I84,"Sin dato")</f>
        <v>-5.2206034660339462E-2</v>
      </c>
      <c r="J85" s="113">
        <f>IF(ISNUMBER(I85),(ABS(I85))/J84*100,"Sin dato")</f>
        <v>2.9747028296489724</v>
      </c>
      <c r="K85" s="292" t="str">
        <f>IF(ISNUMBER(L84-K84),L84-K84,"Sin dato")</f>
        <v>Sin dato</v>
      </c>
      <c r="L85" s="113" t="str">
        <f>IF(ISNUMBER(K85),(ABS(K85))/L84*100,"Sin dato")</f>
        <v>Sin dato</v>
      </c>
      <c r="M85" s="292">
        <f>IF(ISNUMBER(N84-M84),N84-M84,"Sin dato")</f>
        <v>2.789172744750978</v>
      </c>
      <c r="N85" s="113">
        <f>IF(ISNUMBER(M85),(ABS(M85))/N84*100,"Sin dato")</f>
        <v>9.2663546337241787</v>
      </c>
      <c r="O85" s="292" t="str">
        <f>IF(ISNUMBER(P84-O84),P84-O84,"Sin dato")</f>
        <v>Sin dato</v>
      </c>
      <c r="P85" s="113" t="str">
        <f>IF(ISNUMBER(O85),(ABS(O85))/P84*100,"Sin dato")</f>
        <v>Sin dato</v>
      </c>
      <c r="Q85" s="67"/>
    </row>
    <row r="86" spans="1:17" ht="7.5" customHeight="1" x14ac:dyDescent="0.2">
      <c r="A86" s="15"/>
      <c r="B86" s="16"/>
      <c r="Q86" s="67"/>
    </row>
    <row r="87" spans="1:17" ht="16.5" x14ac:dyDescent="0.2">
      <c r="A87" s="15"/>
      <c r="B87" s="16"/>
      <c r="E87" s="246" t="s">
        <v>51</v>
      </c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1"/>
      <c r="Q87" s="67"/>
    </row>
    <row r="88" spans="1:17" ht="15.75" customHeight="1" x14ac:dyDescent="0.2">
      <c r="A88" s="15"/>
      <c r="B88" s="16"/>
      <c r="E88" s="247" t="s">
        <v>1</v>
      </c>
      <c r="F88" s="91"/>
      <c r="G88" s="91"/>
      <c r="H88" s="92"/>
      <c r="I88" s="93" t="s">
        <v>2</v>
      </c>
      <c r="J88" s="94"/>
      <c r="K88" s="94"/>
      <c r="L88" s="95"/>
      <c r="M88" s="96" t="s">
        <v>3</v>
      </c>
      <c r="N88" s="97"/>
      <c r="O88" s="97"/>
      <c r="P88" s="98"/>
      <c r="Q88" s="67"/>
    </row>
    <row r="89" spans="1:17" x14ac:dyDescent="0.2">
      <c r="A89" s="15"/>
      <c r="B89" s="16"/>
      <c r="E89" s="101" t="s">
        <v>10</v>
      </c>
      <c r="F89" s="100"/>
      <c r="G89" s="101" t="s">
        <v>11</v>
      </c>
      <c r="H89" s="100"/>
      <c r="I89" s="101" t="s">
        <v>10</v>
      </c>
      <c r="J89" s="100"/>
      <c r="K89" s="101" t="s">
        <v>11</v>
      </c>
      <c r="L89" s="100"/>
      <c r="M89" s="101" t="s">
        <v>10</v>
      </c>
      <c r="N89" s="100"/>
      <c r="O89" s="101" t="s">
        <v>11</v>
      </c>
      <c r="P89" s="100"/>
      <c r="Q89" s="67"/>
    </row>
    <row r="90" spans="1:17" x14ac:dyDescent="0.2">
      <c r="A90" s="15"/>
      <c r="B90" s="16"/>
      <c r="E90" s="103" t="s">
        <v>8</v>
      </c>
      <c r="F90" s="103" t="s">
        <v>12</v>
      </c>
      <c r="G90" s="103" t="s">
        <v>8</v>
      </c>
      <c r="H90" s="103" t="s">
        <v>12</v>
      </c>
      <c r="I90" s="103" t="s">
        <v>8</v>
      </c>
      <c r="J90" s="103" t="s">
        <v>12</v>
      </c>
      <c r="K90" s="103" t="s">
        <v>8</v>
      </c>
      <c r="L90" s="103" t="s">
        <v>12</v>
      </c>
      <c r="M90" s="103" t="s">
        <v>8</v>
      </c>
      <c r="N90" s="103" t="s">
        <v>12</v>
      </c>
      <c r="O90" s="103" t="s">
        <v>8</v>
      </c>
      <c r="P90" s="103" t="s">
        <v>12</v>
      </c>
      <c r="Q90" s="67"/>
    </row>
    <row r="91" spans="1:17" ht="15.75" customHeight="1" thickBot="1" x14ac:dyDescent="0.25">
      <c r="A91" s="15"/>
      <c r="B91" s="16"/>
      <c r="E91" s="248">
        <f>IF(ISNUMBER(LOOKUP($P$5, 'Courier_M.'!$B$9:$B$39, 'Courier_M.'!K9:K39)),LOOKUP($P$5,'Courier_M.'!$B$9:$B$39,'Courier_M.'!K9:K39),"Sin dato")</f>
        <v>24.849987030029297</v>
      </c>
      <c r="F91" s="249">
        <f>LOOKUP($P$5,Laboratorio_M!$B$7:$B$37,Laboratorio_M!K7:K37)</f>
        <v>25.271000000000001</v>
      </c>
      <c r="G91" s="248" t="str">
        <f>IF(ISNUMBER(LOOKUP($P$5, 'Courier_M.'!$B$9:$B$39, 'Courier_M.'!L9:L39)),LOOKUP($P$5,'Courier_M.'!$B$9:$B$39,'Courier_M.'!L9:L39),"Sin dato")</f>
        <v>Sin dato</v>
      </c>
      <c r="H91" s="249" t="str">
        <f>LOOKUP($P$5,Laboratorio_M!$B$7:$B$37,Laboratorio_M!L7:L37)</f>
        <v/>
      </c>
      <c r="I91" s="248">
        <f>IF(ISNUMBER(LOOKUP($P$5, 'Courier_M.'!$B$9:$B$39, 'Courier_M.'!M9:M39)),LOOKUP($P$5,'Courier_M.'!$B$9:$B$39,'Courier_M.'!M9:M39),"Sin dato")</f>
        <v>7.5125448405742645E-2</v>
      </c>
      <c r="J91" s="249">
        <f>LOOKUP($P$5,Laboratorio_M!$B$7:$B$37,Laboratorio_M!M7:M37)</f>
        <v>7.1999999999999995E-2</v>
      </c>
      <c r="K91" s="248" t="str">
        <f>IF(ISNUMBER(LOOKUP($P$5, 'Courier_M.'!$B$9:$B$39, 'Courier_M.'!N9:N39)),LOOKUP($P$5,'Courier_M.'!$B$9:$B$39,'Courier_M.'!N9:N39),"Sin dato")</f>
        <v>Sin dato</v>
      </c>
      <c r="L91" s="249" t="str">
        <f>LOOKUP($P$5,Laboratorio_M!$B$7:$B$37,Laboratorio_M!N7:N37)</f>
        <v/>
      </c>
      <c r="M91" s="248">
        <f>IF(ISNUMBER(LOOKUP($P$5, 'Courier_M.'!$B$9:$B$39, 'Courier_M.'!O9:O39)),LOOKUP($P$5,'Courier_M.'!$B$9:$B$39,'Courier_M.'!O9:O39),"Sin dato")</f>
        <v>28.761812210083008</v>
      </c>
      <c r="N91" s="249">
        <f>LOOKUP($P$5,Laboratorio_M!$B$7:$B$37,Laboratorio_M!O7:O37)</f>
        <v>30.68</v>
      </c>
      <c r="O91" s="248" t="str">
        <f>IF(ISNUMBER(LOOKUP($P$5, 'Courier_M.'!$B$9:$B$39, 'Courier_M.'!P9:P39)),LOOKUP($P$5,'Courier_M.'!$B$9:$B$39,'Courier_M.'!P9:P39),"Sin dato")</f>
        <v>Sin dato</v>
      </c>
      <c r="P91" s="249" t="str">
        <f>LOOKUP($P$5,Laboratorio_M!$B$7:$B$37,Laboratorio_M!P7:P37)</f>
        <v/>
      </c>
      <c r="Q91" s="67"/>
    </row>
    <row r="92" spans="1:17" ht="15.75" customHeight="1" thickTop="1" x14ac:dyDescent="0.2">
      <c r="A92" s="15"/>
      <c r="B92" s="16"/>
      <c r="D92" s="154" t="s">
        <v>99</v>
      </c>
      <c r="E92" s="292">
        <f>IF(ISNUMBER(F91-E91),F91-E91,"Sin dato")</f>
        <v>0.42101296997070392</v>
      </c>
      <c r="F92" s="113">
        <f>IF(ISNUMBER(E92),(ABS(E92))/F91*100,"Sin dato")</f>
        <v>1.6659925209556563</v>
      </c>
      <c r="G92" s="292" t="str">
        <f>IF(ISNUMBER(H91-G91),H91-G91,"Sin dato")</f>
        <v>Sin dato</v>
      </c>
      <c r="H92" s="113" t="str">
        <f>IF(ISNUMBER(G92),(ABS(G92))/H91*100,"Sin dato")</f>
        <v>Sin dato</v>
      </c>
      <c r="I92" s="292">
        <f>IF(ISNUMBER(J91-I91),J91-I91,"Sin dato")</f>
        <v>-3.1254484057426507E-3</v>
      </c>
      <c r="J92" s="113">
        <f>IF(ISNUMBER(I92),(ABS(I92))/J91*100,"Sin dato")</f>
        <v>4.3409005635314593</v>
      </c>
      <c r="K92" s="292" t="str">
        <f>IF(ISNUMBER(L91-K91),L91-K91,"Sin dato")</f>
        <v>Sin dato</v>
      </c>
      <c r="L92" s="113" t="str">
        <f>IF(ISNUMBER(K92),(ABS(K92))/L91*100,"Sin dato")</f>
        <v>Sin dato</v>
      </c>
      <c r="M92" s="292">
        <f>IF(ISNUMBER(N91-M91),N91-M91,"Sin dato")</f>
        <v>1.9181877899169919</v>
      </c>
      <c r="N92" s="113">
        <f>IF(ISNUMBER(M92),(ABS(M92))/N91*100,"Sin dato")</f>
        <v>6.2522418185038857</v>
      </c>
      <c r="O92" s="292" t="str">
        <f>IF(ISNUMBER(P91-O91),P91-O91,"Sin dato")</f>
        <v>Sin dato</v>
      </c>
      <c r="P92" s="113" t="str">
        <f>IF(ISNUMBER(O92),(ABS(O92))/P91*100,"Sin dato")</f>
        <v>Sin dato</v>
      </c>
      <c r="Q92" s="67"/>
    </row>
    <row r="93" spans="1:17" ht="5.25" customHeight="1" x14ac:dyDescent="0.2">
      <c r="A93" s="15"/>
      <c r="B93" s="16"/>
      <c r="Q93" s="67"/>
    </row>
    <row r="94" spans="1:17" ht="16.5" x14ac:dyDescent="0.2">
      <c r="A94" s="15"/>
      <c r="B94" s="16"/>
      <c r="E94" s="246" t="s">
        <v>203</v>
      </c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1"/>
      <c r="Q94" s="67"/>
    </row>
    <row r="95" spans="1:17" ht="15.75" customHeight="1" x14ac:dyDescent="0.2">
      <c r="A95" s="15"/>
      <c r="B95" s="16"/>
      <c r="E95" s="247" t="s">
        <v>1</v>
      </c>
      <c r="F95" s="91"/>
      <c r="G95" s="91"/>
      <c r="H95" s="92"/>
      <c r="I95" s="93" t="s">
        <v>2</v>
      </c>
      <c r="J95" s="94"/>
      <c r="K95" s="94"/>
      <c r="L95" s="95"/>
      <c r="M95" s="96" t="s">
        <v>3</v>
      </c>
      <c r="N95" s="97"/>
      <c r="O95" s="97"/>
      <c r="P95" s="98"/>
      <c r="Q95" s="67"/>
    </row>
    <row r="96" spans="1:17" x14ac:dyDescent="0.2">
      <c r="A96" s="15"/>
      <c r="B96" s="16"/>
      <c r="E96" s="101" t="s">
        <v>10</v>
      </c>
      <c r="F96" s="100"/>
      <c r="G96" s="101" t="s">
        <v>11</v>
      </c>
      <c r="H96" s="100"/>
      <c r="I96" s="101" t="s">
        <v>10</v>
      </c>
      <c r="J96" s="100"/>
      <c r="K96" s="101" t="s">
        <v>11</v>
      </c>
      <c r="L96" s="100"/>
      <c r="M96" s="101" t="s">
        <v>10</v>
      </c>
      <c r="N96" s="100"/>
      <c r="O96" s="101" t="s">
        <v>11</v>
      </c>
      <c r="P96" s="100"/>
      <c r="Q96" s="67"/>
    </row>
    <row r="97" spans="1:17" x14ac:dyDescent="0.2">
      <c r="A97" s="15"/>
      <c r="B97" s="16"/>
      <c r="E97" s="103" t="s">
        <v>8</v>
      </c>
      <c r="F97" s="103" t="s">
        <v>12</v>
      </c>
      <c r="G97" s="103" t="s">
        <v>8</v>
      </c>
      <c r="H97" s="103" t="s">
        <v>12</v>
      </c>
      <c r="I97" s="103" t="s">
        <v>8</v>
      </c>
      <c r="J97" s="103" t="s">
        <v>12</v>
      </c>
      <c r="K97" s="103" t="s">
        <v>8</v>
      </c>
      <c r="L97" s="103" t="s">
        <v>12</v>
      </c>
      <c r="M97" s="103" t="s">
        <v>8</v>
      </c>
      <c r="N97" s="103" t="s">
        <v>12</v>
      </c>
      <c r="O97" s="103" t="s">
        <v>8</v>
      </c>
      <c r="P97" s="103" t="s">
        <v>12</v>
      </c>
      <c r="Q97" s="67"/>
    </row>
    <row r="98" spans="1:17" ht="15.75" customHeight="1" thickBot="1" x14ac:dyDescent="0.25">
      <c r="A98" s="15"/>
      <c r="B98" s="16"/>
      <c r="E98" s="248">
        <f>IF(ISNUMBER(LOOKUP($P$5, 'Courier_M.'!$B$9:$B$39, 'Courier_M.'!S9:S39)),LOOKUP($P$5,'Courier_M.'!$B$9:$B$39,'Courier_M.'!S9:S39),"Sin dato")</f>
        <v>0.73974072933197021</v>
      </c>
      <c r="F98" s="249">
        <f>LOOKUP($P$5,Laboratorio_M!$B$7:$B$37,Laboratorio_M!S7:S37)</f>
        <v>0.71199999999999997</v>
      </c>
      <c r="G98" s="248" t="str">
        <f>IF(ISNUMBER(LOOKUP($P$5, 'Courier_M.'!$B$9:$B$39, 'Courier_M.'!T9:T39)),LOOKUP($P$5,'Courier_M.'!$B$9:$B$39,'Courier_M.'!T9:T39),"Sin dato")</f>
        <v>Sin dato</v>
      </c>
      <c r="H98" s="249" t="str">
        <f>LOOKUP($P$5,Laboratorio_M!$B$7:$B$37,Laboratorio_M!T7:T37)</f>
        <v/>
      </c>
      <c r="I98" s="248">
        <f>IF(ISNUMBER(LOOKUP($P$5, 'Courier_M.'!$B$9:$B$39, 'Courier_M.'!U9:U39)),LOOKUP($P$5,'Courier_M.'!$B$9:$B$39,'Courier_M.'!U9:U39),"Sin dato")</f>
        <v>55.927764892578125</v>
      </c>
      <c r="J98" s="249">
        <f>LOOKUP($P$5,Laboratorio_M!$B$7:$B$37,Laboratorio_M!U7:U37)</f>
        <v>56.81</v>
      </c>
      <c r="K98" s="248" t="str">
        <f>IF(ISNUMBER(LOOKUP($P$5, 'Courier_M.'!$B$9:$B$39, 'Courier_M.'!V9:V39)),LOOKUP($P$5,'Courier_M.'!$B$9:$B$39,'Courier_M.'!V9:V39),"Sin dato")</f>
        <v>Sin dato</v>
      </c>
      <c r="L98" s="249" t="str">
        <f>LOOKUP($P$5,Laboratorio_M!$B$7:$B$37,Laboratorio_M!V7:V37)</f>
        <v/>
      </c>
      <c r="M98" s="248">
        <f>IF(ISNUMBER(LOOKUP($P$5, 'Courier_M.'!$B$9:$B$39, 'Courier_M.'!W9:W39)),LOOKUP($P$5,'Courier_M.'!$B$9:$B$39,'Courier_M.'!W9:W39),"Sin dato")</f>
        <v>0.97704309225082397</v>
      </c>
      <c r="N98" s="249">
        <f>LOOKUP($P$5,Laboratorio_M!$B$7:$B$37,Laboratorio_M!W7:W37)</f>
        <v>0.86399999999999999</v>
      </c>
      <c r="O98" s="248" t="str">
        <f>IF(ISNUMBER(LOOKUP($P$5, 'Courier_M.'!$B$9:$B$39, 'Courier_M.'!X9:X39)),LOOKUP($P$5,'Courier_M.'!$B$9:$B$39,'Courier_M.'!X9:X39),"Sin dato")</f>
        <v>Sin dato</v>
      </c>
      <c r="P98" s="249" t="str">
        <f>LOOKUP($P$5,Laboratorio_M!$B$7:$B$37,Laboratorio_M!X7:X37)</f>
        <v/>
      </c>
      <c r="Q98" s="67"/>
    </row>
    <row r="99" spans="1:17" ht="15.75" customHeight="1" thickTop="1" x14ac:dyDescent="0.2">
      <c r="A99" s="15"/>
      <c r="B99" s="16"/>
      <c r="D99" s="154" t="s">
        <v>99</v>
      </c>
      <c r="E99" s="294">
        <f>IF(ISNUMBER(F98-E98),F98-E98,"Sin dato")</f>
        <v>-2.7740729331970249E-2</v>
      </c>
      <c r="F99" s="113">
        <f>IF(ISNUMBER(E99),(ABS(E99))/F98*100,"Sin dato")</f>
        <v>3.8961698499958217</v>
      </c>
      <c r="G99" s="294" t="str">
        <f>IF(ISNUMBER(H98-G98),H98-G98,"Sin dato")</f>
        <v>Sin dato</v>
      </c>
      <c r="H99" s="113" t="str">
        <f>IF(ISNUMBER(G99),(ABS(G99))/H98*100,"Sin dato")</f>
        <v>Sin dato</v>
      </c>
      <c r="I99" s="294">
        <f>IF(ISNUMBER(J98-I98),J98-I98,"Sin dato")</f>
        <v>0.88223510742187727</v>
      </c>
      <c r="J99" s="113">
        <f>IF(ISNUMBER(I99),(ABS(I99))/J98*100,"Sin dato")</f>
        <v>1.5529574149302539</v>
      </c>
      <c r="K99" s="294" t="str">
        <f>IF(ISNUMBER(L98-K98),L98-K98,"Sin dato")</f>
        <v>Sin dato</v>
      </c>
      <c r="L99" s="113" t="str">
        <f>IF(ISNUMBER(K99),(ABS(K99))/L98*100,"Sin dato")</f>
        <v>Sin dato</v>
      </c>
      <c r="M99" s="294">
        <f>IF(ISNUMBER(N98-M98),N98-M98,"Sin dato")</f>
        <v>-0.11304309225082398</v>
      </c>
      <c r="N99" s="113">
        <f>IF(ISNUMBER(M99),(ABS(M99))/N98*100,"Sin dato")</f>
        <v>13.083691232734257</v>
      </c>
      <c r="O99" s="294" t="str">
        <f>IF(ISNUMBER(P98-O98),P98-O98,"Sin dato")</f>
        <v>Sin dato</v>
      </c>
      <c r="P99" s="113" t="str">
        <f>IF(ISNUMBER(O99),(ABS(O99))/P98*100,"Sin dato")</f>
        <v>Sin dato</v>
      </c>
      <c r="Q99" s="67"/>
    </row>
    <row r="100" spans="1:17" ht="6.75" customHeight="1" x14ac:dyDescent="0.2">
      <c r="A100" s="15"/>
      <c r="B100" s="16"/>
      <c r="D100" s="125"/>
      <c r="E100" s="152"/>
      <c r="F100" s="153"/>
      <c r="G100" s="152"/>
      <c r="H100" s="153"/>
      <c r="I100" s="152"/>
      <c r="J100" s="153"/>
      <c r="K100" s="152"/>
      <c r="L100" s="153"/>
      <c r="M100" s="152"/>
      <c r="N100" s="153"/>
      <c r="O100" s="152"/>
      <c r="P100" s="153"/>
      <c r="Q100" s="67"/>
    </row>
    <row r="101" spans="1:17" ht="15" x14ac:dyDescent="0.2">
      <c r="A101" s="15"/>
      <c r="B101" s="16"/>
      <c r="E101" s="282" t="s">
        <v>236</v>
      </c>
      <c r="F101" s="282"/>
      <c r="G101" s="282"/>
      <c r="H101" s="283"/>
      <c r="I101" s="110" t="s">
        <v>45</v>
      </c>
      <c r="J101" s="111"/>
      <c r="K101" s="111"/>
      <c r="L101" s="112"/>
      <c r="M101" s="252"/>
      <c r="N101" s="287"/>
      <c r="O101" s="252"/>
      <c r="P101" s="287"/>
      <c r="Q101" s="67"/>
    </row>
    <row r="102" spans="1:17" x14ac:dyDescent="0.2">
      <c r="A102" s="15"/>
      <c r="B102" s="16"/>
      <c r="E102" s="99" t="s">
        <v>10</v>
      </c>
      <c r="F102" s="100"/>
      <c r="G102" s="101" t="s">
        <v>11</v>
      </c>
      <c r="H102" s="100"/>
      <c r="I102" s="101" t="s">
        <v>10</v>
      </c>
      <c r="J102" s="100"/>
      <c r="K102" s="101" t="s">
        <v>11</v>
      </c>
      <c r="L102" s="100"/>
      <c r="M102" s="252"/>
      <c r="N102" s="287"/>
      <c r="O102" s="252"/>
      <c r="P102" s="287"/>
      <c r="Q102" s="67"/>
    </row>
    <row r="103" spans="1:17" x14ac:dyDescent="0.2">
      <c r="A103" s="15"/>
      <c r="B103" s="16"/>
      <c r="E103" s="102" t="s">
        <v>8</v>
      </c>
      <c r="F103" s="103" t="s">
        <v>12</v>
      </c>
      <c r="G103" s="103" t="s">
        <v>8</v>
      </c>
      <c r="H103" s="103" t="s">
        <v>12</v>
      </c>
      <c r="I103" s="103" t="s">
        <v>8</v>
      </c>
      <c r="J103" s="103" t="s">
        <v>12</v>
      </c>
      <c r="K103" s="103" t="s">
        <v>8</v>
      </c>
      <c r="L103" s="103" t="s">
        <v>12</v>
      </c>
      <c r="M103" s="252"/>
      <c r="N103" s="287"/>
      <c r="O103" s="252"/>
      <c r="P103" s="287"/>
      <c r="Q103" s="67"/>
    </row>
    <row r="104" spans="1:17" ht="16.5" thickBot="1" x14ac:dyDescent="0.25">
      <c r="A104" s="15"/>
      <c r="B104" s="16"/>
      <c r="E104" s="248">
        <f>IF(ISNUMBER(LOOKUP($P$5, 'Courier_M.'!$B$9:$B$39, 'Courier_M.'!Y9:Y39)),LOOKUP($P$5,'Courier_M.'!$B$9:$B$39,'Courier_M.'!Y9:Y39),"Sin dato")</f>
        <v>2.6101105448434132</v>
      </c>
      <c r="F104" s="249">
        <f>LOOKUP($P$5,Laboratorio_M!$B$7:$B$37,Laboratorio_M!Y7:Y37)</f>
        <v>2.3199999999999998</v>
      </c>
      <c r="G104" s="248">
        <f>IF(ISNUMBER(LOOKUP($P$5, 'Courier_M.'!$B$9:$B$39, 'Courier_M.'!Z9:Z39)),LOOKUP($P$5,'Courier_M.'!$B$9:$B$39,'Courier_M.'!Z9:Z39),"Sin dato")</f>
        <v>2.7019176203405122</v>
      </c>
      <c r="H104" s="249" t="str">
        <f>LOOKUP($P$5,Laboratorio_M!$B$7:$B$37,Laboratorio_M!Z7:Z37)</f>
        <v/>
      </c>
      <c r="I104" s="106" t="s">
        <v>239</v>
      </c>
      <c r="J104" s="105" t="s">
        <v>239</v>
      </c>
      <c r="K104" s="106" t="s">
        <v>239</v>
      </c>
      <c r="L104" s="105" t="s">
        <v>239</v>
      </c>
      <c r="M104" s="252"/>
      <c r="N104" s="287"/>
      <c r="O104" s="252"/>
      <c r="P104" s="287"/>
      <c r="Q104" s="67"/>
    </row>
    <row r="105" spans="1:17" ht="13.5" thickTop="1" x14ac:dyDescent="0.2">
      <c r="A105" s="15"/>
      <c r="B105" s="16"/>
      <c r="D105" s="280" t="s">
        <v>99</v>
      </c>
      <c r="E105" s="291">
        <f>IF(ISNUMBER(F104-E104),F104-E104,"Sin dato")</f>
        <v>-0.29011054484341336</v>
      </c>
      <c r="F105" s="113">
        <f>IF(ISNUMBER(E105),(ABS(E105))/F104*100,"Sin dato")</f>
        <v>12.504764863940231</v>
      </c>
      <c r="G105" s="292" t="str">
        <f>IF(ISNUMBER(H104-G104),H104-G104,"Sin dato")</f>
        <v>Sin dato</v>
      </c>
      <c r="H105" s="113" t="str">
        <f>IF(ISNUMBER(G105),(ABS(G105))/H104*100,"Sin dato")</f>
        <v>Sin dato</v>
      </c>
      <c r="I105" s="258" t="s">
        <v>239</v>
      </c>
      <c r="J105" s="281" t="s">
        <v>239</v>
      </c>
      <c r="K105" s="258" t="s">
        <v>239</v>
      </c>
      <c r="L105" s="281" t="s">
        <v>239</v>
      </c>
      <c r="M105" s="252"/>
      <c r="N105" s="287"/>
      <c r="O105" s="252"/>
      <c r="P105" s="287"/>
      <c r="Q105" s="67"/>
    </row>
    <row r="106" spans="1:17" x14ac:dyDescent="0.2">
      <c r="A106" s="15"/>
      <c r="B106" s="16"/>
      <c r="D106" s="125"/>
      <c r="E106" s="152"/>
      <c r="F106" s="286"/>
      <c r="G106" s="152"/>
      <c r="H106" s="286"/>
      <c r="I106" s="252"/>
      <c r="J106" s="287"/>
      <c r="K106" s="252"/>
      <c r="L106" s="287"/>
      <c r="M106" s="252"/>
      <c r="N106" s="287"/>
      <c r="O106" s="252"/>
      <c r="P106" s="287"/>
      <c r="Q106" s="67"/>
    </row>
    <row r="107" spans="1:17" ht="15.75" customHeight="1" x14ac:dyDescent="0.2">
      <c r="A107" s="15"/>
      <c r="B107" s="16"/>
      <c r="D107" s="125"/>
      <c r="E107" s="349" t="s">
        <v>59</v>
      </c>
      <c r="F107" s="350"/>
      <c r="G107" s="350"/>
      <c r="H107" s="351"/>
      <c r="M107" s="252"/>
    </row>
    <row r="108" spans="1:17" ht="15.75" customHeight="1" x14ac:dyDescent="0.2">
      <c r="A108" s="15"/>
      <c r="B108" s="16"/>
      <c r="D108" s="125"/>
      <c r="E108" s="253" t="s">
        <v>10</v>
      </c>
      <c r="F108" s="253"/>
      <c r="G108" s="253" t="s">
        <v>11</v>
      </c>
      <c r="H108" s="253"/>
      <c r="J108" s="68"/>
      <c r="K108"/>
      <c r="L108" s="352" t="s">
        <v>62</v>
      </c>
      <c r="M108" s="353"/>
      <c r="N108" s="353"/>
      <c r="O108" s="353"/>
      <c r="P108" s="353"/>
      <c r="Q108" s="354"/>
    </row>
    <row r="109" spans="1:17" ht="15.75" customHeight="1" thickBot="1" x14ac:dyDescent="0.25">
      <c r="A109" s="15"/>
      <c r="B109" s="16"/>
      <c r="D109" s="125"/>
      <c r="E109" s="103" t="s">
        <v>8</v>
      </c>
      <c r="F109" s="103" t="s">
        <v>12</v>
      </c>
      <c r="G109" s="103" t="s">
        <v>8</v>
      </c>
      <c r="H109" s="103" t="s">
        <v>12</v>
      </c>
      <c r="J109" s="254"/>
      <c r="K109" s="255"/>
      <c r="L109" s="256" t="s">
        <v>204</v>
      </c>
      <c r="M109" s="256" t="s">
        <v>205</v>
      </c>
      <c r="N109" s="256" t="s">
        <v>206</v>
      </c>
      <c r="O109" s="256" t="s">
        <v>207</v>
      </c>
      <c r="P109" s="256" t="s">
        <v>67</v>
      </c>
      <c r="Q109" s="256" t="s">
        <v>68</v>
      </c>
    </row>
    <row r="110" spans="1:17" ht="15.75" customHeight="1" thickTop="1" x14ac:dyDescent="0.2">
      <c r="A110" s="15"/>
      <c r="B110" s="16"/>
      <c r="D110" s="125"/>
      <c r="E110" s="248">
        <f>IF(ISNUMBER(I98/I84*(I84-I91)/(I98-I91)*100),I98/I84*(I84-I91)/(I98-I91)*100,"Sin dato")</f>
        <v>95.97192099407853</v>
      </c>
      <c r="F110" s="113">
        <f>IF(ISNUMBER(J98/J84*(J84-J91)/(J98-J91)*100),J98/J84*(J84-J91)/(J98-J91)*100,"Sin dato")</f>
        <v>96.019128861315764</v>
      </c>
      <c r="G110" s="248" t="str">
        <f>IF(ISNUMBER(K98/K84*(K84-K91)/(K98-K91)*100),K98/K84*(K84-K91)/(K98-K91)*100,"Sin dato")</f>
        <v>Sin dato</v>
      </c>
      <c r="H110" s="113" t="str">
        <f>IF(ISNUMBER(L98/L84*(L84-L91)/(L98-L91)*100),L98/L84*(L84-L91)/(L98-L91)*100,"Sin dato")</f>
        <v>Sin dato</v>
      </c>
      <c r="J110" s="355" t="s">
        <v>95</v>
      </c>
      <c r="K110" s="356"/>
      <c r="L110" s="257">
        <f>TABLA_M!H66</f>
        <v>3.9827033692712468</v>
      </c>
      <c r="M110" s="257">
        <f>TABLA_M!O66</f>
        <v>18.274127410699233</v>
      </c>
      <c r="N110" s="257">
        <f>TABLA_M!AC66</f>
        <v>4.7929924319631123</v>
      </c>
      <c r="O110" s="257">
        <f>TABLA_M!AJ66</f>
        <v>324.25547189742304</v>
      </c>
      <c r="P110" s="257">
        <f>TABLA_M!AX66</f>
        <v>20.338949383857866</v>
      </c>
      <c r="Q110" s="257">
        <f>TABLA_M!BE66</f>
        <v>1.7334848182435985</v>
      </c>
    </row>
    <row r="111" spans="1:17" ht="15.75" hidden="1" customHeight="1" x14ac:dyDescent="0.2">
      <c r="A111" s="15"/>
      <c r="B111" s="16"/>
      <c r="D111" s="154"/>
      <c r="E111" s="258"/>
      <c r="F111" s="259"/>
      <c r="G111" s="258"/>
      <c r="H111" s="259"/>
      <c r="M111" s="252"/>
      <c r="N111" s="260"/>
      <c r="O111" s="252"/>
      <c r="P111" s="260"/>
      <c r="Q111" s="67"/>
    </row>
    <row r="112" spans="1:17" ht="6.75" customHeight="1" x14ac:dyDescent="0.2">
      <c r="A112" s="15"/>
      <c r="B112" s="16"/>
      <c r="D112" s="125"/>
      <c r="E112" s="261"/>
      <c r="F112" s="262"/>
      <c r="G112" s="261"/>
      <c r="H112" s="262"/>
      <c r="I112" s="261"/>
      <c r="J112" s="262"/>
      <c r="K112" s="261"/>
      <c r="L112" s="262"/>
      <c r="M112" s="261"/>
      <c r="N112" s="262"/>
      <c r="O112" s="261"/>
      <c r="P112" s="262"/>
      <c r="Q112" s="67"/>
    </row>
    <row r="113" spans="1:17" x14ac:dyDescent="0.2">
      <c r="A113" s="62"/>
      <c r="D113" s="357" t="str">
        <f>"Fecha:  "&amp;TEXT(Portada!P10,"dd-mmm-yyyy")</f>
        <v>Fecha:  Lab</v>
      </c>
      <c r="E113" s="357"/>
      <c r="F113" s="358" t="s">
        <v>16</v>
      </c>
      <c r="G113" s="358"/>
      <c r="H113" s="358"/>
      <c r="I113" s="358"/>
      <c r="J113" s="358"/>
      <c r="K113" s="358"/>
      <c r="L113" s="358" t="s">
        <v>17</v>
      </c>
      <c r="M113" s="358"/>
      <c r="N113" s="358"/>
      <c r="O113" s="358"/>
      <c r="P113" s="358"/>
      <c r="Q113" s="358"/>
    </row>
    <row r="114" spans="1:17" x14ac:dyDescent="0.2">
      <c r="D114" s="357"/>
      <c r="E114" s="357"/>
      <c r="F114" s="85" t="s">
        <v>29</v>
      </c>
      <c r="G114" s="85" t="s">
        <v>50</v>
      </c>
      <c r="H114" s="85" t="s">
        <v>49</v>
      </c>
      <c r="I114" s="85" t="s">
        <v>54</v>
      </c>
      <c r="J114" s="85" t="s">
        <v>55</v>
      </c>
      <c r="K114" s="85" t="s">
        <v>48</v>
      </c>
      <c r="L114" s="85" t="s">
        <v>29</v>
      </c>
      <c r="M114" s="85" t="s">
        <v>50</v>
      </c>
      <c r="N114" s="85" t="s">
        <v>49</v>
      </c>
      <c r="O114" s="85" t="s">
        <v>54</v>
      </c>
      <c r="P114" s="85" t="s">
        <v>55</v>
      </c>
      <c r="Q114" s="85" t="s">
        <v>48</v>
      </c>
    </row>
    <row r="115" spans="1:17" ht="14.25" customHeight="1" x14ac:dyDescent="0.2">
      <c r="A115" s="242"/>
      <c r="B115" s="263"/>
      <c r="D115" s="346" t="s">
        <v>208</v>
      </c>
      <c r="E115" s="346"/>
      <c r="F115" s="347" t="str">
        <f>_xll.PITimeFilterVal($B115,$A$43,$A$50,"hours",0,"TPI")</f>
        <v>Invalid Expression Syntax</v>
      </c>
      <c r="G115" s="348" t="e">
        <f>F115/12</f>
        <v>#VALUE!</v>
      </c>
      <c r="H115" s="288" t="s">
        <v>1</v>
      </c>
      <c r="I115" s="289" t="str">
        <f>IF($F115&gt;0,_xll.PIAdvCalcFilVal($A115,$A$43,$A$50,$B115,"minimum","event-weighted","pt. compressed","10m", 0, 1, 0,"TPI")," ")</f>
        <v>Tag not found</v>
      </c>
      <c r="J115" s="289" t="str">
        <f>IF($F115&gt;0,_xll.PIAdvCalcFilVal($A115,$A$43,$A$50,$B115,"maximum","event-weighted","pt. compressed","10m", 0, 1, 0,"TPI")," ")</f>
        <v>Tag not found</v>
      </c>
      <c r="K115" s="289" t="str">
        <f>IF($F115&gt;0,_xll.PIAdvCalcFilVal($A115,$A$43,$A$50,$B115,"average","event-weighted","pt. compressed","10m", 0, 1, 0,"TPI")," ")</f>
        <v>Tag not found</v>
      </c>
      <c r="L115" s="347" t="str">
        <f>_xll.PITimeFilterVal($B115,$A$50,$A$51,"hours",0,"TPI")</f>
        <v>Invalid Expression Syntax</v>
      </c>
      <c r="M115" s="348" t="e">
        <f>L115/12</f>
        <v>#VALUE!</v>
      </c>
      <c r="N115" s="288" t="s">
        <v>1</v>
      </c>
      <c r="O115" s="289" t="str">
        <f>IF($L115&gt;0,_xll.PIAdvCalcFilVal($A115,$A$50,$A$51,$B115,"minimum","event-weighted","pt. compressed","10m", 0, 1, 0,"TPI")," ")</f>
        <v>Tag not found</v>
      </c>
      <c r="P115" s="289" t="str">
        <f>IF($L115&gt;0,_xll.PIAdvCalcFilVal($A115,$A$50,$A$51,$B115,"maximum","event-weighted","pt. compressed","10m", 0, 1, 0,"TPI")," ")</f>
        <v>Tag not found</v>
      </c>
      <c r="Q115" s="289" t="str">
        <f>IF($L115&gt;0,_xll.PIAdvCalcFilVal($A115,$A$50,$A$51,$B115,"average","event-weighted","pt. compressed","10m", 0, 1, 0,"TPI")," ")</f>
        <v>Tag not found</v>
      </c>
    </row>
    <row r="116" spans="1:17" ht="14.25" customHeight="1" x14ac:dyDescent="0.2">
      <c r="A116" s="242"/>
      <c r="B116" s="263"/>
      <c r="D116" s="346"/>
      <c r="E116" s="346"/>
      <c r="F116" s="347"/>
      <c r="G116" s="348"/>
      <c r="H116" s="288" t="s">
        <v>2</v>
      </c>
      <c r="I116" s="289" t="str">
        <f>IF($F115&gt;0,_xll.PIAdvCalcFilVal($A116,$A$43,$A$50,$B116,"minimum","event-weighted","pt. compressed","10m", 0, 1, 0,"TPI")," ")</f>
        <v>Tag not found</v>
      </c>
      <c r="J116" s="289" t="str">
        <f>IF($F115&gt;0,_xll.PIAdvCalcFilVal($A116,$A$43,$A$50,$B116,"maximum","event-weighted","pt. compressed","10m", 0, 1, 0,"TPI")," ")</f>
        <v>Tag not found</v>
      </c>
      <c r="K116" s="289" t="str">
        <f>IF($F115&gt;0,_xll.PIAdvCalcFilVal($A116,$A$43,$A$50,$B116,"average","event-weighted","pt. compressed","10m", 0, 1, 0,"TPI")," ")</f>
        <v>Tag not found</v>
      </c>
      <c r="L116" s="347"/>
      <c r="M116" s="348"/>
      <c r="N116" s="288" t="s">
        <v>2</v>
      </c>
      <c r="O116" s="289" t="str">
        <f>IF($L115&gt;0,_xll.PIAdvCalcFilVal($A116,$A$50,$A$51,$B116,"minimum","event-weighted","pt. compressed","10m", 0, 1, 0,"TPI")," ")</f>
        <v>Tag not found</v>
      </c>
      <c r="P116" s="289" t="str">
        <f>IF($L115&gt;0,_xll.PIAdvCalcFilVal($A116,$A$50,$A$51,$B116,"maximum","event-weighted","pt. compressed","10m", 0, 1, 0,"TPI")," ")</f>
        <v>Tag not found</v>
      </c>
      <c r="Q116" s="289" t="str">
        <f>IF($L115&gt;0,_xll.PIAdvCalcFilVal($A116,$A$50,$A$51,$B116,"average","event-weighted","pt. compressed","10m", 0, 1, 0,"TPI")," ")</f>
        <v>Tag not found</v>
      </c>
    </row>
    <row r="117" spans="1:17" ht="14.25" customHeight="1" x14ac:dyDescent="0.2">
      <c r="A117" s="242" t="s">
        <v>222</v>
      </c>
      <c r="B117" s="263" t="s">
        <v>224</v>
      </c>
      <c r="D117" s="346" t="s">
        <v>212</v>
      </c>
      <c r="E117" s="346"/>
      <c r="F117" s="347">
        <f>_xll.PITimeFilterVal($B117,$A$43,$A$50,"hours",0,"TPI")</f>
        <v>12</v>
      </c>
      <c r="G117" s="348">
        <f>F117/12</f>
        <v>1</v>
      </c>
      <c r="H117" s="288" t="s">
        <v>1</v>
      </c>
      <c r="I117" s="289" t="str">
        <f>IF($F117&gt;0,_xll.PIAdvCalcFilVal($A117,$A$43,$A$50,$B117,"minimum","event-weighted","pt. compressed","10m", 0, 1, 0,"TPI")," ")</f>
        <v>[-11057] Not Enough Values For Calculation</v>
      </c>
      <c r="J117" s="289" t="str">
        <f>IF($F117&gt;0,_xll.PIAdvCalcFilVal($A117,$A$43,$A$50,$B117,"maximum","event-weighted","pt. compressed","10m", 0, 1, 0,"TPI")," ")</f>
        <v>[-11057] Not Enough Values For Calculation</v>
      </c>
      <c r="K117" s="289" t="str">
        <f>IF($F117&gt;0,_xll.PIAdvCalcFilVal($A117,$A$43,$A$50,$B117,"average","event-weighted","pt. compressed","10m", 0, 1, 0,"TPI")," ")</f>
        <v>[-11057] Not Enough Values For Calculation</v>
      </c>
      <c r="L117" s="347">
        <f>_xll.PITimeFilterVal($B117,$A$50,$A$51,"hours",0,"TPI")</f>
        <v>8.5699999999999985</v>
      </c>
      <c r="M117" s="348">
        <f>L117/12</f>
        <v>0.71416666666666651</v>
      </c>
      <c r="N117" s="288" t="s">
        <v>1</v>
      </c>
      <c r="O117" s="289" t="str">
        <f>IF($L117&gt;0,_xll.PIAdvCalcFilVal($A117,$A$50,$A$51,$B117,"minimum","event-weighted","pt. compressed","10m", 0, 1, 0,"TPI")," ")</f>
        <v>[-11057] Not Enough Values For Calculation</v>
      </c>
      <c r="P117" s="289" t="str">
        <f>IF($L117&gt;0,_xll.PIAdvCalcFilVal($A117,$A$50,$A$51,$B117,"maximum","event-weighted","pt. compressed","10m", 0, 1, 0,"TPI")," ")</f>
        <v>[-11057] Not Enough Values For Calculation</v>
      </c>
      <c r="Q117" s="289" t="str">
        <f>IF($L117&gt;0,_xll.PIAdvCalcFilVal($A117,$A$50,$A$51,$B117,"average","event-weighted","pt. compressed","10m", 0, 1, 0,"TPI")," ")</f>
        <v>[-11057] Not Enough Values For Calculation</v>
      </c>
    </row>
    <row r="118" spans="1:17" ht="14.25" customHeight="1" x14ac:dyDescent="0.2">
      <c r="A118" s="242" t="s">
        <v>223</v>
      </c>
      <c r="B118" s="263" t="s">
        <v>225</v>
      </c>
      <c r="D118" s="346"/>
      <c r="E118" s="346"/>
      <c r="F118" s="347"/>
      <c r="G118" s="348"/>
      <c r="H118" s="288" t="s">
        <v>2</v>
      </c>
      <c r="I118" s="289" t="str">
        <f>IF($F117&gt;0,_xll.PIAdvCalcFilVal($A118,$A$43,$A$50,$B118,"minimum","event-weighted","pt. compressed","10m", 0, 1, 0,"TPI")," ")</f>
        <v>[-11057] Not Enough Values For Calculation</v>
      </c>
      <c r="J118" s="289" t="str">
        <f>IF($F117&gt;0,_xll.PIAdvCalcFilVal($A118,$A$43,$A$50,$B118,"maximum","event-weighted","pt. compressed","10m", 0, 1, 0,"TPI")," ")</f>
        <v>[-11057] Not Enough Values For Calculation</v>
      </c>
      <c r="K118" s="289" t="str">
        <f>IF($F117&gt;0,_xll.PIAdvCalcFilVal($A118,$A$43,$A$50,$B118,"average","event-weighted","pt. compressed","10m", 0, 1, 0,"TPI")," ")</f>
        <v>[-11057] Not Enough Values For Calculation</v>
      </c>
      <c r="L118" s="347"/>
      <c r="M118" s="348"/>
      <c r="N118" s="288" t="s">
        <v>2</v>
      </c>
      <c r="O118" s="289" t="str">
        <f>IF($L117&gt;0,_xll.PIAdvCalcFilVal($A118,$A$50,$A$51,$B118,"minimum","event-weighted","pt. compressed","10m", 0, 1, 0,"TPI")," ")</f>
        <v>[-11057] Not Enough Values For Calculation</v>
      </c>
      <c r="P118" s="289" t="str">
        <f>IF($L117&gt;0,_xll.PIAdvCalcFilVal($A118,$A$50,$A$51,$B118,"maximum","event-weighted","pt. compressed","10m", 0, 1, 0,"TPI")," ")</f>
        <v>[-11057] Not Enough Values For Calculation</v>
      </c>
      <c r="Q118" s="289" t="str">
        <f>IF($L117&gt;0,_xll.PIAdvCalcFilVal($A118,$A$50,$A$51,$B118,"average","event-weighted","pt. compressed","10m", 0, 1, 0,"TPI")," ")</f>
        <v>[-11057] Not Enough Values For Calculation</v>
      </c>
    </row>
    <row r="119" spans="1:17" ht="16.5" customHeight="1" x14ac:dyDescent="0.2"/>
    <row r="124" spans="1:17" x14ac:dyDescent="0.2">
      <c r="B124" s="166"/>
    </row>
    <row r="125" spans="1:17" x14ac:dyDescent="0.2">
      <c r="B125" s="166"/>
    </row>
  </sheetData>
  <dataConsolidate/>
  <customSheetViews>
    <customSheetView guid="{C5BD3E9A-0945-47FE-8A56-1987B427C3E6}" scale="73" showPageBreaks="1" showGridLines="0" printArea="1" hiddenRows="1" hiddenColumns="1" topLeftCell="D39">
      <selection activeCell="S91" sqref="S91"/>
      <pageMargins left="0.67" right="0.31" top="0.17" bottom="0.17" header="0.18" footer="0.2"/>
      <pageSetup scale="50" orientation="portrait" r:id="rId1"/>
      <headerFooter alignWithMargins="0"/>
    </customSheetView>
  </customSheetViews>
  <mergeCells count="75">
    <mergeCell ref="D61:E62"/>
    <mergeCell ref="F61:F62"/>
    <mergeCell ref="G61:G62"/>
    <mergeCell ref="G59:G60"/>
    <mergeCell ref="F59:F60"/>
    <mergeCell ref="E3:P3"/>
    <mergeCell ref="D53:E54"/>
    <mergeCell ref="D55:E56"/>
    <mergeCell ref="D69:E70"/>
    <mergeCell ref="D59:E60"/>
    <mergeCell ref="D63:E64"/>
    <mergeCell ref="D67:E68"/>
    <mergeCell ref="M53:M54"/>
    <mergeCell ref="L67:L68"/>
    <mergeCell ref="M67:M68"/>
    <mergeCell ref="E41:H41"/>
    <mergeCell ref="I41:L41"/>
    <mergeCell ref="D57:E58"/>
    <mergeCell ref="F57:F58"/>
    <mergeCell ref="G57:G58"/>
    <mergeCell ref="F55:F56"/>
    <mergeCell ref="G55:G56"/>
    <mergeCell ref="F53:F54"/>
    <mergeCell ref="G53:G54"/>
    <mergeCell ref="G63:G64"/>
    <mergeCell ref="L69:L70"/>
    <mergeCell ref="L65:L66"/>
    <mergeCell ref="L63:L64"/>
    <mergeCell ref="F63:F64"/>
    <mergeCell ref="L61:L62"/>
    <mergeCell ref="L59:L60"/>
    <mergeCell ref="F65:F66"/>
    <mergeCell ref="D71:E72"/>
    <mergeCell ref="G71:G72"/>
    <mergeCell ref="D65:E66"/>
    <mergeCell ref="G69:G70"/>
    <mergeCell ref="F67:F68"/>
    <mergeCell ref="G67:G68"/>
    <mergeCell ref="F71:F72"/>
    <mergeCell ref="F69:F70"/>
    <mergeCell ref="G65:G66"/>
    <mergeCell ref="M71:M72"/>
    <mergeCell ref="M69:M70"/>
    <mergeCell ref="M65:M66"/>
    <mergeCell ref="M63:M64"/>
    <mergeCell ref="L53:L54"/>
    <mergeCell ref="L55:L56"/>
    <mergeCell ref="M55:M56"/>
    <mergeCell ref="L57:L58"/>
    <mergeCell ref="M57:M58"/>
    <mergeCell ref="L71:L72"/>
    <mergeCell ref="M61:M62"/>
    <mergeCell ref="M59:M60"/>
    <mergeCell ref="G47:O47"/>
    <mergeCell ref="E48:F48"/>
    <mergeCell ref="E49:F49"/>
    <mergeCell ref="D51:E52"/>
    <mergeCell ref="F51:K51"/>
    <mergeCell ref="L51:Q51"/>
    <mergeCell ref="E107:H107"/>
    <mergeCell ref="L108:Q108"/>
    <mergeCell ref="J110:K110"/>
    <mergeCell ref="D113:E114"/>
    <mergeCell ref="F113:K113"/>
    <mergeCell ref="L113:Q113"/>
    <mergeCell ref="D115:E116"/>
    <mergeCell ref="F115:F116"/>
    <mergeCell ref="G115:G116"/>
    <mergeCell ref="L115:L116"/>
    <mergeCell ref="M115:M116"/>
    <mergeCell ref="D117:E118"/>
    <mergeCell ref="F117:F118"/>
    <mergeCell ref="G117:G118"/>
    <mergeCell ref="L117:L118"/>
    <mergeCell ref="M117:M118"/>
  </mergeCells>
  <phoneticPr fontId="0" type="noConversion"/>
  <conditionalFormatting sqref="F12:F13 H12:H13 J12:J13 L12:L13 N12:N13 P12:P13 F18 H18 J18 L18 F25 H25 J25 L25 N25 P25 F32:F33 H32:H33 J32:J33 L32:L33 N32:N33 P32:P33 E44:L44">
    <cfRule type="dataBar" priority="75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{45D9E3CC-BCC8-4EC8-BEBD-5912894E9046}</x14:id>
        </ext>
      </extLst>
    </cfRule>
  </conditionalFormatting>
  <conditionalFormatting sqref="E85">
    <cfRule type="expression" dxfId="72" priority="29">
      <formula>$F$85&lt;11</formula>
    </cfRule>
    <cfRule type="dataBar" priority="74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{6E7DA956-5A01-4874-BB77-F59B366F6FA7}</x14:id>
        </ext>
      </extLst>
    </cfRule>
  </conditionalFormatting>
  <conditionalFormatting sqref="F99">
    <cfRule type="dataBar" priority="73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{88AF191A-4D96-4624-8088-636E796BE225}</x14:id>
        </ext>
      </extLst>
    </cfRule>
  </conditionalFormatting>
  <conditionalFormatting sqref="H99">
    <cfRule type="dataBar" priority="72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{11602ADB-CE2D-4042-AE8C-2C1A49D97835}</x14:id>
        </ext>
      </extLst>
    </cfRule>
  </conditionalFormatting>
  <conditionalFormatting sqref="J99">
    <cfRule type="dataBar" priority="71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{C540F0BE-8B7E-4D7C-8EB7-22F03037605A}</x14:id>
        </ext>
      </extLst>
    </cfRule>
  </conditionalFormatting>
  <conditionalFormatting sqref="L99">
    <cfRule type="dataBar" priority="70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{529BACE9-2646-44D8-BCC8-CD5924ED522D}</x14:id>
        </ext>
      </extLst>
    </cfRule>
  </conditionalFormatting>
  <conditionalFormatting sqref="N99">
    <cfRule type="dataBar" priority="69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{DDDA133C-F525-448F-94D4-EEDE1F5191A6}</x14:id>
        </ext>
      </extLst>
    </cfRule>
  </conditionalFormatting>
  <conditionalFormatting sqref="P99">
    <cfRule type="dataBar" priority="68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{59BF3E41-B69A-44E5-B0A7-F622CB48F087}</x14:id>
        </ext>
      </extLst>
    </cfRule>
  </conditionalFormatting>
  <conditionalFormatting sqref="F85">
    <cfRule type="dataBar" priority="67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{D575C45D-FEA1-41E0-80FD-96DCD545DE0A}</x14:id>
        </ext>
      </extLst>
    </cfRule>
  </conditionalFormatting>
  <conditionalFormatting sqref="H85">
    <cfRule type="dataBar" priority="66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{E1C5BD7D-6B7E-4E0F-8E86-5735AD742DF1}</x14:id>
        </ext>
      </extLst>
    </cfRule>
  </conditionalFormatting>
  <conditionalFormatting sqref="J85">
    <cfRule type="dataBar" priority="65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{E6BA517F-224C-4D9E-AF97-5AF5F313FCDF}</x14:id>
        </ext>
      </extLst>
    </cfRule>
  </conditionalFormatting>
  <conditionalFormatting sqref="L85">
    <cfRule type="dataBar" priority="64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{829FF3A1-89D2-4C54-B9AE-48B7D0C57886}</x14:id>
        </ext>
      </extLst>
    </cfRule>
  </conditionalFormatting>
  <conditionalFormatting sqref="N85">
    <cfRule type="dataBar" priority="63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{AC679CD0-AEE2-437A-9C6B-15B9D7B51DAB}</x14:id>
        </ext>
      </extLst>
    </cfRule>
  </conditionalFormatting>
  <conditionalFormatting sqref="P85">
    <cfRule type="dataBar" priority="62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{BCE27916-E522-4D3E-B855-9410DB0E8529}</x14:id>
        </ext>
      </extLst>
    </cfRule>
  </conditionalFormatting>
  <conditionalFormatting sqref="F92">
    <cfRule type="dataBar" priority="61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{A2B6DE8D-EB4E-4C1F-B0E9-0262D3434084}</x14:id>
        </ext>
      </extLst>
    </cfRule>
  </conditionalFormatting>
  <conditionalFormatting sqref="H92">
    <cfRule type="dataBar" priority="60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{E2DD3D5E-3D3E-4EB5-8AF8-45A0F348DE1C}</x14:id>
        </ext>
      </extLst>
    </cfRule>
  </conditionalFormatting>
  <conditionalFormatting sqref="J92">
    <cfRule type="dataBar" priority="59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{26A907C5-9B36-44C1-BDED-D60A4245D4E1}</x14:id>
        </ext>
      </extLst>
    </cfRule>
  </conditionalFormatting>
  <conditionalFormatting sqref="L92">
    <cfRule type="dataBar" priority="58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{80C80104-4BEA-4B60-B31E-ED8ADCF6A5D8}</x14:id>
        </ext>
      </extLst>
    </cfRule>
  </conditionalFormatting>
  <conditionalFormatting sqref="N92">
    <cfRule type="dataBar" priority="57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{44E82635-1B54-4CF0-A138-4D5B25B982D4}</x14:id>
        </ext>
      </extLst>
    </cfRule>
  </conditionalFormatting>
  <conditionalFormatting sqref="P92">
    <cfRule type="dataBar" priority="56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{38F93D0E-9CDD-47C9-9BE4-04FC36C883E0}</x14:id>
        </ext>
      </extLst>
    </cfRule>
  </conditionalFormatting>
  <conditionalFormatting sqref="F110">
    <cfRule type="dataBar" priority="55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{2AD9693A-9626-4277-BD9F-17D2EA92A36E}</x14:id>
        </ext>
      </extLst>
    </cfRule>
  </conditionalFormatting>
  <conditionalFormatting sqref="H110">
    <cfRule type="dataBar" priority="54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{58DEC59A-3A1D-428A-8168-A307444FC9F5}</x14:id>
        </ext>
      </extLst>
    </cfRule>
  </conditionalFormatting>
  <conditionalFormatting sqref="F38 H38">
    <cfRule type="dataBar" priority="53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{F3E72D60-7260-4063-B350-69FA94CAABBB}</x14:id>
        </ext>
      </extLst>
    </cfRule>
  </conditionalFormatting>
  <conditionalFormatting sqref="H105 F105">
    <cfRule type="dataBar" priority="52">
      <dataBar>
        <cfvo type="formula" val="0"/>
        <cfvo type="formula" val="100"/>
        <color rgb="FF00FF00"/>
      </dataBar>
      <extLst>
        <ext xmlns:x14="http://schemas.microsoft.com/office/spreadsheetml/2009/9/main" uri="{B025F937-C7B1-47D3-B67F-A62EFF666E3E}">
          <x14:id>{DA75D43A-792D-4440-81B9-E7F70C7A189E}</x14:id>
        </ext>
      </extLst>
    </cfRule>
  </conditionalFormatting>
  <conditionalFormatting sqref="E12">
    <cfRule type="expression" dxfId="71" priority="51">
      <formula>$F$12&lt;11</formula>
    </cfRule>
  </conditionalFormatting>
  <conditionalFormatting sqref="G12">
    <cfRule type="expression" dxfId="70" priority="50">
      <formula>$H$12&lt;11</formula>
    </cfRule>
  </conditionalFormatting>
  <conditionalFormatting sqref="I12">
    <cfRule type="expression" dxfId="69" priority="49">
      <formula>$J$12&lt;11</formula>
    </cfRule>
  </conditionalFormatting>
  <conditionalFormatting sqref="K12">
    <cfRule type="expression" dxfId="68" priority="48">
      <formula>$L$12&lt;11</formula>
    </cfRule>
  </conditionalFormatting>
  <conditionalFormatting sqref="M12">
    <cfRule type="expression" dxfId="67" priority="47">
      <formula>$N$12&lt;11</formula>
    </cfRule>
  </conditionalFormatting>
  <conditionalFormatting sqref="O12">
    <cfRule type="expression" dxfId="66" priority="46">
      <formula>$P$12&lt;11</formula>
    </cfRule>
  </conditionalFormatting>
  <conditionalFormatting sqref="E18">
    <cfRule type="expression" dxfId="65" priority="45">
      <formula>$F$18&lt;11</formula>
    </cfRule>
  </conditionalFormatting>
  <conditionalFormatting sqref="G18">
    <cfRule type="expression" dxfId="64" priority="44">
      <formula>$H$18&lt;11</formula>
    </cfRule>
  </conditionalFormatting>
  <conditionalFormatting sqref="E25">
    <cfRule type="expression" dxfId="63" priority="43">
      <formula>$F$25&lt;20</formula>
    </cfRule>
  </conditionalFormatting>
  <conditionalFormatting sqref="G25">
    <cfRule type="expression" dxfId="62" priority="42">
      <formula>$H$25&lt;20</formula>
    </cfRule>
  </conditionalFormatting>
  <conditionalFormatting sqref="I25">
    <cfRule type="expression" dxfId="61" priority="41">
      <formula>$J$25&lt;20</formula>
    </cfRule>
  </conditionalFormatting>
  <conditionalFormatting sqref="K25">
    <cfRule type="expression" dxfId="60" priority="40">
      <formula>$L$25&lt;20</formula>
    </cfRule>
  </conditionalFormatting>
  <conditionalFormatting sqref="M25">
    <cfRule type="expression" dxfId="59" priority="39">
      <formula>$N$25&lt;20</formula>
    </cfRule>
  </conditionalFormatting>
  <conditionalFormatting sqref="O25">
    <cfRule type="expression" dxfId="58" priority="38">
      <formula>$P$25&lt;20</formula>
    </cfRule>
  </conditionalFormatting>
  <conditionalFormatting sqref="E32">
    <cfRule type="expression" dxfId="57" priority="37">
      <formula>$F$32&lt;6</formula>
    </cfRule>
  </conditionalFormatting>
  <conditionalFormatting sqref="G32">
    <cfRule type="expression" dxfId="56" priority="36">
      <formula>$H$32&lt;6</formula>
    </cfRule>
  </conditionalFormatting>
  <conditionalFormatting sqref="I32">
    <cfRule type="expression" dxfId="55" priority="35">
      <formula>$J$32&lt;6</formula>
    </cfRule>
  </conditionalFormatting>
  <conditionalFormatting sqref="K32">
    <cfRule type="expression" dxfId="54" priority="34">
      <formula>$L$32&lt;6</formula>
    </cfRule>
  </conditionalFormatting>
  <conditionalFormatting sqref="M32">
    <cfRule type="expression" dxfId="53" priority="33">
      <formula>$N$32&lt;6</formula>
    </cfRule>
  </conditionalFormatting>
  <conditionalFormatting sqref="O32">
    <cfRule type="expression" dxfId="52" priority="32">
      <formula>$P$32&lt;6</formula>
    </cfRule>
  </conditionalFormatting>
  <conditionalFormatting sqref="E38">
    <cfRule type="expression" dxfId="51" priority="31">
      <formula>$F$38&lt;6</formula>
    </cfRule>
  </conditionalFormatting>
  <conditionalFormatting sqref="G38">
    <cfRule type="expression" dxfId="50" priority="30">
      <formula>$H$38&lt;6</formula>
    </cfRule>
  </conditionalFormatting>
  <conditionalFormatting sqref="G85">
    <cfRule type="expression" dxfId="49" priority="28">
      <formula>$H$85&lt;11</formula>
    </cfRule>
  </conditionalFormatting>
  <conditionalFormatting sqref="I85">
    <cfRule type="expression" dxfId="48" priority="27">
      <formula>$J$85&lt;11</formula>
    </cfRule>
  </conditionalFormatting>
  <conditionalFormatting sqref="K85">
    <cfRule type="expression" dxfId="47" priority="26">
      <formula>$L$85&lt;11</formula>
    </cfRule>
  </conditionalFormatting>
  <conditionalFormatting sqref="M85">
    <cfRule type="expression" dxfId="46" priority="25">
      <formula>$N$85&lt;11</formula>
    </cfRule>
  </conditionalFormatting>
  <conditionalFormatting sqref="O85">
    <cfRule type="expression" dxfId="45" priority="24">
      <formula>$P$85&lt;11</formula>
    </cfRule>
  </conditionalFormatting>
  <conditionalFormatting sqref="E92">
    <cfRule type="expression" dxfId="44" priority="23">
      <formula>$F$92&lt;20</formula>
    </cfRule>
  </conditionalFormatting>
  <conditionalFormatting sqref="G92">
    <cfRule type="expression" dxfId="43" priority="22">
      <formula>$H$92&lt;20</formula>
    </cfRule>
  </conditionalFormatting>
  <conditionalFormatting sqref="I92">
    <cfRule type="expression" dxfId="42" priority="21">
      <formula>$J$92&lt;20</formula>
    </cfRule>
  </conditionalFormatting>
  <conditionalFormatting sqref="K92">
    <cfRule type="expression" dxfId="41" priority="20">
      <formula>$L$92&lt;20</formula>
    </cfRule>
  </conditionalFormatting>
  <conditionalFormatting sqref="M92">
    <cfRule type="expression" dxfId="40" priority="19">
      <formula>$N$92&lt;20</formula>
    </cfRule>
  </conditionalFormatting>
  <conditionalFormatting sqref="O92">
    <cfRule type="expression" dxfId="39" priority="18">
      <formula>$P$92&lt;20</formula>
    </cfRule>
  </conditionalFormatting>
  <conditionalFormatting sqref="E99">
    <cfRule type="expression" dxfId="38" priority="17">
      <formula>$F$99&lt;6</formula>
    </cfRule>
    <cfRule type="cellIs" dxfId="37" priority="8" operator="between">
      <formula>0.07</formula>
      <formula>-0.07</formula>
    </cfRule>
    <cfRule type="cellIs" dxfId="36" priority="7" operator="greaterThan">
      <formula>0.07</formula>
    </cfRule>
    <cfRule type="cellIs" dxfId="35" priority="6" operator="lessThan">
      <formula>-0.07</formula>
    </cfRule>
    <cfRule type="cellIs" dxfId="34" priority="5" operator="lessThan">
      <formula>-0.07</formula>
    </cfRule>
    <cfRule type="cellIs" dxfId="33" priority="4" operator="greaterThan">
      <formula>0.07</formula>
    </cfRule>
  </conditionalFormatting>
  <conditionalFormatting sqref="G99">
    <cfRule type="expression" dxfId="32" priority="16">
      <formula>$H$99&lt;6</formula>
    </cfRule>
    <cfRule type="cellIs" dxfId="31" priority="3" operator="between">
      <formula>0.07</formula>
      <formula>-0.07</formula>
    </cfRule>
    <cfRule type="cellIs" dxfId="30" priority="2" operator="greaterThan">
      <formula>0.07</formula>
    </cfRule>
    <cfRule type="cellIs" dxfId="29" priority="1" operator="lessThan">
      <formula>-0.07</formula>
    </cfRule>
  </conditionalFormatting>
  <conditionalFormatting sqref="I99">
    <cfRule type="expression" dxfId="28" priority="15">
      <formula>$J$99&lt;6</formula>
    </cfRule>
  </conditionalFormatting>
  <conditionalFormatting sqref="K99">
    <cfRule type="expression" dxfId="27" priority="14">
      <formula>$L$99&lt;6</formula>
    </cfRule>
  </conditionalFormatting>
  <conditionalFormatting sqref="M99">
    <cfRule type="expression" dxfId="26" priority="13">
      <formula>$N$99&lt;6</formula>
    </cfRule>
  </conditionalFormatting>
  <conditionalFormatting sqref="O99">
    <cfRule type="expression" dxfId="25" priority="12">
      <formula>$P$99&lt;6</formula>
    </cfRule>
  </conditionalFormatting>
  <conditionalFormatting sqref="E105">
    <cfRule type="expression" dxfId="24" priority="11">
      <formula>$F$105&lt;6</formula>
    </cfRule>
  </conditionalFormatting>
  <conditionalFormatting sqref="G105">
    <cfRule type="cellIs" dxfId="23" priority="9" operator="equal">
      <formula>"""Sin dato"""</formula>
    </cfRule>
    <cfRule type="expression" dxfId="22" priority="10">
      <formula>$H$105&lt;6</formula>
    </cfRule>
  </conditionalFormatting>
  <pageMargins left="0.67" right="0.31" top="0.17" bottom="0.17" header="0.18" footer="0.2"/>
  <pageSetup scale="50" orientation="portrait" r:id="rId2"/>
  <headerFooter alignWithMargins="0"/>
  <rowBreaks count="1" manualBreakCount="1">
    <brk id="118" min="3" max="16" man="1"/>
  </rowBreaks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D9E3CC-BCC8-4EC8-BEBD-5912894E9046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F12:F13 H12:H13 J12:J13 L12:L13 N12:N13 P12:P13 F18 H18 J18 L18 F25 H25 J25 L25 N25 P25 F32:F33 H32:H33 J32:J33 L32:L33 N32:N33 P32:P33 E44:L44</xm:sqref>
        </x14:conditionalFormatting>
        <x14:conditionalFormatting xmlns:xm="http://schemas.microsoft.com/office/excel/2006/main">
          <x14:cfRule type="dataBar" id="{6E7DA956-5A01-4874-BB77-F59B366F6FA7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E85</xm:sqref>
        </x14:conditionalFormatting>
        <x14:conditionalFormatting xmlns:xm="http://schemas.microsoft.com/office/excel/2006/main">
          <x14:cfRule type="dataBar" id="{88AF191A-4D96-4624-8088-636E796BE225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F99</xm:sqref>
        </x14:conditionalFormatting>
        <x14:conditionalFormatting xmlns:xm="http://schemas.microsoft.com/office/excel/2006/main">
          <x14:cfRule type="dataBar" id="{11602ADB-CE2D-4042-AE8C-2C1A49D97835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H99</xm:sqref>
        </x14:conditionalFormatting>
        <x14:conditionalFormatting xmlns:xm="http://schemas.microsoft.com/office/excel/2006/main">
          <x14:cfRule type="dataBar" id="{C540F0BE-8B7E-4D7C-8EB7-22F03037605A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J99</xm:sqref>
        </x14:conditionalFormatting>
        <x14:conditionalFormatting xmlns:xm="http://schemas.microsoft.com/office/excel/2006/main">
          <x14:cfRule type="dataBar" id="{529BACE9-2646-44D8-BCC8-CD5924ED522D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L99</xm:sqref>
        </x14:conditionalFormatting>
        <x14:conditionalFormatting xmlns:xm="http://schemas.microsoft.com/office/excel/2006/main">
          <x14:cfRule type="dataBar" id="{DDDA133C-F525-448F-94D4-EEDE1F5191A6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N99</xm:sqref>
        </x14:conditionalFormatting>
        <x14:conditionalFormatting xmlns:xm="http://schemas.microsoft.com/office/excel/2006/main">
          <x14:cfRule type="dataBar" id="{59BF3E41-B69A-44E5-B0A7-F622CB48F087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P99</xm:sqref>
        </x14:conditionalFormatting>
        <x14:conditionalFormatting xmlns:xm="http://schemas.microsoft.com/office/excel/2006/main">
          <x14:cfRule type="dataBar" id="{D575C45D-FEA1-41E0-80FD-96DCD545DE0A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F85</xm:sqref>
        </x14:conditionalFormatting>
        <x14:conditionalFormatting xmlns:xm="http://schemas.microsoft.com/office/excel/2006/main">
          <x14:cfRule type="dataBar" id="{E1C5BD7D-6B7E-4E0F-8E86-5735AD742DF1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H85</xm:sqref>
        </x14:conditionalFormatting>
        <x14:conditionalFormatting xmlns:xm="http://schemas.microsoft.com/office/excel/2006/main">
          <x14:cfRule type="dataBar" id="{E6BA517F-224C-4D9E-AF97-5AF5F313FCDF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J85</xm:sqref>
        </x14:conditionalFormatting>
        <x14:conditionalFormatting xmlns:xm="http://schemas.microsoft.com/office/excel/2006/main">
          <x14:cfRule type="dataBar" id="{829FF3A1-89D2-4C54-B9AE-48B7D0C57886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L85</xm:sqref>
        </x14:conditionalFormatting>
        <x14:conditionalFormatting xmlns:xm="http://schemas.microsoft.com/office/excel/2006/main">
          <x14:cfRule type="dataBar" id="{AC679CD0-AEE2-437A-9C6B-15B9D7B51DAB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BCE27916-E522-4D3E-B855-9410DB0E8529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P85</xm:sqref>
        </x14:conditionalFormatting>
        <x14:conditionalFormatting xmlns:xm="http://schemas.microsoft.com/office/excel/2006/main">
          <x14:cfRule type="dataBar" id="{A2B6DE8D-EB4E-4C1F-B0E9-0262D3434084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F92</xm:sqref>
        </x14:conditionalFormatting>
        <x14:conditionalFormatting xmlns:xm="http://schemas.microsoft.com/office/excel/2006/main">
          <x14:cfRule type="dataBar" id="{E2DD3D5E-3D3E-4EB5-8AF8-45A0F348DE1C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H92</xm:sqref>
        </x14:conditionalFormatting>
        <x14:conditionalFormatting xmlns:xm="http://schemas.microsoft.com/office/excel/2006/main">
          <x14:cfRule type="dataBar" id="{26A907C5-9B36-44C1-BDED-D60A4245D4E1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J92</xm:sqref>
        </x14:conditionalFormatting>
        <x14:conditionalFormatting xmlns:xm="http://schemas.microsoft.com/office/excel/2006/main">
          <x14:cfRule type="dataBar" id="{80C80104-4BEA-4B60-B31E-ED8ADCF6A5D8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L92</xm:sqref>
        </x14:conditionalFormatting>
        <x14:conditionalFormatting xmlns:xm="http://schemas.microsoft.com/office/excel/2006/main">
          <x14:cfRule type="dataBar" id="{44E82635-1B54-4CF0-A138-4D5B25B982D4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N92</xm:sqref>
        </x14:conditionalFormatting>
        <x14:conditionalFormatting xmlns:xm="http://schemas.microsoft.com/office/excel/2006/main">
          <x14:cfRule type="dataBar" id="{38F93D0E-9CDD-47C9-9BE4-04FC36C883E0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P92</xm:sqref>
        </x14:conditionalFormatting>
        <x14:conditionalFormatting xmlns:xm="http://schemas.microsoft.com/office/excel/2006/main">
          <x14:cfRule type="dataBar" id="{2AD9693A-9626-4277-BD9F-17D2EA92A36E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58DEC59A-3A1D-428A-8168-A307444FC9F5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H110</xm:sqref>
        </x14:conditionalFormatting>
        <x14:conditionalFormatting xmlns:xm="http://schemas.microsoft.com/office/excel/2006/main">
          <x14:cfRule type="dataBar" id="{F3E72D60-7260-4063-B350-69FA94CAABBB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F38 H38</xm:sqref>
        </x14:conditionalFormatting>
        <x14:conditionalFormatting xmlns:xm="http://schemas.microsoft.com/office/excel/2006/main">
          <x14:cfRule type="dataBar" id="{DA75D43A-792D-4440-81B9-E7F70C7A189E}">
            <x14:dataBar minLength="0" maxLength="100">
              <x14:cfvo type="formula">
                <xm:f>0</xm:f>
              </x14:cfvo>
              <x14:cfvo type="formula">
                <xm:f>100</xm:f>
              </x14:cfvo>
              <x14:negativeFillColor rgb="FFFF0000"/>
              <x14:axisColor rgb="FF000000"/>
            </x14:dataBar>
          </x14:cfRule>
          <xm:sqref>H105 F105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pageSetUpPr fitToPage="1"/>
  </sheetPr>
  <dimension ref="A1:Y107"/>
  <sheetViews>
    <sheetView showGridLines="0" view="pageBreakPreview" topLeftCell="A19" zoomScale="90" zoomScaleNormal="80" zoomScaleSheetLayoutView="90" zoomScalePageLayoutView="70" workbookViewId="0">
      <selection activeCell="M41" sqref="M41"/>
    </sheetView>
  </sheetViews>
  <sheetFormatPr defaultColWidth="9.140625" defaultRowHeight="12.75" x14ac:dyDescent="0.2"/>
  <sheetData>
    <row r="1" spans="1:25" ht="14.45" customHeight="1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t="s">
        <v>18</v>
      </c>
    </row>
    <row r="2" spans="1:25" ht="14.45" customHeight="1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</row>
    <row r="3" spans="1:25" ht="14.45" customHeight="1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</row>
    <row r="4" spans="1:25" ht="14.45" customHeight="1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240">
        <v>45024</v>
      </c>
      <c r="O4" s="122"/>
      <c r="P4" s="122"/>
      <c r="Q4" s="122"/>
      <c r="R4" s="122"/>
      <c r="S4" s="122"/>
      <c r="T4" s="122"/>
      <c r="U4" s="122"/>
      <c r="V4" s="122"/>
      <c r="W4" s="122"/>
      <c r="X4" s="122"/>
    </row>
    <row r="5" spans="1:25" ht="14.45" customHeight="1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240">
        <v>44020</v>
      </c>
      <c r="O5" s="122"/>
      <c r="P5" s="122"/>
      <c r="Q5" s="122"/>
      <c r="R5" s="122"/>
      <c r="S5" s="122"/>
      <c r="T5" s="122"/>
      <c r="U5" s="122"/>
      <c r="V5" s="122"/>
      <c r="W5" s="122"/>
      <c r="X5" s="122"/>
    </row>
    <row r="6" spans="1:25" ht="14.4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>
        <f>N5</f>
        <v>44020</v>
      </c>
      <c r="Q6" s="122"/>
      <c r="R6" s="122"/>
      <c r="S6" s="122"/>
      <c r="T6" s="122"/>
      <c r="U6" s="122"/>
      <c r="V6" s="122"/>
      <c r="W6" s="122"/>
      <c r="X6" s="122"/>
    </row>
    <row r="7" spans="1:25" ht="14.45" customHeight="1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</row>
    <row r="8" spans="1:25" ht="14.45" customHeight="1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</row>
    <row r="9" spans="1:25" ht="14.45" customHeight="1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</row>
    <row r="10" spans="1:25" ht="14.45" customHeight="1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</row>
    <row r="11" spans="1:25" ht="14.45" customHeight="1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</row>
    <row r="12" spans="1:25" ht="14.45" customHeight="1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</row>
    <row r="13" spans="1:25" ht="14.45" customHeight="1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</row>
    <row r="14" spans="1:25" ht="14.45" customHeight="1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</row>
    <row r="15" spans="1:25" ht="14.45" customHeight="1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</row>
    <row r="16" spans="1:25" ht="14.45" customHeight="1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</row>
    <row r="17" spans="1:24" ht="14.45" customHeight="1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</row>
    <row r="18" spans="1:24" ht="14.45" customHeight="1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</row>
    <row r="19" spans="1:24" ht="14.45" customHeight="1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</row>
    <row r="20" spans="1:24" ht="14.45" customHeight="1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</row>
    <row r="21" spans="1:24" ht="14.45" customHeight="1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</row>
    <row r="22" spans="1:24" ht="14.45" customHeight="1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</row>
    <row r="23" spans="1:24" ht="14.45" customHeight="1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</row>
    <row r="24" spans="1:24" ht="14.45" customHeight="1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</row>
    <row r="25" spans="1:24" ht="14.45" customHeight="1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</row>
    <row r="26" spans="1:24" ht="14.45" customHeight="1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</row>
    <row r="27" spans="1:24" ht="14.45" customHeight="1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</row>
    <row r="28" spans="1:24" ht="14.45" customHeight="1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</row>
    <row r="29" spans="1:24" ht="14.45" customHeight="1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</row>
    <row r="30" spans="1:24" ht="14.45" customHeight="1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</row>
    <row r="31" spans="1:24" ht="14.45" customHeight="1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</row>
    <row r="32" spans="1:24" ht="14.45" customHeight="1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</row>
    <row r="33" spans="1:24" ht="14.45" customHeight="1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</row>
    <row r="34" spans="1:24" ht="14.45" customHeight="1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</row>
    <row r="35" spans="1:24" ht="14.45" customHeight="1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</row>
    <row r="36" spans="1:24" ht="14.45" customHeight="1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</row>
    <row r="37" spans="1:24" ht="14.45" customHeight="1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</row>
    <row r="38" spans="1:24" ht="18" customHeight="1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</row>
    <row r="39" spans="1:24" ht="21.75" customHeight="1" x14ac:dyDescent="0.2">
      <c r="A39" s="122"/>
      <c r="B39" s="122"/>
      <c r="C39" s="122"/>
      <c r="D39" s="122" t="s">
        <v>18</v>
      </c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</row>
    <row r="40" spans="1:24" ht="14.45" customHeight="1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</row>
    <row r="41" spans="1:24" ht="14.45" customHeight="1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</row>
    <row r="42" spans="1:24" ht="14.45" customHeight="1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</row>
    <row r="43" spans="1:24" ht="14.45" customHeight="1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</row>
    <row r="44" spans="1:24" ht="14.45" customHeight="1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</row>
    <row r="45" spans="1:24" ht="14.45" customHeight="1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</row>
    <row r="46" spans="1:24" ht="14.45" customHeight="1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</row>
    <row r="47" spans="1:24" ht="14.45" customHeight="1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</row>
    <row r="48" spans="1:24" ht="14.45" customHeight="1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</row>
    <row r="49" spans="1:24" ht="14.45" customHeight="1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</row>
    <row r="50" spans="1:24" ht="14.45" customHeight="1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</row>
    <row r="51" spans="1:24" ht="14.45" customHeight="1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</row>
    <row r="52" spans="1:24" ht="14.45" customHeight="1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</row>
    <row r="53" spans="1:24" ht="14.45" customHeight="1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</row>
    <row r="54" spans="1:24" ht="14.45" customHeight="1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</row>
    <row r="55" spans="1:24" ht="14.45" customHeight="1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</row>
    <row r="56" spans="1:24" ht="14.45" customHeight="1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</row>
    <row r="57" spans="1:24" ht="14.45" customHeight="1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</row>
    <row r="58" spans="1:24" ht="14.45" customHeight="1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</row>
    <row r="59" spans="1:24" ht="14.45" customHeight="1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</row>
    <row r="60" spans="1:24" ht="14.45" customHeight="1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</row>
    <row r="61" spans="1:24" ht="14.45" customHeight="1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</row>
    <row r="62" spans="1:24" ht="8.25" customHeight="1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</row>
    <row r="63" spans="1:24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</row>
    <row r="64" spans="1:24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</row>
    <row r="65" spans="1:24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</row>
    <row r="66" spans="1:24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</row>
    <row r="67" spans="1:24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</row>
    <row r="68" spans="1:24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</row>
    <row r="69" spans="1:24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</row>
    <row r="70" spans="1:24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</row>
    <row r="71" spans="1:24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</row>
    <row r="72" spans="1:24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</row>
    <row r="73" spans="1:24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</row>
    <row r="74" spans="1:24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</row>
    <row r="75" spans="1:24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</row>
    <row r="76" spans="1:24" x14ac:dyDescent="0.2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</row>
    <row r="77" spans="1:24" x14ac:dyDescent="0.2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</row>
    <row r="78" spans="1:24" x14ac:dyDescent="0.2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</row>
    <row r="79" spans="1:24" x14ac:dyDescent="0.2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</row>
    <row r="80" spans="1:24" x14ac:dyDescent="0.2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</row>
    <row r="81" spans="1:24" x14ac:dyDescent="0.2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</row>
    <row r="82" spans="1:24" x14ac:dyDescent="0.2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</row>
    <row r="83" spans="1:24" x14ac:dyDescent="0.2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</row>
    <row r="84" spans="1:24" x14ac:dyDescent="0.2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</row>
    <row r="85" spans="1:24" x14ac:dyDescent="0.2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</row>
    <row r="86" spans="1:24" x14ac:dyDescent="0.2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</row>
    <row r="87" spans="1:24" x14ac:dyDescent="0.2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</row>
    <row r="88" spans="1:24" x14ac:dyDescent="0.2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</row>
    <row r="89" spans="1:24" x14ac:dyDescent="0.2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</row>
    <row r="90" spans="1:24" x14ac:dyDescent="0.2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</row>
    <row r="91" spans="1:24" x14ac:dyDescent="0.2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</row>
    <row r="92" spans="1:24" x14ac:dyDescent="0.2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</row>
    <row r="93" spans="1:24" x14ac:dyDescent="0.2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</row>
    <row r="94" spans="1:24" x14ac:dyDescent="0.2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</row>
    <row r="95" spans="1:24" x14ac:dyDescent="0.2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</row>
    <row r="96" spans="1:24" x14ac:dyDescent="0.2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</row>
    <row r="97" spans="1:24" x14ac:dyDescent="0.2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</row>
    <row r="98" spans="1:24" x14ac:dyDescent="0.2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</row>
    <row r="99" spans="1:24" x14ac:dyDescent="0.2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</row>
    <row r="100" spans="1:24" x14ac:dyDescent="0.2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</row>
    <row r="101" spans="1:24" x14ac:dyDescent="0.2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</row>
    <row r="102" spans="1:24" x14ac:dyDescent="0.2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</row>
    <row r="103" spans="1:24" x14ac:dyDescent="0.2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</row>
    <row r="104" spans="1:24" x14ac:dyDescent="0.2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</row>
    <row r="105" spans="1:24" x14ac:dyDescent="0.2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</row>
    <row r="106" spans="1:24" x14ac:dyDescent="0.2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</row>
    <row r="107" spans="1:24" x14ac:dyDescent="0.2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</row>
  </sheetData>
  <customSheetViews>
    <customSheetView guid="{C5BD3E9A-0945-47FE-8A56-1987B427C3E6}" scale="60" showPageBreaks="1" showGridLines="0" fitToPage="1" printArea="1">
      <selection activeCell="R102" sqref="R102"/>
      <pageMargins left="0.75" right="0.75" top="1" bottom="1" header="0.5" footer="0.5"/>
      <pageSetup scale="41" orientation="portrait" r:id="rId1"/>
      <headerFooter alignWithMargins="0"/>
    </customSheetView>
  </customSheetViews>
  <pageMargins left="0.75" right="0.75" top="1" bottom="1" header="0.5" footer="0.5"/>
  <pageSetup scale="41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P75"/>
  <sheetViews>
    <sheetView showGridLines="0" view="pageBreakPreview" zoomScale="115" zoomScaleNormal="85" zoomScaleSheetLayoutView="115" workbookViewId="0">
      <selection activeCell="E11" sqref="E11"/>
    </sheetView>
  </sheetViews>
  <sheetFormatPr defaultColWidth="9.140625" defaultRowHeight="12.75" x14ac:dyDescent="0.2"/>
  <cols>
    <col min="1" max="1" width="9.5703125" customWidth="1"/>
    <col min="16" max="16" width="5.42578125" customWidth="1"/>
  </cols>
  <sheetData>
    <row r="1" spans="1:16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</row>
    <row r="2" spans="1:16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</row>
    <row r="3" spans="1:16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</row>
    <row r="4" spans="1:16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</row>
    <row r="5" spans="1:16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</row>
    <row r="6" spans="1:16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</row>
    <row r="8" spans="1:16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</row>
    <row r="9" spans="1:16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</row>
    <row r="10" spans="1:16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</row>
    <row r="11" spans="1:16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</row>
    <row r="12" spans="1:16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</row>
    <row r="13" spans="1:16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</row>
    <row r="14" spans="1:16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</row>
    <row r="15" spans="1:16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</row>
    <row r="16" spans="1:16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</row>
    <row r="17" spans="1:16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</row>
    <row r="18" spans="1:16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</row>
    <row r="19" spans="1:16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</row>
    <row r="20" spans="1:16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</row>
    <row r="21" spans="1:16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</row>
    <row r="22" spans="1:16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</row>
    <row r="23" spans="1:16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</row>
    <row r="24" spans="1:16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</row>
    <row r="25" spans="1:16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</row>
    <row r="26" spans="1:16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</row>
    <row r="27" spans="1:16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</row>
    <row r="28" spans="1:16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</row>
    <row r="29" spans="1:16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</row>
    <row r="30" spans="1:16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</row>
    <row r="31" spans="1:16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</row>
    <row r="32" spans="1:16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</row>
    <row r="33" spans="1:16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</row>
    <row r="34" spans="1:16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</row>
    <row r="35" spans="1:16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</row>
    <row r="36" spans="1:16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</row>
    <row r="37" spans="1:16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</row>
    <row r="38" spans="1:16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</row>
    <row r="39" spans="1:16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</row>
    <row r="40" spans="1:16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</row>
    <row r="41" spans="1:16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</row>
    <row r="42" spans="1:16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</row>
    <row r="43" spans="1:16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</row>
    <row r="44" spans="1:16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</row>
    <row r="45" spans="1:16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</row>
    <row r="46" spans="1:16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</row>
    <row r="47" spans="1:16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</row>
    <row r="48" spans="1:16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</row>
    <row r="49" spans="1:16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</row>
    <row r="50" spans="1:16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</row>
    <row r="51" spans="1:16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</row>
    <row r="52" spans="1:16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</row>
    <row r="53" spans="1:16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</row>
    <row r="54" spans="1:16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</row>
    <row r="55" spans="1:16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</row>
    <row r="56" spans="1:16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</row>
    <row r="57" spans="1:16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</row>
    <row r="58" spans="1:16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</row>
    <row r="59" spans="1:16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</row>
    <row r="60" spans="1:16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</row>
    <row r="61" spans="1:16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</row>
    <row r="62" spans="1:16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</row>
    <row r="63" spans="1:16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</row>
    <row r="64" spans="1:16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</row>
    <row r="65" spans="1:16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</row>
    <row r="66" spans="1:16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</row>
    <row r="67" spans="1:16" ht="6.75" customHeight="1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</row>
    <row r="68" spans="1:16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</row>
    <row r="69" spans="1:16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</row>
    <row r="70" spans="1:16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</row>
    <row r="71" spans="1:16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</row>
    <row r="72" spans="1:16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</row>
    <row r="73" spans="1:16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</row>
    <row r="74" spans="1:16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</row>
    <row r="75" spans="1:16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</row>
  </sheetData>
  <customSheetViews>
    <customSheetView guid="{C5BD3E9A-0945-47FE-8A56-1987B427C3E6}" scale="115" showPageBreaks="1" showGridLines="0" printArea="1" view="pageBreakPreview">
      <selection activeCell="F68" sqref="F68"/>
      <pageMargins left="0.7" right="0.7" top="0.75" bottom="0.75" header="0.3" footer="0.3"/>
      <pageSetup scale="64" orientation="portrait" r:id="rId1"/>
    </customSheetView>
  </customSheetViews>
  <pageMargins left="0.7" right="0.7" top="0.75" bottom="0.75" header="0.3" footer="0.3"/>
  <pageSetup scale="64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Q75"/>
  <sheetViews>
    <sheetView showGridLines="0" view="pageBreakPreview" zoomScale="115" zoomScaleNormal="100" zoomScaleSheetLayoutView="115" workbookViewId="0">
      <selection activeCell="E11" sqref="E11"/>
    </sheetView>
  </sheetViews>
  <sheetFormatPr defaultColWidth="9.140625" defaultRowHeight="12.75" x14ac:dyDescent="0.2"/>
  <cols>
    <col min="1" max="1" width="9.5703125" customWidth="1"/>
    <col min="16" max="16" width="12.42578125" customWidth="1"/>
    <col min="17" max="17" width="14.28515625" customWidth="1"/>
  </cols>
  <sheetData>
    <row r="1" spans="1:17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17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17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17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</row>
    <row r="5" spans="1:17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</row>
    <row r="6" spans="1:17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</row>
    <row r="7" spans="1:17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</row>
    <row r="8" spans="1:17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17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17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</row>
    <row r="11" spans="1:17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</row>
    <row r="12" spans="1:17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</row>
    <row r="13" spans="1:17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</row>
    <row r="14" spans="1:17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17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17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</row>
    <row r="18" spans="1:17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</row>
    <row r="19" spans="1:17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</row>
    <row r="20" spans="1:17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</row>
    <row r="21" spans="1:17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</row>
    <row r="22" spans="1:17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</row>
    <row r="23" spans="1:17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</row>
    <row r="25" spans="1:17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</row>
    <row r="26" spans="1:17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</row>
    <row r="27" spans="1:17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</row>
    <row r="28" spans="1:17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</row>
    <row r="29" spans="1:17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</row>
    <row r="30" spans="1:17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</row>
    <row r="31" spans="1:17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</row>
    <row r="32" spans="1:17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</row>
    <row r="33" spans="1:17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</row>
    <row r="34" spans="1:17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</row>
    <row r="35" spans="1:17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</row>
    <row r="36" spans="1:17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</row>
    <row r="37" spans="1:17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</row>
    <row r="38" spans="1:17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</row>
    <row r="39" spans="1:17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</row>
    <row r="40" spans="1:17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</row>
    <row r="41" spans="1:17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</row>
    <row r="42" spans="1:17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</row>
    <row r="43" spans="1:17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</row>
    <row r="44" spans="1:17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</row>
    <row r="45" spans="1:17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</row>
    <row r="46" spans="1:17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</row>
    <row r="47" spans="1:17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</row>
    <row r="48" spans="1:17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</row>
    <row r="49" spans="1:17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</row>
    <row r="50" spans="1:17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</row>
    <row r="51" spans="1:17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</row>
    <row r="52" spans="1:17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</row>
    <row r="53" spans="1:17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</row>
    <row r="54" spans="1:17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</row>
    <row r="55" spans="1:17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</row>
    <row r="56" spans="1:17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</row>
    <row r="57" spans="1:17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</row>
    <row r="58" spans="1:17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</row>
    <row r="59" spans="1:17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</row>
    <row r="60" spans="1:17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</row>
    <row r="61" spans="1:17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</row>
    <row r="62" spans="1:17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</row>
    <row r="63" spans="1:17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</row>
    <row r="64" spans="1:17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</row>
    <row r="65" spans="1:17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</row>
    <row r="66" spans="1:17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</row>
    <row r="67" spans="1:17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</row>
    <row r="68" spans="1:17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</row>
    <row r="69" spans="1:17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</row>
    <row r="70" spans="1:17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</row>
    <row r="71" spans="1:17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</row>
    <row r="72" spans="1:17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</row>
    <row r="73" spans="1:17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</row>
    <row r="74" spans="1:17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</row>
    <row r="75" spans="1:17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</row>
  </sheetData>
  <customSheetViews>
    <customSheetView guid="{C5BD3E9A-0945-47FE-8A56-1987B427C3E6}" scale="85" showPageBreaks="1" showGridLines="0" printArea="1" view="pageBreakPreview">
      <selection activeCell="F68" sqref="F68"/>
      <pageMargins left="0.7" right="0.7" top="0.75" bottom="0.75" header="0.3" footer="0.3"/>
      <pageSetup scale="56" orientation="portrait" r:id="rId1"/>
    </customSheetView>
  </customSheetViews>
  <pageMargins left="0.7" right="0.7" top="0.75" bottom="0.75" header="0.3" footer="0.3"/>
  <pageSetup scale="56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M75"/>
  <sheetViews>
    <sheetView view="pageBreakPreview" zoomScale="115" zoomScaleNormal="100" zoomScaleSheetLayoutView="115" workbookViewId="0">
      <selection activeCell="E11" sqref="E11"/>
    </sheetView>
  </sheetViews>
  <sheetFormatPr defaultColWidth="9.140625" defaultRowHeight="12.75" x14ac:dyDescent="0.2"/>
  <cols>
    <col min="1" max="1" width="9.5703125" customWidth="1"/>
  </cols>
  <sheetData>
    <row r="1" spans="1:13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1:13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</row>
    <row r="3" spans="1:13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</row>
    <row r="4" spans="1:13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1:13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</row>
    <row r="6" spans="1:13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</row>
    <row r="7" spans="1:13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</row>
    <row r="8" spans="1:13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</row>
    <row r="9" spans="1:13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</row>
    <row r="10" spans="1:13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</row>
    <row r="11" spans="1:13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</row>
    <row r="12" spans="1:13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</row>
    <row r="13" spans="1:13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</row>
    <row r="14" spans="1:13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</row>
    <row r="15" spans="1:13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</row>
    <row r="16" spans="1:13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3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</row>
    <row r="18" spans="1:13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</row>
    <row r="19" spans="1:13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3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</row>
    <row r="21" spans="1:13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</row>
    <row r="22" spans="1:13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</row>
    <row r="23" spans="1:13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</row>
    <row r="24" spans="1:13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</row>
    <row r="25" spans="1:13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</row>
    <row r="26" spans="1:13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</row>
    <row r="27" spans="1:13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</row>
    <row r="28" spans="1:13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</row>
    <row r="29" spans="1:13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</row>
    <row r="30" spans="1:13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</row>
    <row r="31" spans="1:13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</row>
    <row r="32" spans="1:13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</row>
    <row r="33" spans="1:13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</row>
    <row r="34" spans="1:13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</row>
    <row r="35" spans="1:13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</row>
    <row r="36" spans="1:13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</row>
    <row r="37" spans="1:13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</row>
    <row r="38" spans="1:13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</row>
    <row r="39" spans="1:13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</row>
    <row r="40" spans="1:13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</row>
    <row r="41" spans="1:13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</row>
    <row r="42" spans="1:13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</row>
    <row r="43" spans="1:13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</row>
    <row r="44" spans="1:13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</row>
    <row r="45" spans="1:13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</row>
    <row r="46" spans="1:13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</row>
    <row r="47" spans="1:13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</row>
    <row r="48" spans="1:13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</row>
    <row r="49" spans="1:13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13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</row>
    <row r="51" spans="1:13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</row>
    <row r="52" spans="1:13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</row>
    <row r="53" spans="1:13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</row>
    <row r="54" spans="1:13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</row>
    <row r="55" spans="1:13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13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</row>
    <row r="57" spans="1:13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</row>
    <row r="58" spans="1:13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</row>
    <row r="59" spans="1:13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</row>
    <row r="60" spans="1:13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</row>
    <row r="61" spans="1:13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</row>
    <row r="62" spans="1:13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</row>
    <row r="63" spans="1:13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4" spans="1:13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</row>
    <row r="65" spans="1:13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</row>
    <row r="66" spans="1:13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</row>
    <row r="67" spans="1:13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</row>
    <row r="68" spans="1:13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</row>
    <row r="69" spans="1:13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</row>
    <row r="70" spans="1:13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</row>
    <row r="71" spans="1:13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</row>
    <row r="72" spans="1:13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</row>
    <row r="73" spans="1:13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</row>
    <row r="74" spans="1:13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</row>
    <row r="75" spans="1:13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</row>
  </sheetData>
  <customSheetViews>
    <customSheetView guid="{C5BD3E9A-0945-47FE-8A56-1987B427C3E6}" scale="115" showPageBreaks="1" printArea="1" view="pageBreakPreview">
      <selection activeCell="T8" sqref="T8"/>
      <rowBreaks count="1" manualBreakCount="1">
        <brk id="62" max="16383" man="1"/>
      </rowBreaks>
      <pageMargins left="0.7" right="0.7" top="0.75" bottom="0.75" header="0.3" footer="0.3"/>
      <pageSetup scale="77" orientation="portrait" r:id="rId1"/>
    </customSheetView>
  </customSheetViews>
  <pageMargins left="0.7" right="0.7" top="0.75" bottom="0.75" header="0.3" footer="0.3"/>
  <pageSetup scale="77" orientation="portrait" r:id="rId2"/>
  <rowBreaks count="1" manualBreakCount="1">
    <brk id="62" max="16383" man="1"/>
  </row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8417-CDF0-4316-9D65-F89851941DF8}">
  <sheetPr codeName="Sheet26">
    <tabColor theme="4" tint="-0.249977111117893"/>
  </sheetPr>
  <dimension ref="A1"/>
  <sheetViews>
    <sheetView view="pageBreakPreview" topLeftCell="B151" zoomScale="85" zoomScaleNormal="55" zoomScaleSheetLayoutView="85" workbookViewId="0">
      <selection activeCell="E11" sqref="E11"/>
    </sheetView>
  </sheetViews>
  <sheetFormatPr defaultRowHeight="12.75" x14ac:dyDescent="0.2"/>
  <sheetData/>
  <pageMargins left="0.7" right="0.7" top="0.75" bottom="0.75" header="0.3" footer="0.3"/>
  <pageSetup scale="37" orientation="portrait" r:id="rId1"/>
  <rowBreaks count="2" manualBreakCount="2">
    <brk id="140" max="16383" man="1"/>
    <brk id="287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0757-BB13-4833-BDA4-15D773B2BE1C}">
  <sheetPr codeName="Sheet22">
    <tabColor rgb="FF002060"/>
  </sheetPr>
  <dimension ref="A1"/>
  <sheetViews>
    <sheetView view="pageBreakPreview" zoomScale="70" zoomScaleNormal="85" zoomScaleSheetLayoutView="70" workbookViewId="0">
      <selection activeCell="E11" sqref="E11"/>
    </sheetView>
  </sheetViews>
  <sheetFormatPr defaultRowHeight="12.75" x14ac:dyDescent="0.2"/>
  <sheetData/>
  <pageMargins left="0.7" right="0.7" top="0.75" bottom="0.75" header="0.3" footer="0.3"/>
  <pageSetup scale="37" orientation="portrait" r:id="rId1"/>
  <rowBreaks count="2" manualBreakCount="2">
    <brk id="146" max="26" man="1"/>
    <brk id="288" max="26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1"/>
  <dimension ref="A1:P75"/>
  <sheetViews>
    <sheetView showGridLines="0" tabSelected="1" view="pageBreakPreview" zoomScaleNormal="100" zoomScaleSheetLayoutView="100" workbookViewId="0">
      <selection activeCell="X1" sqref="X1"/>
    </sheetView>
  </sheetViews>
  <sheetFormatPr defaultColWidth="9.140625" defaultRowHeight="12.75" x14ac:dyDescent="0.2"/>
  <cols>
    <col min="1" max="1" width="9.5703125" customWidth="1"/>
    <col min="16" max="16" width="5.42578125" customWidth="1"/>
  </cols>
  <sheetData>
    <row r="1" spans="1:16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</row>
    <row r="2" spans="1:16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</row>
    <row r="3" spans="1:16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</row>
    <row r="4" spans="1:16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</row>
    <row r="5" spans="1:16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</row>
    <row r="6" spans="1:16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</row>
    <row r="8" spans="1:16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</row>
    <row r="9" spans="1:16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</row>
    <row r="10" spans="1:16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</row>
    <row r="11" spans="1:16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</row>
    <row r="12" spans="1:16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</row>
    <row r="13" spans="1:16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</row>
    <row r="14" spans="1:16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</row>
    <row r="15" spans="1:16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</row>
    <row r="16" spans="1:16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</row>
    <row r="17" spans="1:16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</row>
    <row r="18" spans="1:16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</row>
    <row r="19" spans="1:16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</row>
    <row r="20" spans="1:16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</row>
    <row r="21" spans="1:16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</row>
    <row r="22" spans="1:16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</row>
    <row r="23" spans="1:16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</row>
    <row r="24" spans="1:16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</row>
    <row r="25" spans="1:16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</row>
    <row r="26" spans="1:16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</row>
    <row r="27" spans="1:16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</row>
    <row r="28" spans="1:16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</row>
    <row r="29" spans="1:16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</row>
    <row r="30" spans="1:16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</row>
    <row r="31" spans="1:16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</row>
    <row r="32" spans="1:16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</row>
    <row r="33" spans="1:16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</row>
    <row r="34" spans="1:16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</row>
    <row r="35" spans="1:16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</row>
    <row r="36" spans="1:16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</row>
    <row r="37" spans="1:16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</row>
    <row r="38" spans="1:16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</row>
    <row r="39" spans="1:16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</row>
    <row r="40" spans="1:16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</row>
    <row r="41" spans="1:16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</row>
    <row r="42" spans="1:16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</row>
    <row r="43" spans="1:16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</row>
    <row r="44" spans="1:16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</row>
    <row r="45" spans="1:16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</row>
    <row r="46" spans="1:16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</row>
    <row r="47" spans="1:16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</row>
    <row r="48" spans="1:16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</row>
    <row r="49" spans="1:16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</row>
    <row r="50" spans="1:16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</row>
    <row r="51" spans="1:16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</row>
    <row r="52" spans="1:16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</row>
    <row r="53" spans="1:16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</row>
    <row r="54" spans="1:16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</row>
    <row r="55" spans="1:16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</row>
    <row r="56" spans="1:16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</row>
    <row r="57" spans="1:16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</row>
    <row r="58" spans="1:16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</row>
    <row r="59" spans="1:16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</row>
    <row r="60" spans="1:16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</row>
    <row r="61" spans="1:16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</row>
    <row r="62" spans="1:16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</row>
    <row r="63" spans="1:16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</row>
    <row r="64" spans="1:16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</row>
    <row r="65" spans="1:16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</row>
    <row r="66" spans="1:16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</row>
    <row r="67" spans="1:16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</row>
    <row r="68" spans="1:16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</row>
    <row r="69" spans="1:16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</row>
    <row r="70" spans="1:16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</row>
    <row r="71" spans="1:16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</row>
    <row r="72" spans="1:16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</row>
    <row r="73" spans="1:16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</row>
    <row r="74" spans="1:16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</row>
    <row r="75" spans="1:16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</row>
  </sheetData>
  <pageMargins left="0.7" right="0.7" top="0.75" bottom="0.75" header="0.3" footer="0.3"/>
  <pageSetup scale="5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Q75"/>
  <sheetViews>
    <sheetView showGridLines="0" tabSelected="1" view="pageBreakPreview" zoomScaleNormal="100" zoomScaleSheetLayoutView="100" workbookViewId="0">
      <selection activeCell="X1" sqref="X1"/>
    </sheetView>
  </sheetViews>
  <sheetFormatPr defaultColWidth="9.140625" defaultRowHeight="12.75" x14ac:dyDescent="0.2"/>
  <cols>
    <col min="1" max="1" width="9.5703125" customWidth="1"/>
    <col min="16" max="16" width="12.42578125" customWidth="1"/>
    <col min="17" max="17" width="14.28515625" customWidth="1"/>
  </cols>
  <sheetData>
    <row r="1" spans="1:17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17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17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17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</row>
    <row r="5" spans="1:17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</row>
    <row r="6" spans="1:17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</row>
    <row r="7" spans="1:17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</row>
    <row r="8" spans="1:17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17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17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</row>
    <row r="11" spans="1:17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</row>
    <row r="12" spans="1:17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</row>
    <row r="13" spans="1:17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</row>
    <row r="14" spans="1:17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17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17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</row>
    <row r="18" spans="1:17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</row>
    <row r="19" spans="1:17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</row>
    <row r="20" spans="1:17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</row>
    <row r="21" spans="1:17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</row>
    <row r="22" spans="1:17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</row>
    <row r="23" spans="1:17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</row>
    <row r="25" spans="1:17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</row>
    <row r="26" spans="1:17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</row>
    <row r="27" spans="1:17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</row>
    <row r="28" spans="1:17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</row>
    <row r="29" spans="1:17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</row>
    <row r="30" spans="1:17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</row>
    <row r="31" spans="1:17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</row>
    <row r="32" spans="1:17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</row>
    <row r="33" spans="1:17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</row>
    <row r="34" spans="1:17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</row>
    <row r="35" spans="1:17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</row>
    <row r="36" spans="1:17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</row>
    <row r="37" spans="1:17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</row>
    <row r="38" spans="1:17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</row>
    <row r="39" spans="1:17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</row>
    <row r="40" spans="1:17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</row>
    <row r="41" spans="1:17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</row>
    <row r="42" spans="1:17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</row>
    <row r="43" spans="1:17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</row>
    <row r="44" spans="1:17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</row>
    <row r="45" spans="1:17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</row>
    <row r="46" spans="1:17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</row>
    <row r="47" spans="1:17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</row>
    <row r="48" spans="1:17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</row>
    <row r="49" spans="1:17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</row>
    <row r="50" spans="1:17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</row>
    <row r="51" spans="1:17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</row>
    <row r="52" spans="1:17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</row>
    <row r="53" spans="1:17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</row>
    <row r="54" spans="1:17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</row>
    <row r="55" spans="1:17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</row>
    <row r="56" spans="1:17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</row>
    <row r="57" spans="1:17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</row>
    <row r="58" spans="1:17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</row>
    <row r="59" spans="1:17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</row>
    <row r="60" spans="1:17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</row>
    <row r="61" spans="1:17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</row>
    <row r="62" spans="1:17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</row>
    <row r="63" spans="1:17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</row>
    <row r="64" spans="1:17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</row>
    <row r="65" spans="1:17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</row>
    <row r="66" spans="1:17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</row>
    <row r="67" spans="1:17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</row>
    <row r="68" spans="1:17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</row>
    <row r="69" spans="1:17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</row>
    <row r="70" spans="1:17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</row>
    <row r="71" spans="1:17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</row>
    <row r="72" spans="1:17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</row>
    <row r="73" spans="1:17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</row>
    <row r="74" spans="1:17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</row>
    <row r="75" spans="1:17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</row>
  </sheetData>
  <pageMargins left="0.7" right="0.7" top="0.75" bottom="0.75" header="0.3" footer="0.3"/>
  <pageSetup scale="54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M75"/>
  <sheetViews>
    <sheetView showGridLines="0" tabSelected="1" view="pageBreakPreview" zoomScale="85" zoomScaleNormal="100" zoomScaleSheetLayoutView="85" workbookViewId="0">
      <selection activeCell="X1" sqref="X1"/>
    </sheetView>
  </sheetViews>
  <sheetFormatPr defaultColWidth="9.140625" defaultRowHeight="12.75" x14ac:dyDescent="0.2"/>
  <cols>
    <col min="1" max="1" width="9.5703125" customWidth="1"/>
  </cols>
  <sheetData>
    <row r="1" spans="1:13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1:13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</row>
    <row r="3" spans="1:13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</row>
    <row r="4" spans="1:13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1:13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</row>
    <row r="6" spans="1:13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</row>
    <row r="7" spans="1:13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</row>
    <row r="8" spans="1:13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</row>
    <row r="9" spans="1:13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</row>
    <row r="10" spans="1:13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</row>
    <row r="11" spans="1:13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</row>
    <row r="12" spans="1:13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</row>
    <row r="13" spans="1:13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</row>
    <row r="14" spans="1:13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</row>
    <row r="15" spans="1:13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</row>
    <row r="16" spans="1:13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3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</row>
    <row r="18" spans="1:13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</row>
    <row r="19" spans="1:13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3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</row>
    <row r="21" spans="1:13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</row>
    <row r="22" spans="1:13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</row>
    <row r="23" spans="1:13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</row>
    <row r="24" spans="1:13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</row>
    <row r="25" spans="1:13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</row>
    <row r="26" spans="1:13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</row>
    <row r="27" spans="1:13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</row>
    <row r="28" spans="1:13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</row>
    <row r="29" spans="1:13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</row>
    <row r="30" spans="1:13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</row>
    <row r="31" spans="1:13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</row>
    <row r="32" spans="1:13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</row>
    <row r="33" spans="1:13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</row>
    <row r="34" spans="1:13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</row>
    <row r="35" spans="1:13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</row>
    <row r="36" spans="1:13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</row>
    <row r="37" spans="1:13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</row>
    <row r="38" spans="1:13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</row>
    <row r="39" spans="1:13" x14ac:dyDescent="0.2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</row>
    <row r="40" spans="1:13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</row>
    <row r="41" spans="1:13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</row>
    <row r="42" spans="1:13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</row>
    <row r="43" spans="1:13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</row>
    <row r="44" spans="1:13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</row>
    <row r="45" spans="1:13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</row>
    <row r="46" spans="1:13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</row>
    <row r="47" spans="1:13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</row>
    <row r="48" spans="1:13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</row>
    <row r="49" spans="1:13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13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</row>
    <row r="51" spans="1:13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</row>
    <row r="52" spans="1:13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</row>
    <row r="53" spans="1:13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</row>
    <row r="54" spans="1:13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</row>
    <row r="55" spans="1:13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13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</row>
    <row r="57" spans="1:13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</row>
    <row r="58" spans="1:13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</row>
    <row r="59" spans="1:13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</row>
    <row r="60" spans="1:13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</row>
    <row r="61" spans="1:13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</row>
    <row r="62" spans="1:13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</row>
    <row r="63" spans="1:13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4" spans="1:13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</row>
    <row r="65" spans="1:13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</row>
    <row r="66" spans="1:13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</row>
    <row r="67" spans="1:13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</row>
    <row r="68" spans="1:13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</row>
    <row r="69" spans="1:13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</row>
    <row r="70" spans="1:13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</row>
    <row r="71" spans="1:13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</row>
    <row r="72" spans="1:13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</row>
    <row r="73" spans="1:13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</row>
    <row r="74" spans="1:13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</row>
    <row r="75" spans="1:13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</row>
  </sheetData>
  <pageMargins left="0.7" right="0.7" top="0.75" bottom="0.75" header="0.3" footer="0.3"/>
  <pageSetup scale="54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26F11-5687-49F2-BD92-396C93178F94}">
  <sheetPr codeName="Sheet28">
    <tabColor theme="4" tint="-0.249977111117893"/>
  </sheetPr>
  <dimension ref="A1"/>
  <sheetViews>
    <sheetView tabSelected="1" view="pageBreakPreview" zoomScale="85" zoomScaleNormal="100" zoomScaleSheetLayoutView="85" workbookViewId="0">
      <selection activeCell="X1" sqref="X1"/>
    </sheetView>
  </sheetViews>
  <sheetFormatPr defaultRowHeight="12.75" x14ac:dyDescent="0.2"/>
  <sheetData/>
  <pageMargins left="0.7" right="0.7" top="0.75" bottom="0.75" header="0.3" footer="0.3"/>
  <pageSetup scale="38" orientation="portrait" r:id="rId1"/>
  <rowBreaks count="2" manualBreakCount="2">
    <brk id="135" max="16383" man="1"/>
    <brk id="272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B1FCF-91A4-45DB-AB4A-A5F6172C8141}">
  <sheetPr codeName="Sheet23">
    <tabColor rgb="FF002060"/>
  </sheetPr>
  <dimension ref="A1"/>
  <sheetViews>
    <sheetView tabSelected="1" view="pageBreakPreview" zoomScale="85" zoomScaleNormal="85" zoomScaleSheetLayoutView="85" workbookViewId="0">
      <selection activeCell="X1" sqref="X1"/>
    </sheetView>
  </sheetViews>
  <sheetFormatPr defaultRowHeight="12.75" x14ac:dyDescent="0.2"/>
  <sheetData/>
  <pageMargins left="0.7" right="0.7" top="0.75" bottom="0.75" header="0.3" footer="0.3"/>
  <pageSetup scale="35" orientation="portrait" r:id="rId1"/>
  <rowBreaks count="2" manualBreakCount="2">
    <brk id="146" max="16383" man="1"/>
    <brk id="295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BT69"/>
  <sheetViews>
    <sheetView zoomScale="85" workbookViewId="0">
      <pane ySplit="3" topLeftCell="A33" activePane="bottomLeft" state="frozen"/>
      <selection pane="bottomLeft" activeCell="C46" sqref="C46"/>
    </sheetView>
  </sheetViews>
  <sheetFormatPr defaultColWidth="9.140625" defaultRowHeight="12.75" x14ac:dyDescent="0.2"/>
  <cols>
    <col min="2" max="2" width="13.28515625" bestFit="1" customWidth="1"/>
    <col min="3" max="3" width="21.5703125" customWidth="1"/>
    <col min="4" max="4" width="10.7109375" customWidth="1"/>
    <col min="5" max="10" width="10.7109375" style="37" customWidth="1"/>
    <col min="11" max="11" width="10.7109375" customWidth="1"/>
    <col min="12" max="26" width="10.7109375" style="37" customWidth="1"/>
    <col min="27" max="27" width="30" style="37" bestFit="1" customWidth="1"/>
    <col min="28" max="29" width="10.7109375" style="37" customWidth="1"/>
    <col min="30" max="30" width="10.7109375" customWidth="1"/>
    <col min="31" max="36" width="10.7109375" style="37" customWidth="1"/>
    <col min="37" max="37" width="10.7109375" customWidth="1"/>
    <col min="38" max="40" width="10.7109375" style="37" customWidth="1"/>
    <col min="41" max="43" width="11.28515625" style="37" customWidth="1"/>
    <col min="44" max="48" width="10.7109375" style="37" customWidth="1"/>
    <col min="49" max="49" width="10.7109375" customWidth="1"/>
    <col min="50" max="55" width="10.7109375" style="37" customWidth="1"/>
    <col min="56" max="56" width="8.140625" bestFit="1" customWidth="1"/>
    <col min="57" max="62" width="10.7109375" style="37" customWidth="1"/>
    <col min="63" max="64" width="8.5703125" bestFit="1" customWidth="1"/>
    <col min="65" max="66" width="9.7109375" customWidth="1"/>
    <col min="68" max="69" width="8.5703125" bestFit="1" customWidth="1"/>
    <col min="70" max="70" width="8" bestFit="1" customWidth="1"/>
    <col min="71" max="71" width="9.85546875" bestFit="1" customWidth="1"/>
  </cols>
  <sheetData>
    <row r="1" spans="1:72" ht="13.5" thickBot="1" x14ac:dyDescent="0.25">
      <c r="D1" s="373" t="s">
        <v>30</v>
      </c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5"/>
      <c r="AD1" s="373" t="s">
        <v>31</v>
      </c>
      <c r="AE1" s="374"/>
      <c r="AF1" s="374"/>
      <c r="AG1" s="374"/>
      <c r="AH1" s="374"/>
      <c r="AI1" s="374"/>
      <c r="AJ1" s="374"/>
      <c r="AK1" s="374"/>
      <c r="AL1" s="374"/>
      <c r="AM1" s="374"/>
      <c r="AN1" s="374"/>
      <c r="AO1" s="374"/>
      <c r="AP1" s="374"/>
      <c r="AQ1" s="374"/>
      <c r="AR1" s="374"/>
      <c r="AS1" s="374"/>
      <c r="AT1" s="374"/>
      <c r="AU1" s="374"/>
      <c r="AV1" s="375"/>
      <c r="AW1" s="380" t="s">
        <v>32</v>
      </c>
      <c r="AX1" s="381"/>
      <c r="AY1" s="381"/>
      <c r="AZ1" s="381"/>
      <c r="BA1" s="381"/>
      <c r="BB1" s="381"/>
      <c r="BC1" s="381"/>
      <c r="BD1" s="381"/>
      <c r="BE1" s="381"/>
      <c r="BF1" s="381"/>
      <c r="BG1" s="381"/>
      <c r="BH1" s="381"/>
      <c r="BI1" s="381"/>
      <c r="BJ1" s="381"/>
      <c r="BK1" s="381"/>
      <c r="BL1" s="381"/>
      <c r="BM1" s="381"/>
      <c r="BN1" s="381"/>
      <c r="BO1" s="381"/>
      <c r="BP1" s="381"/>
      <c r="BQ1" s="381"/>
      <c r="BR1" s="381"/>
      <c r="BS1" s="381"/>
    </row>
    <row r="2" spans="1:72" ht="13.5" thickBot="1" x14ac:dyDescent="0.25">
      <c r="D2" s="376" t="s">
        <v>1</v>
      </c>
      <c r="E2" s="377"/>
      <c r="F2" s="239"/>
      <c r="G2" s="239"/>
      <c r="H2" s="239"/>
      <c r="I2" s="61"/>
      <c r="J2" s="61"/>
      <c r="K2" s="378" t="s">
        <v>2</v>
      </c>
      <c r="L2" s="379"/>
      <c r="M2" s="239"/>
      <c r="N2" s="239"/>
      <c r="O2" s="239"/>
      <c r="P2" s="61"/>
      <c r="Q2" s="61"/>
      <c r="R2" s="378" t="s">
        <v>3</v>
      </c>
      <c r="S2" s="379"/>
      <c r="T2" s="239"/>
      <c r="U2" s="239"/>
      <c r="V2" s="378" t="s">
        <v>44</v>
      </c>
      <c r="W2" s="379"/>
      <c r="X2" s="239"/>
      <c r="Y2" s="239"/>
      <c r="Z2" s="378" t="s">
        <v>45</v>
      </c>
      <c r="AA2" s="379"/>
      <c r="AB2" s="239"/>
      <c r="AC2" s="239"/>
      <c r="AD2" s="376" t="s">
        <v>1</v>
      </c>
      <c r="AE2" s="377"/>
      <c r="AF2" s="239"/>
      <c r="AG2" s="239"/>
      <c r="AH2" s="239"/>
      <c r="AI2" s="61"/>
      <c r="AJ2" s="61"/>
      <c r="AK2" s="378" t="s">
        <v>2</v>
      </c>
      <c r="AL2" s="379"/>
      <c r="AM2" s="239"/>
      <c r="AN2" s="239"/>
      <c r="AO2" s="239"/>
      <c r="AP2" s="61"/>
      <c r="AQ2" s="61"/>
      <c r="AR2" s="378" t="s">
        <v>3</v>
      </c>
      <c r="AS2" s="379"/>
      <c r="AT2" s="239"/>
      <c r="AU2" s="239"/>
      <c r="AV2" s="238" t="s">
        <v>44</v>
      </c>
      <c r="AW2" s="376" t="s">
        <v>1</v>
      </c>
      <c r="AX2" s="377"/>
      <c r="AY2" s="239"/>
      <c r="AZ2" s="239"/>
      <c r="BA2" s="239"/>
      <c r="BB2" s="61"/>
      <c r="BC2" s="61"/>
      <c r="BD2" s="378" t="s">
        <v>2</v>
      </c>
      <c r="BE2" s="379"/>
      <c r="BF2" s="239"/>
      <c r="BG2" s="239"/>
      <c r="BH2" s="239"/>
      <c r="BI2" s="61"/>
      <c r="BJ2" s="61"/>
      <c r="BK2" s="378" t="s">
        <v>3</v>
      </c>
      <c r="BL2" s="379"/>
      <c r="BM2" s="239"/>
      <c r="BN2" s="239"/>
      <c r="BO2" s="238" t="s">
        <v>44</v>
      </c>
      <c r="BP2" s="378" t="s">
        <v>236</v>
      </c>
      <c r="BQ2" s="379"/>
      <c r="BR2" s="239"/>
      <c r="BS2" s="239"/>
    </row>
    <row r="3" spans="1:72" ht="13.5" thickBot="1" x14ac:dyDescent="0.25">
      <c r="B3" s="41" t="s">
        <v>33</v>
      </c>
      <c r="D3" s="32" t="s">
        <v>34</v>
      </c>
      <c r="E3" s="33" t="s">
        <v>35</v>
      </c>
      <c r="F3" s="124" t="s">
        <v>57</v>
      </c>
      <c r="G3" s="124" t="s">
        <v>201</v>
      </c>
      <c r="H3" s="124" t="s">
        <v>61</v>
      </c>
      <c r="I3" s="124" t="s">
        <v>200</v>
      </c>
      <c r="J3" s="124" t="s">
        <v>199</v>
      </c>
      <c r="K3" s="32" t="s">
        <v>34</v>
      </c>
      <c r="L3" s="34" t="s">
        <v>35</v>
      </c>
      <c r="M3" s="124" t="s">
        <v>57</v>
      </c>
      <c r="N3" s="124" t="s">
        <v>201</v>
      </c>
      <c r="O3" s="124" t="s">
        <v>61</v>
      </c>
      <c r="P3" s="124" t="s">
        <v>200</v>
      </c>
      <c r="Q3" s="124" t="s">
        <v>199</v>
      </c>
      <c r="R3" s="32" t="s">
        <v>34</v>
      </c>
      <c r="S3" s="34" t="s">
        <v>35</v>
      </c>
      <c r="T3" s="124" t="s">
        <v>57</v>
      </c>
      <c r="U3" s="124" t="s">
        <v>61</v>
      </c>
      <c r="V3" s="32" t="s">
        <v>34</v>
      </c>
      <c r="W3" s="34" t="s">
        <v>35</v>
      </c>
      <c r="X3" s="124" t="s">
        <v>57</v>
      </c>
      <c r="Y3" s="124" t="s">
        <v>61</v>
      </c>
      <c r="Z3" s="32" t="s">
        <v>34</v>
      </c>
      <c r="AA3" s="34" t="s">
        <v>35</v>
      </c>
      <c r="AB3" s="124" t="s">
        <v>57</v>
      </c>
      <c r="AC3" s="124" t="s">
        <v>61</v>
      </c>
      <c r="AD3" s="32" t="s">
        <v>36</v>
      </c>
      <c r="AE3" s="33" t="s">
        <v>37</v>
      </c>
      <c r="AF3" s="124" t="s">
        <v>57</v>
      </c>
      <c r="AG3" s="124" t="s">
        <v>201</v>
      </c>
      <c r="AH3" s="124" t="s">
        <v>61</v>
      </c>
      <c r="AI3" s="124" t="s">
        <v>200</v>
      </c>
      <c r="AJ3" s="124" t="s">
        <v>199</v>
      </c>
      <c r="AK3" s="32" t="s">
        <v>36</v>
      </c>
      <c r="AL3" s="34" t="s">
        <v>37</v>
      </c>
      <c r="AM3" s="124" t="s">
        <v>57</v>
      </c>
      <c r="AN3" s="124" t="s">
        <v>201</v>
      </c>
      <c r="AO3" s="124" t="s">
        <v>61</v>
      </c>
      <c r="AP3" s="124" t="s">
        <v>200</v>
      </c>
      <c r="AQ3" s="124" t="s">
        <v>199</v>
      </c>
      <c r="AR3" s="32" t="s">
        <v>36</v>
      </c>
      <c r="AS3" s="34" t="s">
        <v>37</v>
      </c>
      <c r="AT3" s="124" t="s">
        <v>57</v>
      </c>
      <c r="AU3" s="124" t="s">
        <v>61</v>
      </c>
      <c r="AV3" s="32" t="s">
        <v>36</v>
      </c>
      <c r="AW3" s="32" t="s">
        <v>38</v>
      </c>
      <c r="AX3" s="33" t="s">
        <v>39</v>
      </c>
      <c r="AY3" s="124" t="s">
        <v>57</v>
      </c>
      <c r="AZ3" s="124" t="s">
        <v>201</v>
      </c>
      <c r="BA3" s="124" t="s">
        <v>61</v>
      </c>
      <c r="BB3" s="124" t="s">
        <v>200</v>
      </c>
      <c r="BC3" s="124" t="s">
        <v>199</v>
      </c>
      <c r="BD3" s="32" t="s">
        <v>38</v>
      </c>
      <c r="BE3" s="34" t="s">
        <v>39</v>
      </c>
      <c r="BF3" s="124" t="s">
        <v>57</v>
      </c>
      <c r="BG3" s="124" t="s">
        <v>201</v>
      </c>
      <c r="BH3" s="124" t="s">
        <v>61</v>
      </c>
      <c r="BI3" s="124" t="s">
        <v>200</v>
      </c>
      <c r="BJ3" s="124" t="s">
        <v>199</v>
      </c>
      <c r="BK3" s="32" t="s">
        <v>38</v>
      </c>
      <c r="BL3" s="34" t="s">
        <v>39</v>
      </c>
      <c r="BM3" s="124" t="s">
        <v>57</v>
      </c>
      <c r="BN3" s="124" t="s">
        <v>61</v>
      </c>
      <c r="BO3" s="32" t="s">
        <v>38</v>
      </c>
      <c r="BP3" s="32" t="s">
        <v>38</v>
      </c>
      <c r="BQ3" s="34" t="s">
        <v>39</v>
      </c>
      <c r="BR3" s="124" t="s">
        <v>57</v>
      </c>
      <c r="BS3" s="124" t="s">
        <v>61</v>
      </c>
    </row>
    <row r="4" spans="1:72" ht="18" customHeight="1" x14ac:dyDescent="0.2">
      <c r="A4">
        <v>1</v>
      </c>
      <c r="B4" s="7">
        <f>Laboratorio!B7</f>
        <v>46248</v>
      </c>
      <c r="C4" s="7" t="str">
        <f>DAY(B4) &amp; "-" &amp; MONTH(B4) &amp;"-" &amp; YEAR(B4)</f>
        <v>14-8-2026</v>
      </c>
      <c r="D4" s="35">
        <f>IF(ISNUMBER(Courier!E15),Courier!E15,0)</f>
        <v>0.46027767658233643</v>
      </c>
      <c r="E4" s="36">
        <f>IF(ISNUMBER(Laboratorio!E7),Laboratorio!E7,"")</f>
        <v>0.60799999999999998</v>
      </c>
      <c r="F4" s="36">
        <f t="shared" ref="F4:F35" si="0">IF(ISNUMBER(E4-D4),IF(D4&lt;0.2,"",E4-D4)," ")</f>
        <v>0.14772232341766356</v>
      </c>
      <c r="G4" s="36">
        <f t="shared" ref="G4:G35" si="1">ABS(F4)</f>
        <v>0.14772232341766356</v>
      </c>
      <c r="H4" s="36">
        <f t="shared" ref="H4:H35" si="2">IF(ISNUMBER(ABS(F4)/E4*100),ABS(F4)/E4*100," ")</f>
        <v>24.296434772642034</v>
      </c>
      <c r="I4" s="36">
        <f>Calculos!$I$1</f>
        <v>4.990387499999998E-2</v>
      </c>
      <c r="J4" s="36">
        <f t="shared" ref="J4:J35" si="3">I4*-1</f>
        <v>-4.990387499999998E-2</v>
      </c>
      <c r="K4" s="35">
        <f>IF(ISNUMBER(Courier!G15),Courier!G15,0)</f>
        <v>3.4962505102157593E-2</v>
      </c>
      <c r="L4" s="36">
        <f>IF(ISNUMBER(Laboratorio!G7),Laboratorio!G7,"")</f>
        <v>5.0999999999999997E-2</v>
      </c>
      <c r="M4" s="36">
        <f t="shared" ref="M4:M35" si="4">IF(ISNUMBER(L4-K4),IF(K4&lt;0.004,"",L4-K4)," ")</f>
        <v>1.6037494897842404E-2</v>
      </c>
      <c r="N4" s="36">
        <f t="shared" ref="N4:N35" si="5">ABS(M4)</f>
        <v>1.6037494897842404E-2</v>
      </c>
      <c r="O4" s="36">
        <f t="shared" ref="O4:O35" si="6">IF(ISNUMBER(ABS(M4)/L4*100),ABS(M4)/L4*100," ")</f>
        <v>31.44606842714197</v>
      </c>
      <c r="P4" s="36">
        <f>Calculos!$J$1</f>
        <v>5.1807500000000022E-3</v>
      </c>
      <c r="Q4" s="36">
        <f t="shared" ref="Q4:Q35" si="7">P4*-1</f>
        <v>-5.1807500000000022E-3</v>
      </c>
      <c r="R4" s="35">
        <f>IF(ISNUMBER(Courier!I15),Courier!I15,"")</f>
        <v>1.5964376926422119</v>
      </c>
      <c r="S4" s="36">
        <f>IF(ISNUMBER(Laboratorio!I7),Laboratorio!I7,"")</f>
        <v>1.9990000000000001</v>
      </c>
      <c r="T4" s="36">
        <f t="shared" ref="T4:T35" si="8">IF(ISNUMBER(S4-R4),IF(R4&lt;1,"",S4-R4)," ")</f>
        <v>0.4025623073577882</v>
      </c>
      <c r="U4" s="36">
        <f t="shared" ref="U4:U35" si="9">IF(ISNUMBER(ABS(T4)/S4*100),ABS(T4)/S4*100," ")</f>
        <v>20.138184460119469</v>
      </c>
      <c r="V4" s="35">
        <f>IF(ISNUMBER(Courier!K15),Courier!K15,"")</f>
        <v>4.7147199511528015E-3</v>
      </c>
      <c r="W4" s="36">
        <f>IF(ISNUMBER(Laboratorio!K7),Laboratorio!K7,"")</f>
        <v>5.0000000000000001E-3</v>
      </c>
      <c r="X4" s="36">
        <f t="shared" ref="X4:X35" si="10">IF(ISNUMBER(W4-V4),IF(V4&lt;0.001,"",W4-V4)," ")</f>
        <v>2.8528004884719859E-4</v>
      </c>
      <c r="Y4" s="36">
        <f t="shared" ref="Y4:Y35" si="11">IF(ISNUMBER(ABS(X4)/W4*100),ABS(X4)/W4*100," ")</f>
        <v>5.7056009769439715</v>
      </c>
      <c r="Z4" s="35" t="str">
        <f>IF(ISNUMBER(Courier!M15),Courier!M15,"")</f>
        <v/>
      </c>
      <c r="AA4" s="36" t="str">
        <f>IF(ISNUMBER(Laboratorio!M7),Laboratorio!M7,"")</f>
        <v/>
      </c>
      <c r="AB4" s="36" t="str">
        <f t="shared" ref="AB4:AB35" si="12">IF(ISNUMBER(AA4-Z4),AA4-Z4," ")</f>
        <v xml:space="preserve"> </v>
      </c>
      <c r="AC4" s="36" t="str">
        <f t="shared" ref="AC4:AC35" si="13">IF(ISNUMBER(ABS(AB4)/AA4*100),ABS(AB4)/AA4*100," ")</f>
        <v xml:space="preserve"> </v>
      </c>
      <c r="AD4" s="35">
        <f>IF(ISNUMBER(Courier!O15),Courier!O15,0)</f>
        <v>4.5330308377742767E-2</v>
      </c>
      <c r="AE4" s="36">
        <f>IF(ISNUMBER(Laboratorio!O7),Laboratorio!O7,"")</f>
        <v>4.4999999999999998E-2</v>
      </c>
      <c r="AF4" s="36">
        <f t="shared" ref="AF4:AF35" si="14">IF(ISNUMBER(AE4-AD4),IF(AD4&lt;0.02,"",AE4-AD4)," ")</f>
        <v>-3.30308377742769E-4</v>
      </c>
      <c r="AG4" s="36">
        <f t="shared" ref="AG4:AG35" si="15">ABS(AF4)</f>
        <v>3.30308377742769E-4</v>
      </c>
      <c r="AH4" s="36">
        <f t="shared" ref="AH4:AH35" si="16">IF(ISNUMBER(ABS(AF4)/AE4*100),ABS(AF4)/AE4*100," ")</f>
        <v>0.73401861720615336</v>
      </c>
      <c r="AI4" s="36">
        <f>Calculos!$U$1</f>
        <v>8.6877272727272758E-3</v>
      </c>
      <c r="AJ4" s="36">
        <f t="shared" ref="AJ4:AJ35" si="17">AI4*-1</f>
        <v>-8.6877272727272758E-3</v>
      </c>
      <c r="AK4" s="35">
        <f>IF(ISNUMBER(Courier!Q15),Courier!Q15,0)</f>
        <v>6.6227056086063385E-3</v>
      </c>
      <c r="AL4" s="36">
        <f>IF(ISNUMBER(Laboratorio!Q7),Laboratorio!Q7,"")</f>
        <v>7.0000000000000001E-3</v>
      </c>
      <c r="AM4" s="36">
        <f t="shared" ref="AM4:AM35" si="18">IF(ISNUMBER(AL4-AK4),IF(AK4&lt;0.001,"",AL4-AK4)," ")</f>
        <v>3.7729439139366164E-4</v>
      </c>
      <c r="AN4" s="36">
        <f t="shared" ref="AN4:AN35" si="19">ABS(AM4)</f>
        <v>3.7729439139366164E-4</v>
      </c>
      <c r="AO4" s="36">
        <f t="shared" ref="AO4:AO35" si="20">IF(ISNUMBER(ABS(AM4)/AL4*100),ABS(AM4)/AL4*100," ")</f>
        <v>5.3899198770523089</v>
      </c>
      <c r="AP4" s="36">
        <f>Calculos!$V$1</f>
        <v>2.2111363636363643E-3</v>
      </c>
      <c r="AQ4" s="36">
        <f t="shared" ref="AQ4:AQ35" si="21">-1*AP4</f>
        <v>-2.2111363636363643E-3</v>
      </c>
      <c r="AR4" s="35">
        <f>IF(ISNUMBER(Courier!S15),Courier!S15,"")</f>
        <v>1.1579176187515259</v>
      </c>
      <c r="AS4" s="36">
        <f>IF(ISNUMBER(Laboratorio!S7),Laboratorio!S7,"")</f>
        <v>1.4379999999999999</v>
      </c>
      <c r="AT4" s="36">
        <f t="shared" ref="AT4:AT35" si="22">IF(ISNUMBER(AS4-AR4),IF(AR4&lt;0.9,"",AS4-AR4)," ")</f>
        <v>0.28008238124847407</v>
      </c>
      <c r="AU4" s="36">
        <f t="shared" ref="AU4:AU35" si="23">IF(ISNUMBER(ABS(AT4)/AS4*100),ABS(AT4)/AS4*100," ")</f>
        <v>19.4772170548313</v>
      </c>
      <c r="AV4" s="35" t="str">
        <f>IF(ISNUMBER(Courier!U13),Courier!U13,"")</f>
        <v/>
      </c>
      <c r="AW4" s="35">
        <f>IF(ISNUMBER(Courier!W15),Courier!W15,0)</f>
        <v>21.580696105957031</v>
      </c>
      <c r="AX4" s="36">
        <f>IF(ISNUMBER(Laboratorio!U7),Laboratorio!U7,"")</f>
        <v>26.169</v>
      </c>
      <c r="AY4" s="36">
        <f t="shared" ref="AY4:AY35" si="24">IF(ISNUMBER(AX4-AW4),IF(AW4&lt;18,"",AX4-AW4)," ")</f>
        <v>4.5883038940429692</v>
      </c>
      <c r="AZ4" s="36">
        <f t="shared" ref="AZ4:AZ35" si="25">ABS(AY4)</f>
        <v>4.5883038940429692</v>
      </c>
      <c r="BA4" s="36">
        <f t="shared" ref="BA4:BA35" si="26">IF(ISNUMBER(ABS(AY4)/AX4*100),ABS(AY4)/AX4*100," ")</f>
        <v>17.533355856329891</v>
      </c>
      <c r="BB4" s="36">
        <f>Calculos!$AH$1</f>
        <v>1.5575884772727273</v>
      </c>
      <c r="BC4" s="36">
        <f t="shared" ref="BC4:BC35" si="27">BB4*-1</f>
        <v>-1.5575884772727273</v>
      </c>
      <c r="BD4" s="35">
        <f>IF(ISNUMBER(Courier!Y15),Courier!Y15,0)</f>
        <v>1.0875203609466553</v>
      </c>
      <c r="BE4" s="36">
        <f>IF(ISNUMBER(Laboratorio!W7),Laboratorio!W7,"")</f>
        <v>1.706</v>
      </c>
      <c r="BF4" s="36">
        <f t="shared" ref="BF4:BF35" si="28">IF(ISNUMBER(BE4-BD4),IF(BD4&lt;0.3,"",BE4-BD4)," ")</f>
        <v>0.61847963905334469</v>
      </c>
      <c r="BG4" s="36">
        <f t="shared" ref="BG4:BG35" si="29">ABS(BF4)</f>
        <v>0.61847963905334469</v>
      </c>
      <c r="BH4" s="36">
        <f t="shared" ref="BH4:BH35" si="30">IF(ISNUMBER(ABS(BF4)/BE4*100),ABS(BF4)/BE4*100," ")</f>
        <v>36.253202758109303</v>
      </c>
      <c r="BI4" s="36">
        <f>Calculos!$AI$1</f>
        <v>0.18375074999999999</v>
      </c>
      <c r="BJ4" s="36">
        <f t="shared" ref="BJ4:BJ35" si="31">BI4*-1</f>
        <v>-0.18375074999999999</v>
      </c>
      <c r="BK4" s="35">
        <f>IF(ISNUMBER(Courier!AA15),Courier!AA15,"")</f>
        <v>25.751577377319336</v>
      </c>
      <c r="BL4" s="36">
        <f>IF(ISNUMBER(Laboratorio!Y7),Laboratorio!Y7,"")</f>
        <v>28.31</v>
      </c>
      <c r="BM4" s="36">
        <f t="shared" ref="BM4:BM35" si="32">IF(ISNUMBER(BL4-BK4),IF(BK4&lt;22,"",BL4-BK4)," ")</f>
        <v>2.5584226226806628</v>
      </c>
      <c r="BN4" s="36">
        <f t="shared" ref="BN4:BN35" si="33">IF(ISNUMBER(ABS(BM4)/BL4*100),ABS(BM4)/BL4*100," ")</f>
        <v>9.0371692782785686</v>
      </c>
      <c r="BO4" s="35" t="str">
        <f>IF(ISNUMBER(Courier!AC13),Courier!AC13,"")</f>
        <v/>
      </c>
      <c r="BP4" s="35" t="str">
        <f>IF(ISNUMBER(Courier!AC15),Courier!AC15,"")</f>
        <v/>
      </c>
      <c r="BQ4" s="36">
        <f>IF(ISNUMBER(Laboratorio!AA7),Laboratorio!AA7,"")</f>
        <v>9.1999999999999993</v>
      </c>
      <c r="BR4" s="36" t="str">
        <f>IF(ISNUMBER(BQ4-BP4),IF(BP4&lt;6,"",BQ4-BP4)," ")</f>
        <v xml:space="preserve"> </v>
      </c>
      <c r="BS4" s="36" t="str">
        <f t="shared" ref="BS4:BS50" si="34">IF(ISNUMBER(ABS(BR4)/BQ4*100),ABS(BR4)/BQ4*100," ")</f>
        <v xml:space="preserve"> </v>
      </c>
    </row>
    <row r="5" spans="1:72" ht="18" customHeight="1" x14ac:dyDescent="0.2">
      <c r="C5" s="38" t="str">
        <f>DAY(B4) &amp; "-" &amp; MONTH(B4) &amp;"-" &amp; YEAR(B4)</f>
        <v>14-8-2026</v>
      </c>
      <c r="D5" s="35">
        <f>IF(ISNUMBER(Courier!F15),Courier!F15,0)</f>
        <v>0.46027767658233643</v>
      </c>
      <c r="E5" s="36">
        <f>IF(ISNUMBER(Laboratorio!F7),Laboratorio!F7,"")</f>
        <v>0.44500000000000001</v>
      </c>
      <c r="F5" s="36">
        <f t="shared" si="0"/>
        <v>-1.5277676582336419E-2</v>
      </c>
      <c r="G5" s="36">
        <f t="shared" si="1"/>
        <v>1.5277676582336419E-2</v>
      </c>
      <c r="H5" s="36">
        <f t="shared" si="2"/>
        <v>3.4331857488396449</v>
      </c>
      <c r="I5" s="36">
        <f>Calculos!$I$1</f>
        <v>4.990387499999998E-2</v>
      </c>
      <c r="J5" s="36">
        <f t="shared" si="3"/>
        <v>-4.990387499999998E-2</v>
      </c>
      <c r="K5" s="35">
        <f>IF(ISNUMBER(Courier!H15),Courier!H15,0)</f>
        <v>3.4962505102157593E-2</v>
      </c>
      <c r="L5" s="36">
        <f>IF(ISNUMBER(Laboratorio!H7),Laboratorio!H7,"")</f>
        <v>4.2999999999999997E-2</v>
      </c>
      <c r="M5" s="36">
        <f t="shared" si="4"/>
        <v>8.0374948978424038E-3</v>
      </c>
      <c r="N5" s="36">
        <f t="shared" si="5"/>
        <v>8.0374948978424038E-3</v>
      </c>
      <c r="O5" s="36">
        <f t="shared" si="6"/>
        <v>18.691848599633499</v>
      </c>
      <c r="P5" s="36">
        <f>Calculos!$J$1</f>
        <v>5.1807500000000022E-3</v>
      </c>
      <c r="Q5" s="36">
        <f t="shared" si="7"/>
        <v>-5.1807500000000022E-3</v>
      </c>
      <c r="R5" s="35">
        <f>IF(ISNUMBER(Courier!J15),Courier!J15,"")</f>
        <v>1.5964376926422119</v>
      </c>
      <c r="S5" s="36">
        <f>IF(ISNUMBER(Laboratorio!J7),Laboratorio!J7,"")</f>
        <v>2.149</v>
      </c>
      <c r="T5" s="36">
        <f t="shared" si="8"/>
        <v>0.55256230735778811</v>
      </c>
      <c r="U5" s="36">
        <f t="shared" si="9"/>
        <v>25.712531752340066</v>
      </c>
      <c r="V5" s="35">
        <f>IF(ISNUMBER(Courier!L15),Courier!L15,"")</f>
        <v>4.7147199511528015E-3</v>
      </c>
      <c r="W5" s="36">
        <f>IF(ISNUMBER(Laboratorio!L7),Laboratorio!L7,"")</f>
        <v>5.0000000000000001E-3</v>
      </c>
      <c r="X5" s="36">
        <f t="shared" si="10"/>
        <v>2.8528004884719859E-4</v>
      </c>
      <c r="Y5" s="36">
        <f t="shared" si="11"/>
        <v>5.7056009769439715</v>
      </c>
      <c r="Z5" s="35" t="str">
        <f>IF(ISNUMBER(Courier!N15),Courier!N15,"")</f>
        <v/>
      </c>
      <c r="AA5" s="36" t="str">
        <f>IF(ISNUMBER(Laboratorio!N7),Laboratorio!N7,"")</f>
        <v/>
      </c>
      <c r="AB5" s="36" t="str">
        <f t="shared" si="12"/>
        <v xml:space="preserve"> </v>
      </c>
      <c r="AC5" s="36" t="str">
        <f t="shared" si="13"/>
        <v xml:space="preserve"> </v>
      </c>
      <c r="AD5" s="35">
        <f>IF(ISNUMBER(Courier!P15),Courier!P15,0)</f>
        <v>4.9011528491973877E-2</v>
      </c>
      <c r="AE5" s="36">
        <f>+IF(ISNUMBER(Laboratorio!P7),Laboratorio!P7,"")</f>
        <v>4.2999999999999997E-2</v>
      </c>
      <c r="AF5" s="36">
        <f t="shared" si="14"/>
        <v>-6.0115284919738804E-3</v>
      </c>
      <c r="AG5" s="36">
        <f t="shared" si="15"/>
        <v>6.0115284919738804E-3</v>
      </c>
      <c r="AH5" s="36">
        <f t="shared" si="16"/>
        <v>13.980298818543909</v>
      </c>
      <c r="AI5" s="36">
        <f>Calculos!$U$1</f>
        <v>8.6877272727272758E-3</v>
      </c>
      <c r="AJ5" s="36">
        <f t="shared" si="17"/>
        <v>-8.6877272727272758E-3</v>
      </c>
      <c r="AK5" s="35">
        <f>IF(ISNUMBER(Courier!R15),Courier!R15,0)</f>
        <v>6.8858852609992027E-3</v>
      </c>
      <c r="AL5" s="36">
        <f>IF(ISNUMBER(Laboratorio!R7),Laboratorio!R7,"")</f>
        <v>6.0000000000000001E-3</v>
      </c>
      <c r="AM5" s="36">
        <f t="shared" si="18"/>
        <v>-8.858852609992026E-4</v>
      </c>
      <c r="AN5" s="36">
        <f t="shared" si="19"/>
        <v>8.858852609992026E-4</v>
      </c>
      <c r="AO5" s="36">
        <f t="shared" si="20"/>
        <v>14.764754349986708</v>
      </c>
      <c r="AP5" s="36">
        <f>Calculos!$V$1</f>
        <v>2.2111363636363643E-3</v>
      </c>
      <c r="AQ5" s="36">
        <f t="shared" si="21"/>
        <v>-2.2111363636363643E-3</v>
      </c>
      <c r="AR5" s="35">
        <f>IF(ISNUMBER(Courier!T15),Courier!T15,"")</f>
        <v>1.4105159044265747</v>
      </c>
      <c r="AS5" s="36">
        <f>IF(ISNUMBER(Laboratorio!T7),Laboratorio!T7,"")</f>
        <v>1.8149999999999999</v>
      </c>
      <c r="AT5" s="36">
        <f t="shared" si="22"/>
        <v>0.40448409557342524</v>
      </c>
      <c r="AU5" s="36">
        <f t="shared" si="23"/>
        <v>22.285625100464202</v>
      </c>
      <c r="AV5" s="35" t="str">
        <f>IF(ISNUMBER(Courier!V13),Courier!V13,"")</f>
        <v/>
      </c>
      <c r="AW5" s="35">
        <f>IF(ISNUMBER(Courier!X15),Courier!X15,0)</f>
        <v>23.905122756958008</v>
      </c>
      <c r="AX5" s="36">
        <f>IF(ISNUMBER(Laboratorio!V7),Laboratorio!V7,"")</f>
        <v>21.931999999999999</v>
      </c>
      <c r="AY5" s="36">
        <f t="shared" si="24"/>
        <v>-1.9731227569580092</v>
      </c>
      <c r="AZ5" s="36">
        <f t="shared" si="25"/>
        <v>1.9731227569580092</v>
      </c>
      <c r="BA5" s="36">
        <f t="shared" si="26"/>
        <v>8.9965473142349506</v>
      </c>
      <c r="BB5" s="36">
        <f>Calculos!$AH$1</f>
        <v>1.5575884772727273</v>
      </c>
      <c r="BC5" s="36">
        <f t="shared" si="27"/>
        <v>-1.5575884772727273</v>
      </c>
      <c r="BD5" s="35">
        <f>IF(ISNUMBER(Courier!Z15),Courier!Z15,0)</f>
        <v>1.8896942138671875</v>
      </c>
      <c r="BE5" s="36">
        <f>IF(ISNUMBER(Laboratorio!X7),Laboratorio!X7,"")</f>
        <v>1.631</v>
      </c>
      <c r="BF5" s="36">
        <f t="shared" si="28"/>
        <v>-0.25869421386718749</v>
      </c>
      <c r="BG5" s="36">
        <f t="shared" si="29"/>
        <v>0.25869421386718749</v>
      </c>
      <c r="BH5" s="36">
        <f t="shared" si="30"/>
        <v>15.861079942807327</v>
      </c>
      <c r="BI5" s="36">
        <f>Calculos!$AI$1</f>
        <v>0.18375074999999999</v>
      </c>
      <c r="BJ5" s="36">
        <f t="shared" si="31"/>
        <v>-0.18375074999999999</v>
      </c>
      <c r="BK5" s="35">
        <f>IF(ISNUMBER(Courier!AB15),Courier!AB15,"")</f>
        <v>29.464408874511719</v>
      </c>
      <c r="BL5" s="36">
        <f>IF(ISNUMBER(Laboratorio!Z7),Laboratorio!Z7,"")</f>
        <v>27.82</v>
      </c>
      <c r="BM5" s="36">
        <f t="shared" si="32"/>
        <v>-1.6444088745117185</v>
      </c>
      <c r="BN5" s="36">
        <f t="shared" si="33"/>
        <v>5.9108873993951061</v>
      </c>
      <c r="BO5" s="35" t="str">
        <f>IF(ISNUMBER(Courier!AD13),Courier!AD13,"")</f>
        <v/>
      </c>
      <c r="BP5" s="35">
        <f>IF(ISNUMBER(Courier!AD15),Courier!AD15,"")</f>
        <v>10.265418337406794</v>
      </c>
      <c r="BQ5" s="36">
        <f>IF(ISNUMBER(Laboratorio!AB7),Laboratorio!AB7,"")</f>
        <v>16.420000000000002</v>
      </c>
      <c r="BR5" s="36">
        <f t="shared" ref="BR5:BR65" si="35">IF(ISNUMBER(BQ5-BP5),IF(BP5&lt;6,"",BQ5-BP5)," ")</f>
        <v>6.1545816625932073</v>
      </c>
      <c r="BS5" s="36">
        <f t="shared" si="34"/>
        <v>37.482226934185178</v>
      </c>
    </row>
    <row r="6" spans="1:72" ht="18" customHeight="1" x14ac:dyDescent="0.2">
      <c r="A6">
        <f>A4+1</f>
        <v>2</v>
      </c>
      <c r="B6" s="7">
        <f>B4+1</f>
        <v>46249</v>
      </c>
      <c r="C6" s="7" t="str">
        <f>DAY(B6) &amp; "-" &amp; MONTH(B6) &amp;"-" &amp; YEAR(B6)</f>
        <v>15-8-2026</v>
      </c>
      <c r="D6" s="35">
        <f>IF(ISNUMBER(Courier!E16),Courier!E16,0)</f>
        <v>0.35865437984466553</v>
      </c>
      <c r="E6" s="36">
        <f>IF(ISNUMBER(Laboratorio!E8),Laboratorio!E8,"")</f>
        <v>0.50600000000000001</v>
      </c>
      <c r="F6" s="36">
        <f t="shared" si="0"/>
        <v>0.14734562015533448</v>
      </c>
      <c r="G6" s="36">
        <f t="shared" si="1"/>
        <v>0.14734562015533448</v>
      </c>
      <c r="H6" s="36">
        <f t="shared" si="2"/>
        <v>29.119687777734089</v>
      </c>
      <c r="I6" s="36">
        <f>Calculos!$I$1</f>
        <v>4.990387499999998E-2</v>
      </c>
      <c r="J6" s="36">
        <f t="shared" si="3"/>
        <v>-4.990387499999998E-2</v>
      </c>
      <c r="K6" s="35">
        <f>IF(ISNUMBER(Courier!G16),Courier!G16,0)</f>
        <v>6.1913244426250458E-2</v>
      </c>
      <c r="L6" s="36">
        <f>IF(ISNUMBER(Laboratorio!G8),Laboratorio!G8,"")</f>
        <v>0.06</v>
      </c>
      <c r="M6" s="36">
        <f t="shared" si="4"/>
        <v>-1.91324442625046E-3</v>
      </c>
      <c r="N6" s="36">
        <f t="shared" si="5"/>
        <v>1.91324442625046E-3</v>
      </c>
      <c r="O6" s="36">
        <f t="shared" si="6"/>
        <v>3.1887407104174335</v>
      </c>
      <c r="P6" s="36">
        <f>Calculos!$J$1</f>
        <v>5.1807500000000022E-3</v>
      </c>
      <c r="Q6" s="36">
        <f t="shared" si="7"/>
        <v>-5.1807500000000022E-3</v>
      </c>
      <c r="R6" s="35">
        <f>IF(ISNUMBER(Courier!I16),Courier!I16,"")</f>
        <v>1.9872089624404907</v>
      </c>
      <c r="S6" s="36">
        <f>IF(ISNUMBER(Laboratorio!I8),Laboratorio!I8,"")</f>
        <v>2.1850000000000001</v>
      </c>
      <c r="T6" s="36">
        <f t="shared" si="8"/>
        <v>0.19779103755950933</v>
      </c>
      <c r="U6" s="36">
        <f t="shared" si="9"/>
        <v>9.0522213986045461</v>
      </c>
      <c r="V6" s="35">
        <f>IF(ISNUMBER(Courier!K16),Courier!K16,"")</f>
        <v>6.1931628733873367E-3</v>
      </c>
      <c r="W6" s="36">
        <f>IF(ISNUMBER(Laboratorio!K8),Laboratorio!K8,"")</f>
        <v>5.0000000000000001E-3</v>
      </c>
      <c r="X6" s="36">
        <f t="shared" si="10"/>
        <v>-1.1931628733873366E-3</v>
      </c>
      <c r="Y6" s="36">
        <f t="shared" si="11"/>
        <v>23.863257467746731</v>
      </c>
      <c r="Z6" s="35" t="str">
        <f>IF(ISNUMBER(Courier!M16),Courier!M16,"")</f>
        <v/>
      </c>
      <c r="AA6" s="36" t="str">
        <f>IF(ISNUMBER(Laboratorio!M8),Laboratorio!M8,"")</f>
        <v/>
      </c>
      <c r="AB6" s="36" t="str">
        <f t="shared" si="12"/>
        <v xml:space="preserve"> </v>
      </c>
      <c r="AC6" s="36" t="str">
        <f t="shared" si="13"/>
        <v xml:space="preserve"> </v>
      </c>
      <c r="AD6" s="35">
        <f>IF(ISNUMBER(Courier!O16),Courier!O16,0)</f>
        <v>3.435400128364563E-2</v>
      </c>
      <c r="AE6" s="36">
        <f>IF(ISNUMBER(Laboratorio!O8),Laboratorio!O8,"")</f>
        <v>3.2000000000000001E-2</v>
      </c>
      <c r="AF6" s="36">
        <f t="shared" si="14"/>
        <v>-2.3540012836456292E-3</v>
      </c>
      <c r="AG6" s="36">
        <f t="shared" si="15"/>
        <v>2.3540012836456292E-3</v>
      </c>
      <c r="AH6" s="36">
        <f t="shared" si="16"/>
        <v>7.3562540113925907</v>
      </c>
      <c r="AI6" s="36">
        <f>Calculos!$U$1</f>
        <v>8.6877272727272758E-3</v>
      </c>
      <c r="AJ6" s="36">
        <f t="shared" si="17"/>
        <v>-8.6877272727272758E-3</v>
      </c>
      <c r="AK6" s="35">
        <f>IF(ISNUMBER(Courier!Q16),Courier!Q16,0)</f>
        <v>3.438678802922368E-3</v>
      </c>
      <c r="AL6" s="36">
        <f>IF(ISNUMBER(Laboratorio!Q8),Laboratorio!Q8,"")</f>
        <v>8.0000000000000002E-3</v>
      </c>
      <c r="AM6" s="36">
        <f t="shared" si="18"/>
        <v>4.5613211970776321E-3</v>
      </c>
      <c r="AN6" s="36">
        <f t="shared" si="19"/>
        <v>4.5613211970776321E-3</v>
      </c>
      <c r="AO6" s="36">
        <f t="shared" si="20"/>
        <v>57.016514963470399</v>
      </c>
      <c r="AP6" s="36">
        <f>Calculos!$V$1</f>
        <v>2.2111363636363643E-3</v>
      </c>
      <c r="AQ6" s="36">
        <f t="shared" si="21"/>
        <v>-2.2111363636363643E-3</v>
      </c>
      <c r="AR6" s="35">
        <f>IF(ISNUMBER(Courier!S16),Courier!S16,"")</f>
        <v>2.0302956104278564</v>
      </c>
      <c r="AS6" s="36">
        <f>IF(ISNUMBER(Laboratorio!S8),Laboratorio!S8,"")</f>
        <v>1.8839999999999999</v>
      </c>
      <c r="AT6" s="36">
        <f t="shared" si="22"/>
        <v>-0.14629561042785655</v>
      </c>
      <c r="AU6" s="36">
        <f t="shared" si="23"/>
        <v>7.7651597891643611</v>
      </c>
      <c r="AV6" s="35" t="str">
        <f>IF(ISNUMBER(Courier!U15),Courier!U15,"")</f>
        <v/>
      </c>
      <c r="AW6" s="35">
        <f>IF(ISNUMBER(Courier!W16),Courier!W16,0)</f>
        <v>23.07972526550293</v>
      </c>
      <c r="AX6" s="36">
        <f>IF(ISNUMBER(Laboratorio!U8),Laboratorio!U8,"")</f>
        <v>25.474</v>
      </c>
      <c r="AY6" s="36">
        <f t="shared" si="24"/>
        <v>2.3942747344970705</v>
      </c>
      <c r="AZ6" s="36">
        <f t="shared" si="25"/>
        <v>2.3942747344970705</v>
      </c>
      <c r="BA6" s="36">
        <f t="shared" si="26"/>
        <v>9.3988958722504137</v>
      </c>
      <c r="BB6" s="36">
        <f>Calculos!$AH$1</f>
        <v>1.5575884772727273</v>
      </c>
      <c r="BC6" s="36">
        <f t="shared" si="27"/>
        <v>-1.5575884772727273</v>
      </c>
      <c r="BD6" s="35">
        <f>IF(ISNUMBER(Courier!Y16),Courier!Y16,0)</f>
        <v>3.2183988094329834</v>
      </c>
      <c r="BE6" s="36">
        <f>IF(ISNUMBER(Laboratorio!W8),Laboratorio!W8,"")</f>
        <v>2.851</v>
      </c>
      <c r="BF6" s="36">
        <f t="shared" si="28"/>
        <v>-0.36739880943298342</v>
      </c>
      <c r="BG6" s="36">
        <f t="shared" si="29"/>
        <v>0.36739880943298342</v>
      </c>
      <c r="BH6" s="36">
        <f t="shared" si="30"/>
        <v>12.88666465917164</v>
      </c>
      <c r="BI6" s="36">
        <f>Calculos!$AI$1</f>
        <v>0.18375074999999999</v>
      </c>
      <c r="BJ6" s="36">
        <f t="shared" si="31"/>
        <v>-0.18375074999999999</v>
      </c>
      <c r="BK6" s="35">
        <f>IF(ISNUMBER(Courier!AA16),Courier!AA16,"")</f>
        <v>27.397794723510742</v>
      </c>
      <c r="BL6" s="36">
        <f>IF(ISNUMBER(Laboratorio!Y8),Laboratorio!Y8,"")</f>
        <v>26.09</v>
      </c>
      <c r="BM6" s="36">
        <f t="shared" si="32"/>
        <v>-1.3077947235107423</v>
      </c>
      <c r="BN6" s="36">
        <f t="shared" si="33"/>
        <v>5.0126283001561607</v>
      </c>
      <c r="BO6" s="35" t="str">
        <f>IF(ISNUMBER(Courier!AC15),Courier!AC15,"")</f>
        <v/>
      </c>
      <c r="BP6" s="35">
        <f>IF(ISNUMBER(Courier!AC16),Courier!AC16,"")</f>
        <v>10.871502821578806</v>
      </c>
      <c r="BQ6" s="36">
        <f>IF(ISNUMBER(Laboratorio!AA8),Laboratorio!AA8,"")</f>
        <v>9.64</v>
      </c>
      <c r="BR6" s="36">
        <f t="shared" si="35"/>
        <v>-1.2315028215788058</v>
      </c>
      <c r="BS6" s="36">
        <f t="shared" si="34"/>
        <v>12.774925535049853</v>
      </c>
    </row>
    <row r="7" spans="1:72" ht="18" customHeight="1" x14ac:dyDescent="0.2">
      <c r="C7" s="38" t="str">
        <f>DAY(B6) &amp; "-" &amp; MONTH(B6) &amp;"-" &amp; YEAR(B6)</f>
        <v>15-8-2026</v>
      </c>
      <c r="D7" s="35">
        <f>IF(ISNUMBER(Courier!F16),Courier!F16,0)</f>
        <v>0.35865437984466553</v>
      </c>
      <c r="E7" s="36">
        <f>IF(ISNUMBER(Laboratorio!F8),Laboratorio!F8,"")</f>
        <v>0.57799999999999996</v>
      </c>
      <c r="F7" s="36">
        <f t="shared" si="0"/>
        <v>0.21934562015533443</v>
      </c>
      <c r="G7" s="36">
        <f t="shared" si="1"/>
        <v>0.21934562015533443</v>
      </c>
      <c r="H7" s="36">
        <f t="shared" si="2"/>
        <v>37.949069231026719</v>
      </c>
      <c r="I7" s="36">
        <f>Calculos!$I$1</f>
        <v>4.990387499999998E-2</v>
      </c>
      <c r="J7" s="36">
        <f t="shared" si="3"/>
        <v>-4.990387499999998E-2</v>
      </c>
      <c r="K7" s="35">
        <f>IF(ISNUMBER(Courier!H16),Courier!H16,0)</f>
        <v>6.1913244426250458E-2</v>
      </c>
      <c r="L7" s="36">
        <f>IF(ISNUMBER(Laboratorio!H9),Laboratorio!H9,"")</f>
        <v>7.6999999999999999E-2</v>
      </c>
      <c r="M7" s="36">
        <f t="shared" si="4"/>
        <v>1.5086755573749541E-2</v>
      </c>
      <c r="N7" s="36">
        <f t="shared" si="5"/>
        <v>1.5086755573749541E-2</v>
      </c>
      <c r="O7" s="36">
        <f t="shared" si="6"/>
        <v>19.593189056817586</v>
      </c>
      <c r="P7" s="36">
        <f>Calculos!$J$1</f>
        <v>5.1807500000000022E-3</v>
      </c>
      <c r="Q7" s="36">
        <f t="shared" si="7"/>
        <v>-5.1807500000000022E-3</v>
      </c>
      <c r="R7" s="35">
        <f>IF(ISNUMBER(Courier!J16),Courier!J16,"")</f>
        <v>1.9872089624404907</v>
      </c>
      <c r="S7" s="36">
        <f>IF(ISNUMBER(Laboratorio!J8),Laboratorio!J8,"")</f>
        <v>2.4500000000000002</v>
      </c>
      <c r="T7" s="36">
        <f t="shared" si="8"/>
        <v>0.46279103755950945</v>
      </c>
      <c r="U7" s="36">
        <f t="shared" si="9"/>
        <v>18.889430104469774</v>
      </c>
      <c r="V7" s="35">
        <f>IF(ISNUMBER(Courier!L16),Courier!L16,"")</f>
        <v>6.1931628733873367E-3</v>
      </c>
      <c r="W7" s="36">
        <f>IF(ISNUMBER(Laboratorio!L8),Laboratorio!L8,"")</f>
        <v>6.0000000000000001E-3</v>
      </c>
      <c r="X7" s="36">
        <f t="shared" si="10"/>
        <v>-1.9316287338733661E-4</v>
      </c>
      <c r="Y7" s="36">
        <f t="shared" si="11"/>
        <v>3.2193812231222765</v>
      </c>
      <c r="Z7" s="35" t="str">
        <f>IF(ISNUMBER(Courier!N16),Courier!N16,"")</f>
        <v/>
      </c>
      <c r="AA7" s="36" t="str">
        <f>IF(ISNUMBER(Laboratorio!N8),Laboratorio!N8,"")</f>
        <v/>
      </c>
      <c r="AB7" s="36" t="str">
        <f t="shared" si="12"/>
        <v xml:space="preserve"> </v>
      </c>
      <c r="AC7" s="36" t="str">
        <f t="shared" si="13"/>
        <v xml:space="preserve"> </v>
      </c>
      <c r="AD7" s="35">
        <f>IF(ISNUMBER(Courier!P16),Courier!P16,0)</f>
        <v>3.435400128364563E-2</v>
      </c>
      <c r="AE7" s="36">
        <f>+IF(ISNUMBER(Laboratorio!P8),Laboratorio!P8,"")</f>
        <v>6.4000000000000001E-2</v>
      </c>
      <c r="AF7" s="36">
        <f t="shared" si="14"/>
        <v>2.9645998716354371E-2</v>
      </c>
      <c r="AG7" s="36">
        <f t="shared" si="15"/>
        <v>2.9645998716354371E-2</v>
      </c>
      <c r="AH7" s="36">
        <f t="shared" si="16"/>
        <v>46.321872994303703</v>
      </c>
      <c r="AI7" s="36">
        <f>Calculos!$U$1</f>
        <v>8.6877272727272758E-3</v>
      </c>
      <c r="AJ7" s="36">
        <f t="shared" si="17"/>
        <v>-8.6877272727272758E-3</v>
      </c>
      <c r="AK7" s="35">
        <f>IF(ISNUMBER(Courier!R16),Courier!R16,0)</f>
        <v>3.438678802922368E-3</v>
      </c>
      <c r="AL7" s="36">
        <f>IF(ISNUMBER(Laboratorio!R8),Laboratorio!R8,"")</f>
        <v>1.2E-2</v>
      </c>
      <c r="AM7" s="36">
        <f t="shared" si="18"/>
        <v>8.5613211970776322E-3</v>
      </c>
      <c r="AN7" s="36">
        <f t="shared" si="19"/>
        <v>8.5613211970776322E-3</v>
      </c>
      <c r="AO7" s="237">
        <f t="shared" si="20"/>
        <v>71.344343308980257</v>
      </c>
      <c r="AP7" s="36">
        <f>Calculos!$V$1</f>
        <v>2.2111363636363643E-3</v>
      </c>
      <c r="AQ7" s="36">
        <f t="shared" si="21"/>
        <v>-2.2111363636363643E-3</v>
      </c>
      <c r="AR7" s="35">
        <f>IF(ISNUMBER(Courier!T16),Courier!T16,"")</f>
        <v>2.0302956104278564</v>
      </c>
      <c r="AS7" s="36">
        <f>IF(ISNUMBER(Laboratorio!T8),Laboratorio!T8,"")</f>
        <v>2.0950000000000002</v>
      </c>
      <c r="AT7" s="36">
        <f t="shared" si="22"/>
        <v>6.470438957214375E-2</v>
      </c>
      <c r="AU7" s="36">
        <f t="shared" si="23"/>
        <v>3.0885150153767897</v>
      </c>
      <c r="AV7" s="35" t="str">
        <f>IF(ISNUMBER(Courier!V15),Courier!V15,"")</f>
        <v/>
      </c>
      <c r="AW7" s="35">
        <f>IF(ISNUMBER(Courier!X16),Courier!X16,0)</f>
        <v>23.07972526550293</v>
      </c>
      <c r="AX7" s="36">
        <f>IF(ISNUMBER(Laboratorio!V8),Laboratorio!V8,"")</f>
        <v>24.879000000000001</v>
      </c>
      <c r="AY7" s="36">
        <f t="shared" si="24"/>
        <v>1.7992747344970716</v>
      </c>
      <c r="AZ7" s="36">
        <f t="shared" si="25"/>
        <v>1.7992747344970716</v>
      </c>
      <c r="BA7" s="36">
        <f t="shared" si="26"/>
        <v>7.2321023131840967</v>
      </c>
      <c r="BB7" s="36">
        <f>Calculos!$AH$1</f>
        <v>1.5575884772727273</v>
      </c>
      <c r="BC7" s="36">
        <f t="shared" si="27"/>
        <v>-1.5575884772727273</v>
      </c>
      <c r="BD7" s="35">
        <f>IF(ISNUMBER(Courier!Z16),Courier!Z16,0)</f>
        <v>3.2183988094329834</v>
      </c>
      <c r="BE7" s="36">
        <f>IF(ISNUMBER(Laboratorio!X8),Laboratorio!X8,"")</f>
        <v>2.198</v>
      </c>
      <c r="BF7" s="36">
        <f t="shared" si="28"/>
        <v>-1.0203988094329834</v>
      </c>
      <c r="BG7" s="36">
        <f t="shared" si="29"/>
        <v>1.0203988094329834</v>
      </c>
      <c r="BH7" s="36">
        <f t="shared" si="30"/>
        <v>46.423967672110258</v>
      </c>
      <c r="BI7" s="36">
        <f>Calculos!$AI$1</f>
        <v>0.18375074999999999</v>
      </c>
      <c r="BJ7" s="36">
        <f t="shared" si="31"/>
        <v>-0.18375074999999999</v>
      </c>
      <c r="BK7" s="35">
        <f>IF(ISNUMBER(Courier!AB16),Courier!AB16,"")</f>
        <v>27.397794723510742</v>
      </c>
      <c r="BL7" s="36">
        <f>IF(ISNUMBER(Laboratorio!Z8),Laboratorio!Z8,"")</f>
        <v>27.86</v>
      </c>
      <c r="BM7" s="36">
        <f t="shared" si="32"/>
        <v>0.46220527648925724</v>
      </c>
      <c r="BN7" s="36">
        <f t="shared" si="33"/>
        <v>1.6590282716771616</v>
      </c>
      <c r="BO7" s="35">
        <f>IF(ISNUMBER(Courier!AD15),Courier!AD15,"")</f>
        <v>10.265418337406794</v>
      </c>
      <c r="BP7" s="35" t="str">
        <f>IF(ISNUMBER(Courier!AD16),Courier!AD16,"")</f>
        <v/>
      </c>
      <c r="BQ7" s="36">
        <f>IF(ISNUMBER(Laboratorio!AB8),Laboratorio!AB8,"")</f>
        <v>10.76</v>
      </c>
      <c r="BR7" s="36" t="str">
        <f t="shared" si="35"/>
        <v xml:space="preserve"> </v>
      </c>
      <c r="BS7" s="36" t="str">
        <f t="shared" si="34"/>
        <v xml:space="preserve"> </v>
      </c>
    </row>
    <row r="8" spans="1:72" ht="18" customHeight="1" x14ac:dyDescent="0.2">
      <c r="A8">
        <f>+A6+1</f>
        <v>3</v>
      </c>
      <c r="B8" s="7">
        <f>+B6+1</f>
        <v>46250</v>
      </c>
      <c r="C8" s="7" t="str">
        <f>DAY(B8) &amp; "-" &amp; MONTH(B8) &amp;"-" &amp; YEAR(B8)</f>
        <v>16-8-2026</v>
      </c>
      <c r="D8" s="35">
        <f>IF(ISNUMBER(Courier!E17),Courier!E17,0)</f>
        <v>0.44376808404922485</v>
      </c>
      <c r="E8" s="36">
        <f>IF(ISNUMBER(Laboratorio!E9),Laboratorio!E9,"")</f>
        <v>0.53600000000000003</v>
      </c>
      <c r="F8" s="36">
        <f t="shared" si="0"/>
        <v>9.2231915950775178E-2</v>
      </c>
      <c r="G8" s="36">
        <f t="shared" si="1"/>
        <v>9.2231915950775178E-2</v>
      </c>
      <c r="H8" s="36">
        <f t="shared" si="2"/>
        <v>17.207447005741635</v>
      </c>
      <c r="I8" s="36">
        <f>Calculos!$I$1</f>
        <v>4.990387499999998E-2</v>
      </c>
      <c r="J8" s="36">
        <f t="shared" si="3"/>
        <v>-4.990387499999998E-2</v>
      </c>
      <c r="K8" s="35">
        <f>IF(ISNUMBER(Courier!G17),Courier!G17,0)</f>
        <v>6.0916222631931305E-2</v>
      </c>
      <c r="L8" s="36">
        <f>IF(ISNUMBER(Laboratorio!G9),Laboratorio!G9,"")</f>
        <v>8.2000000000000003E-2</v>
      </c>
      <c r="M8" s="36">
        <f t="shared" si="4"/>
        <v>2.1083777368068699E-2</v>
      </c>
      <c r="N8" s="36">
        <f t="shared" si="5"/>
        <v>2.1083777368068699E-2</v>
      </c>
      <c r="O8" s="36">
        <f t="shared" si="6"/>
        <v>25.711923619595972</v>
      </c>
      <c r="P8" s="36">
        <f>Calculos!$J$1</f>
        <v>5.1807500000000022E-3</v>
      </c>
      <c r="Q8" s="36">
        <f t="shared" si="7"/>
        <v>-5.1807500000000022E-3</v>
      </c>
      <c r="R8" s="35">
        <f>IF(ISNUMBER(Courier!I17),Courier!I17,"")</f>
        <v>2.1675477027893066</v>
      </c>
      <c r="S8" s="36">
        <f>IF(ISNUMBER(Laboratorio!I9),Laboratorio!I9,"")</f>
        <v>2.6240000000000001</v>
      </c>
      <c r="T8" s="36">
        <f t="shared" si="8"/>
        <v>0.45645229721069347</v>
      </c>
      <c r="U8" s="36">
        <f t="shared" si="9"/>
        <v>17.395285716870941</v>
      </c>
      <c r="V8" s="35">
        <f>IF(ISNUMBER(Courier!K17),Courier!K17,"")</f>
        <v>6.5892492420971394E-3</v>
      </c>
      <c r="W8" s="36">
        <f>IF(ISNUMBER(Laboratorio!K9),Laboratorio!K9,"")</f>
        <v>5.0000000000000001E-3</v>
      </c>
      <c r="X8" s="36">
        <f t="shared" si="10"/>
        <v>-1.5892492420971393E-3</v>
      </c>
      <c r="Y8" s="36">
        <f t="shared" si="11"/>
        <v>31.784984841942787</v>
      </c>
      <c r="Z8" s="35" t="str">
        <f>IF(ISNUMBER(Courier!M17),Courier!M17,"")</f>
        <v/>
      </c>
      <c r="AA8" s="36" t="str">
        <f>IF(ISNUMBER(Laboratorio!M9),Laboratorio!M9,"")</f>
        <v/>
      </c>
      <c r="AB8" s="36" t="str">
        <f t="shared" si="12"/>
        <v xml:space="preserve"> </v>
      </c>
      <c r="AC8" s="36" t="str">
        <f t="shared" si="13"/>
        <v xml:space="preserve"> </v>
      </c>
      <c r="AD8" s="35">
        <f>IF(ISNUMBER(Courier!O17),Courier!O17,0)</f>
        <v>4.1274219751358032E-2</v>
      </c>
      <c r="AE8" s="36">
        <f>IF(ISNUMBER(Laboratorio!O9),Laboratorio!O9,"")</f>
        <v>6.4000000000000001E-2</v>
      </c>
      <c r="AF8" s="36">
        <f t="shared" si="14"/>
        <v>2.2725780248641969E-2</v>
      </c>
      <c r="AG8" s="36">
        <f t="shared" si="15"/>
        <v>2.2725780248641969E-2</v>
      </c>
      <c r="AH8" s="36">
        <f t="shared" si="16"/>
        <v>35.509031638503075</v>
      </c>
      <c r="AI8" s="36">
        <f>Calculos!$U$1</f>
        <v>8.6877272727272758E-3</v>
      </c>
      <c r="AJ8" s="36">
        <f t="shared" si="17"/>
        <v>-8.6877272727272758E-3</v>
      </c>
      <c r="AK8" s="35">
        <f>IF(ISNUMBER(Courier!Q17),Courier!Q17,0)</f>
        <v>3.662097966298461E-3</v>
      </c>
      <c r="AL8" s="36">
        <f>IF(ISNUMBER(Laboratorio!Q9),Laboratorio!Q9,"")</f>
        <v>1.2999999999999999E-2</v>
      </c>
      <c r="AM8" s="36">
        <f t="shared" si="18"/>
        <v>9.3379020337015384E-3</v>
      </c>
      <c r="AN8" s="36">
        <f t="shared" si="19"/>
        <v>9.3379020337015384E-3</v>
      </c>
      <c r="AO8" s="237">
        <f t="shared" si="20"/>
        <v>71.83001564385799</v>
      </c>
      <c r="AP8" s="36">
        <f>Calculos!$V$1</f>
        <v>2.2111363636363643E-3</v>
      </c>
      <c r="AQ8" s="36">
        <f t="shared" si="21"/>
        <v>-2.2111363636363643E-3</v>
      </c>
      <c r="AR8" s="35">
        <f>IF(ISNUMBER(Courier!S17),Courier!S17,"")</f>
        <v>1.8688817024230957</v>
      </c>
      <c r="AS8" s="36">
        <f>IF(ISNUMBER(Laboratorio!S9),Laboratorio!S9,"")</f>
        <v>1.651</v>
      </c>
      <c r="AT8" s="36">
        <f t="shared" si="22"/>
        <v>-0.21788170242309568</v>
      </c>
      <c r="AU8" s="36">
        <f t="shared" si="23"/>
        <v>13.196953508364365</v>
      </c>
      <c r="AV8" s="35" t="str">
        <f>IF(ISNUMBER(Courier!U16),Courier!U16,"")</f>
        <v/>
      </c>
      <c r="AW8" s="35">
        <f>IF(ISNUMBER(Courier!W17),Courier!W17,0)</f>
        <v>22.874965667724609</v>
      </c>
      <c r="AX8" s="36">
        <f>IF(ISNUMBER(Laboratorio!U9),Laboratorio!U9,"")</f>
        <v>21.806000000000001</v>
      </c>
      <c r="AY8" s="36">
        <f t="shared" si="24"/>
        <v>-1.0689656677246084</v>
      </c>
      <c r="AZ8" s="36">
        <f t="shared" si="25"/>
        <v>1.0689656677246084</v>
      </c>
      <c r="BA8" s="36">
        <f t="shared" si="26"/>
        <v>4.9021630180895555</v>
      </c>
      <c r="BB8" s="36">
        <f>Calculos!$AH$1</f>
        <v>1.5575884772727273</v>
      </c>
      <c r="BC8" s="36">
        <f t="shared" si="27"/>
        <v>-1.5575884772727273</v>
      </c>
      <c r="BD8" s="35">
        <f>IF(ISNUMBER(Courier!Y17),Courier!Y17,0)</f>
        <v>2.5889632701873779</v>
      </c>
      <c r="BE8" s="36">
        <f>IF(ISNUMBER(Laboratorio!W9),Laboratorio!W9,"")</f>
        <v>3.4420000000000002</v>
      </c>
      <c r="BF8" s="36">
        <f t="shared" si="28"/>
        <v>0.85303672981262224</v>
      </c>
      <c r="BG8" s="36">
        <f t="shared" si="29"/>
        <v>0.85303672981262224</v>
      </c>
      <c r="BH8" s="36">
        <f t="shared" si="30"/>
        <v>24.783170534939632</v>
      </c>
      <c r="BI8" s="36">
        <f>Calculos!$AI$1</f>
        <v>0.18375074999999999</v>
      </c>
      <c r="BJ8" s="36">
        <f t="shared" si="31"/>
        <v>-0.18375074999999999</v>
      </c>
      <c r="BK8" s="35">
        <f>IF(ISNUMBER(Courier!AA17),Courier!AA17,"")</f>
        <v>27.444334030151367</v>
      </c>
      <c r="BL8" s="36">
        <f>IF(ISNUMBER(Laboratorio!Y9),Laboratorio!Y9,"")</f>
        <v>27.11</v>
      </c>
      <c r="BM8" s="36">
        <f t="shared" si="32"/>
        <v>-0.33433403015136776</v>
      </c>
      <c r="BN8" s="36">
        <f t="shared" si="33"/>
        <v>1.2332498345679372</v>
      </c>
      <c r="BO8" s="35">
        <f>IF(ISNUMBER(Courier!AC16),Courier!AC16,"")</f>
        <v>10.871502821578806</v>
      </c>
      <c r="BP8" s="35">
        <f>IF(ISNUMBER(Courier!AC17),Courier!AC17,"")</f>
        <v>10.516695453842832</v>
      </c>
      <c r="BQ8" s="36">
        <f>IF(ISNUMBER(Laboratorio!AA9),Laboratorio!AA9,"")</f>
        <v>13.62</v>
      </c>
      <c r="BR8" s="36">
        <f t="shared" si="35"/>
        <v>3.1033045461571671</v>
      </c>
      <c r="BS8" s="36">
        <f t="shared" si="34"/>
        <v>22.78490856209374</v>
      </c>
    </row>
    <row r="9" spans="1:72" ht="18" customHeight="1" x14ac:dyDescent="0.2">
      <c r="C9" s="38" t="str">
        <f>DAY(B8) &amp; "-" &amp; MONTH(B8) &amp;"-" &amp; YEAR(B8)</f>
        <v>16-8-2026</v>
      </c>
      <c r="D9" s="35">
        <f>IF(ISNUMBER(Courier!F17),Courier!F17,0)</f>
        <v>0.57219672203063965</v>
      </c>
      <c r="E9" s="36">
        <f>IF(ISNUMBER(Laboratorio!F9),Laboratorio!F9,"")</f>
        <v>0.56499999999999995</v>
      </c>
      <c r="F9" s="36">
        <f t="shared" si="0"/>
        <v>-7.1967220306397017E-3</v>
      </c>
      <c r="G9" s="36">
        <f t="shared" si="1"/>
        <v>7.1967220306397017E-3</v>
      </c>
      <c r="H9" s="36">
        <f t="shared" si="2"/>
        <v>1.2737561116176463</v>
      </c>
      <c r="I9" s="36">
        <f>Calculos!$I$1</f>
        <v>4.990387499999998E-2</v>
      </c>
      <c r="J9" s="36">
        <f t="shared" si="3"/>
        <v>-4.990387499999998E-2</v>
      </c>
      <c r="K9" s="35">
        <f>IF(ISNUMBER(Courier!H17),Courier!H17,0)</f>
        <v>8.1276476383209229E-2</v>
      </c>
      <c r="L9" s="36">
        <f>IF(ISNUMBER(Laboratorio!H9),Laboratorio!H9,"")</f>
        <v>7.6999999999999999E-2</v>
      </c>
      <c r="M9" s="36">
        <f t="shared" si="4"/>
        <v>-4.2764763832092295E-3</v>
      </c>
      <c r="N9" s="36">
        <f t="shared" si="5"/>
        <v>4.2764763832092295E-3</v>
      </c>
      <c r="O9" s="36">
        <f t="shared" si="6"/>
        <v>5.5538654327392596</v>
      </c>
      <c r="P9" s="36">
        <f>Calculos!$J$1</f>
        <v>5.1807500000000022E-3</v>
      </c>
      <c r="Q9" s="36">
        <f t="shared" si="7"/>
        <v>-5.1807500000000022E-3</v>
      </c>
      <c r="R9" s="35">
        <f>IF(ISNUMBER(Courier!J17),Courier!J17,"")</f>
        <v>1.7473745346069336</v>
      </c>
      <c r="S9" s="36">
        <f>IF(ISNUMBER(Laboratorio!J9),Laboratorio!J9,"")</f>
        <v>2.044</v>
      </c>
      <c r="T9" s="36">
        <f t="shared" si="8"/>
        <v>0.29662546539306645</v>
      </c>
      <c r="U9" s="36">
        <f t="shared" si="9"/>
        <v>14.512009070110881</v>
      </c>
      <c r="V9" s="35">
        <f>IF(ISNUMBER(Courier!L17),Courier!L17,"")</f>
        <v>6.1063943430781364E-3</v>
      </c>
      <c r="W9" s="36">
        <f>IF(ISNUMBER(Laboratorio!L9),Laboratorio!L9,"")</f>
        <v>5.0000000000000001E-3</v>
      </c>
      <c r="X9" s="36">
        <f t="shared" si="10"/>
        <v>-1.1063943430781363E-3</v>
      </c>
      <c r="Y9" s="36">
        <f t="shared" si="11"/>
        <v>22.127886861562725</v>
      </c>
      <c r="Z9" s="35" t="str">
        <f>IF(ISNUMBER(Courier!N17),Courier!N17,"")</f>
        <v/>
      </c>
      <c r="AA9" s="36" t="str">
        <f>IF(ISNUMBER(Laboratorio!N9),Laboratorio!N9,"")</f>
        <v/>
      </c>
      <c r="AB9" s="36" t="str">
        <f t="shared" si="12"/>
        <v xml:space="preserve"> </v>
      </c>
      <c r="AC9" s="36" t="str">
        <f t="shared" si="13"/>
        <v xml:space="preserve"> </v>
      </c>
      <c r="AD9" s="35">
        <f>IF(ISNUMBER(Courier!P17),Courier!P17,0)</f>
        <v>4.2272794991731644E-2</v>
      </c>
      <c r="AE9" s="36">
        <f>+IF(ISNUMBER(Laboratorio!P9),Laboratorio!P9,"")</f>
        <v>4.1000000000000002E-2</v>
      </c>
      <c r="AF9" s="36">
        <f t="shared" si="14"/>
        <v>-1.272794991731642E-3</v>
      </c>
      <c r="AG9" s="36">
        <f t="shared" si="15"/>
        <v>1.272794991731642E-3</v>
      </c>
      <c r="AH9" s="36">
        <f t="shared" si="16"/>
        <v>3.1043780286137608</v>
      </c>
      <c r="AI9" s="36">
        <f>Calculos!$U$1</f>
        <v>8.6877272727272758E-3</v>
      </c>
      <c r="AJ9" s="36">
        <f t="shared" si="17"/>
        <v>-8.6877272727272758E-3</v>
      </c>
      <c r="AK9" s="35">
        <f>IF(ISNUMBER(Courier!R17),Courier!R17,0)</f>
        <v>7.5074052438139915E-3</v>
      </c>
      <c r="AL9" s="36">
        <f>IF(ISNUMBER(Laboratorio!R9),Laboratorio!R9,"")</f>
        <v>1.2E-2</v>
      </c>
      <c r="AM9" s="36">
        <f t="shared" si="18"/>
        <v>4.4925947561860087E-3</v>
      </c>
      <c r="AN9" s="36">
        <f t="shared" si="19"/>
        <v>4.4925947561860087E-3</v>
      </c>
      <c r="AO9" s="237">
        <f t="shared" si="20"/>
        <v>37.438289634883404</v>
      </c>
      <c r="AP9" s="36">
        <f>Calculos!$V$1</f>
        <v>2.2111363636363643E-3</v>
      </c>
      <c r="AQ9" s="36">
        <f t="shared" si="21"/>
        <v>-2.2111363636363643E-3</v>
      </c>
      <c r="AR9" s="35">
        <f>IF(ISNUMBER(Courier!T17),Courier!T17,"")</f>
        <v>2.0460820198059082</v>
      </c>
      <c r="AS9" s="36">
        <f>IF(ISNUMBER(Laboratorio!T9),Laboratorio!T9,"")</f>
        <v>1.327</v>
      </c>
      <c r="AT9" s="36">
        <f t="shared" si="22"/>
        <v>-0.71908201980590825</v>
      </c>
      <c r="AU9" s="36">
        <f t="shared" si="23"/>
        <v>54.188547084092562</v>
      </c>
      <c r="AV9" s="35" t="str">
        <f>IF(ISNUMBER(Courier!V16),Courier!V16,"")</f>
        <v/>
      </c>
      <c r="AW9" s="35">
        <f>IF(ISNUMBER(Courier!X17),Courier!X17,0)</f>
        <v>24.080657958984375</v>
      </c>
      <c r="AX9" s="36">
        <f>IF(ISNUMBER(Laboratorio!V9),Laboratorio!V9,"")</f>
        <v>22.686</v>
      </c>
      <c r="AY9" s="36">
        <f t="shared" si="24"/>
        <v>-1.3946579589843751</v>
      </c>
      <c r="AZ9" s="36">
        <f t="shared" si="25"/>
        <v>1.3946579589843751</v>
      </c>
      <c r="BA9" s="36">
        <f t="shared" si="26"/>
        <v>6.1476591685813942</v>
      </c>
      <c r="BB9" s="36">
        <f>Calculos!$AH$1</f>
        <v>1.5575884772727273</v>
      </c>
      <c r="BC9" s="36">
        <f t="shared" si="27"/>
        <v>-1.5575884772727273</v>
      </c>
      <c r="BD9" s="35">
        <f>IF(ISNUMBER(Courier!Z17),Courier!Z17,0)</f>
        <v>3.0138378143310547</v>
      </c>
      <c r="BE9" s="36">
        <f>IF(ISNUMBER(Laboratorio!X9),Laboratorio!X9,"")</f>
        <v>3.9129999999999998</v>
      </c>
      <c r="BF9" s="36">
        <f t="shared" si="28"/>
        <v>0.89916218566894512</v>
      </c>
      <c r="BG9" s="36">
        <f t="shared" si="29"/>
        <v>0.89916218566894512</v>
      </c>
      <c r="BH9" s="36">
        <f t="shared" si="30"/>
        <v>22.978844509812042</v>
      </c>
      <c r="BI9" s="36">
        <f>Calculos!$AI$1</f>
        <v>0.18375074999999999</v>
      </c>
      <c r="BJ9" s="36">
        <f t="shared" si="31"/>
        <v>-0.18375074999999999</v>
      </c>
      <c r="BK9" s="35">
        <f>IF(ISNUMBER(Courier!AB17),Courier!AB17,"")</f>
        <v>26.431015014648438</v>
      </c>
      <c r="BL9" s="36">
        <f>IF(ISNUMBER(Laboratorio!Z9),Laboratorio!Z9,"")</f>
        <v>27.72</v>
      </c>
      <c r="BM9" s="36">
        <f t="shared" si="32"/>
        <v>1.2889849853515614</v>
      </c>
      <c r="BN9" s="36">
        <f t="shared" si="33"/>
        <v>4.6500179846737426</v>
      </c>
      <c r="BO9" s="35" t="str">
        <f>IF(ISNUMBER(Courier!AD16),Courier!AD16,"")</f>
        <v/>
      </c>
      <c r="BP9" s="35">
        <f>IF(ISNUMBER(Courier!AD17),Courier!AD17,"")</f>
        <v>10.554735071210397</v>
      </c>
      <c r="BQ9" s="36">
        <f>IF(ISNUMBER(Laboratorio!AB9),Laboratorio!AB9,"")</f>
        <v>12.76</v>
      </c>
      <c r="BR9" s="36">
        <f t="shared" si="35"/>
        <v>2.2052649287896031</v>
      </c>
      <c r="BS9" s="36">
        <f t="shared" si="34"/>
        <v>17.282640507755513</v>
      </c>
      <c r="BT9" s="84"/>
    </row>
    <row r="10" spans="1:72" ht="18" customHeight="1" x14ac:dyDescent="0.2">
      <c r="A10">
        <f>+A8+1</f>
        <v>4</v>
      </c>
      <c r="B10" s="7">
        <f>+B8+1</f>
        <v>46251</v>
      </c>
      <c r="C10" s="7" t="str">
        <f>DAY(B10) &amp; "-" &amp; MONTH(B10) &amp;"-" &amp; YEAR(B10)</f>
        <v>17-8-2026</v>
      </c>
      <c r="D10" s="35">
        <f>IF(ISNUMBER(Courier!E18),Courier!E18,0)</f>
        <v>0.48242056369781494</v>
      </c>
      <c r="E10" s="36">
        <f>IF(ISNUMBER(Laboratorio!E10),Laboratorio!E10,"")</f>
        <v>0.52200000000000002</v>
      </c>
      <c r="F10" s="36">
        <f t="shared" si="0"/>
        <v>3.9579436302185078E-2</v>
      </c>
      <c r="G10" s="36">
        <f t="shared" si="1"/>
        <v>3.9579436302185078E-2</v>
      </c>
      <c r="H10" s="36">
        <f t="shared" si="2"/>
        <v>7.5822674908400529</v>
      </c>
      <c r="I10" s="36">
        <f>Calculos!$I$1</f>
        <v>4.990387499999998E-2</v>
      </c>
      <c r="J10" s="36">
        <f t="shared" si="3"/>
        <v>-4.990387499999998E-2</v>
      </c>
      <c r="K10" s="35">
        <f>IF(ISNUMBER(Courier!G18),Courier!G18,0)</f>
        <v>4.7046452760696411E-2</v>
      </c>
      <c r="L10" s="36">
        <f>IF(ISNUMBER(Laboratorio!G10),Laboratorio!G10,"")</f>
        <v>4.5999999999999999E-2</v>
      </c>
      <c r="M10" s="36">
        <f t="shared" si="4"/>
        <v>-1.0464527606964119E-3</v>
      </c>
      <c r="N10" s="36">
        <f t="shared" si="5"/>
        <v>1.0464527606964119E-3</v>
      </c>
      <c r="O10" s="36">
        <f t="shared" si="6"/>
        <v>2.274897305861765</v>
      </c>
      <c r="P10" s="36">
        <f>Calculos!$J$1</f>
        <v>5.1807500000000022E-3</v>
      </c>
      <c r="Q10" s="36">
        <f t="shared" si="7"/>
        <v>-5.1807500000000022E-3</v>
      </c>
      <c r="R10" s="35">
        <f>IF(ISNUMBER(Courier!I18),Courier!I18,"")</f>
        <v>2.2131941318511963</v>
      </c>
      <c r="S10" s="36">
        <f>IF(ISNUMBER(Laboratorio!I10),Laboratorio!I10,"")</f>
        <v>2.15</v>
      </c>
      <c r="T10" s="36">
        <f t="shared" si="8"/>
        <v>-6.3194131851196378E-2</v>
      </c>
      <c r="U10" s="36">
        <f t="shared" si="9"/>
        <v>2.9392619465672736</v>
      </c>
      <c r="V10" s="35">
        <f>IF(ISNUMBER(Courier!K18),Courier!K18,"")</f>
        <v>5.5366773158311844E-3</v>
      </c>
      <c r="W10" s="36">
        <f>IF(ISNUMBER(Laboratorio!K10),Laboratorio!K10,"")</f>
        <v>4.0000000000000001E-3</v>
      </c>
      <c r="X10" s="36">
        <f t="shared" si="10"/>
        <v>-1.5366773158311843E-3</v>
      </c>
      <c r="Y10" s="36">
        <f t="shared" si="11"/>
        <v>38.416932895779603</v>
      </c>
      <c r="Z10" s="35" t="str">
        <f>IF(ISNUMBER(Courier!M18),Courier!M18,"")</f>
        <v/>
      </c>
      <c r="AA10" s="36" t="str">
        <f>IF(ISNUMBER(Laboratorio!M10),Laboratorio!M10,"")</f>
        <v/>
      </c>
      <c r="AB10" s="36" t="str">
        <f t="shared" si="12"/>
        <v xml:space="preserve"> </v>
      </c>
      <c r="AC10" s="36" t="str">
        <f t="shared" si="13"/>
        <v xml:space="preserve"> </v>
      </c>
      <c r="AD10" s="35">
        <f>IF(ISNUMBER(Courier!O18),Courier!O18,0)</f>
        <v>4.3797757476568222E-2</v>
      </c>
      <c r="AE10" s="36">
        <f>IF(ISNUMBER(Laboratorio!O10),Laboratorio!O10,"")</f>
        <v>4.2000000000000003E-2</v>
      </c>
      <c r="AF10" s="36">
        <f t="shared" si="14"/>
        <v>-1.7977574765682194E-3</v>
      </c>
      <c r="AG10" s="36">
        <f t="shared" si="15"/>
        <v>1.7977574765682194E-3</v>
      </c>
      <c r="AH10" s="36">
        <f t="shared" si="16"/>
        <v>4.2803749442100463</v>
      </c>
      <c r="AI10" s="36">
        <f>Calculos!$U$1</f>
        <v>8.6877272727272758E-3</v>
      </c>
      <c r="AJ10" s="36">
        <f t="shared" si="17"/>
        <v>-8.6877272727272758E-3</v>
      </c>
      <c r="AK10" s="35">
        <f>IF(ISNUMBER(Courier!Q18),Courier!Q18,0)</f>
        <v>7.7576441690325737E-3</v>
      </c>
      <c r="AL10" s="36">
        <f>IF(ISNUMBER(Laboratorio!Q10),Laboratorio!Q10,"")</f>
        <v>8.0000000000000002E-3</v>
      </c>
      <c r="AM10" s="36">
        <f t="shared" si="18"/>
        <v>2.4235583096742647E-4</v>
      </c>
      <c r="AN10" s="36">
        <f t="shared" si="19"/>
        <v>2.4235583096742647E-4</v>
      </c>
      <c r="AO10" s="237">
        <f t="shared" si="20"/>
        <v>3.029447887092831</v>
      </c>
      <c r="AP10" s="36">
        <f>Calculos!$V$1</f>
        <v>2.2111363636363643E-3</v>
      </c>
      <c r="AQ10" s="36">
        <f t="shared" si="21"/>
        <v>-2.2111363636363643E-3</v>
      </c>
      <c r="AR10" s="35">
        <f>IF(ISNUMBER(Courier!S18),Courier!S18,"")</f>
        <v>1.9263710975646973</v>
      </c>
      <c r="AS10" s="36">
        <f>IF(ISNUMBER(Laboratorio!S10),Laboratorio!S10,"")</f>
        <v>1.6910000000000001</v>
      </c>
      <c r="AT10" s="36">
        <f t="shared" si="22"/>
        <v>-0.23537109756469721</v>
      </c>
      <c r="AU10" s="36">
        <f t="shared" si="23"/>
        <v>13.919047756634962</v>
      </c>
      <c r="AV10" s="35" t="str">
        <f>IF(ISNUMBER(Courier!U17),Courier!U17,"")</f>
        <v/>
      </c>
      <c r="AW10" s="35">
        <f>IF(ISNUMBER(Courier!W18),Courier!W18,0)</f>
        <v>23.181087493896484</v>
      </c>
      <c r="AX10" s="36">
        <f>IF(ISNUMBER(Laboratorio!U10),Laboratorio!U10,"")</f>
        <v>23.88</v>
      </c>
      <c r="AY10" s="36">
        <f t="shared" si="24"/>
        <v>0.69891250610351463</v>
      </c>
      <c r="AZ10" s="36">
        <f t="shared" si="25"/>
        <v>0.69891250610351463</v>
      </c>
      <c r="BA10" s="36">
        <f t="shared" si="26"/>
        <v>2.9267692885406813</v>
      </c>
      <c r="BB10" s="36">
        <f>Calculos!$AH$1</f>
        <v>1.5575884772727273</v>
      </c>
      <c r="BC10" s="36">
        <f t="shared" si="27"/>
        <v>-1.5575884772727273</v>
      </c>
      <c r="BD10" s="35">
        <f>IF(ISNUMBER(Courier!Y18),Courier!Y18,0)</f>
        <v>1.770626425743103</v>
      </c>
      <c r="BE10" s="36">
        <f>IF(ISNUMBER(Laboratorio!W10),Laboratorio!W10,"")</f>
        <v>2.1230000000000002</v>
      </c>
      <c r="BF10" s="36">
        <f t="shared" si="28"/>
        <v>0.35237357425689719</v>
      </c>
      <c r="BG10" s="36">
        <f t="shared" si="29"/>
        <v>0.35237357425689719</v>
      </c>
      <c r="BH10" s="36">
        <f t="shared" si="30"/>
        <v>16.597907407296145</v>
      </c>
      <c r="BI10" s="36">
        <f>Calculos!$AI$1</f>
        <v>0.18375074999999999</v>
      </c>
      <c r="BJ10" s="36">
        <f t="shared" si="31"/>
        <v>-0.18375074999999999</v>
      </c>
      <c r="BK10" s="35">
        <f>IF(ISNUMBER(Courier!AA18),Courier!AA18,"")</f>
        <v>27.522235870361328</v>
      </c>
      <c r="BL10" s="36">
        <f>IF(ISNUMBER(Laboratorio!Y10),Laboratorio!Y10,"")</f>
        <v>27.15</v>
      </c>
      <c r="BM10" s="36">
        <f t="shared" si="32"/>
        <v>-0.37223587036132955</v>
      </c>
      <c r="BN10" s="36">
        <f t="shared" si="33"/>
        <v>1.3710345133013981</v>
      </c>
      <c r="BO10" s="35">
        <f>IF(ISNUMBER(Courier!AC17),Courier!AC17,"")</f>
        <v>10.516695453842832</v>
      </c>
      <c r="BP10" s="35">
        <f>IF(ISNUMBER(Courier!AC18),Courier!AC18,"")</f>
        <v>7.9677749145354619</v>
      </c>
      <c r="BQ10" s="36">
        <f>IF(ISNUMBER(Laboratorio!AA10),Laboratorio!AA10,"")</f>
        <v>11.92</v>
      </c>
      <c r="BR10" s="36">
        <f t="shared" si="35"/>
        <v>3.952225085464538</v>
      </c>
      <c r="BS10" s="36">
        <f t="shared" si="34"/>
        <v>33.156250716984381</v>
      </c>
    </row>
    <row r="11" spans="1:72" ht="18" customHeight="1" x14ac:dyDescent="0.2">
      <c r="C11" s="38" t="str">
        <f>DAY(B10) &amp; "-" &amp; MONTH(B10) &amp;"-" &amp; YEAR(B10)</f>
        <v>17-8-2026</v>
      </c>
      <c r="D11" s="35">
        <f>IF(ISNUMBER(Courier!F18),Courier!F18,0)</f>
        <v>0.51555341482162476</v>
      </c>
      <c r="E11" s="36">
        <f>IF(ISNUMBER(Laboratorio!F10),Laboratorio!F10,"")</f>
        <v>0.56799999999999995</v>
      </c>
      <c r="F11" s="36">
        <f t="shared" si="0"/>
        <v>5.2446585178375194E-2</v>
      </c>
      <c r="G11" s="36">
        <f t="shared" si="1"/>
        <v>5.2446585178375194E-2</v>
      </c>
      <c r="H11" s="36">
        <f t="shared" si="2"/>
        <v>9.2335537285871823</v>
      </c>
      <c r="I11" s="36">
        <f>Calculos!$I$1</f>
        <v>4.990387499999998E-2</v>
      </c>
      <c r="J11" s="36">
        <f t="shared" si="3"/>
        <v>-4.990387499999998E-2</v>
      </c>
      <c r="K11" s="35">
        <f>IF(ISNUMBER(Courier!H18),Courier!H18,0)</f>
        <v>5.2778400480747223E-2</v>
      </c>
      <c r="L11" s="36">
        <f>IF(ISNUMBER(Laboratorio!H10),Laboratorio!H10,"")</f>
        <v>5.7000000000000002E-2</v>
      </c>
      <c r="M11" s="36">
        <f t="shared" si="4"/>
        <v>4.2215995192527792E-3</v>
      </c>
      <c r="N11" s="36">
        <f t="shared" si="5"/>
        <v>4.2215995192527792E-3</v>
      </c>
      <c r="O11" s="36">
        <f t="shared" si="6"/>
        <v>7.4063149460575071</v>
      </c>
      <c r="P11" s="36">
        <f>Calculos!$J$1</f>
        <v>5.1807500000000022E-3</v>
      </c>
      <c r="Q11" s="36">
        <f t="shared" si="7"/>
        <v>-5.1807500000000022E-3</v>
      </c>
      <c r="R11" s="35">
        <f>IF(ISNUMBER(Courier!J18),Courier!J18,"")</f>
        <v>2.1373381614685059</v>
      </c>
      <c r="S11" s="36">
        <f>IF(ISNUMBER(Laboratorio!J10),Laboratorio!J10,"")</f>
        <v>2.5590000000000002</v>
      </c>
      <c r="T11" s="36">
        <f t="shared" si="8"/>
        <v>0.4216618385314943</v>
      </c>
      <c r="U11" s="36">
        <f t="shared" si="9"/>
        <v>16.477602130968904</v>
      </c>
      <c r="V11" s="35">
        <f>IF(ISNUMBER(Courier!L18),Courier!L18,"")</f>
        <v>5.7715675793588161E-3</v>
      </c>
      <c r="W11" s="36">
        <f>IF(ISNUMBER(Laboratorio!L10),Laboratorio!L10,"")</f>
        <v>5.0000000000000001E-3</v>
      </c>
      <c r="X11" s="36">
        <f t="shared" si="10"/>
        <v>-7.7156757935881604E-4</v>
      </c>
      <c r="Y11" s="36">
        <f t="shared" si="11"/>
        <v>15.431351587176319</v>
      </c>
      <c r="Z11" s="35" t="str">
        <f>IF(ISNUMBER(Courier!N18),Courier!N18,"")</f>
        <v/>
      </c>
      <c r="AA11" s="36" t="str">
        <f>IF(ISNUMBER(Laboratorio!N10),Laboratorio!N10,"")</f>
        <v/>
      </c>
      <c r="AB11" s="36" t="str">
        <f t="shared" si="12"/>
        <v xml:space="preserve"> </v>
      </c>
      <c r="AC11" s="36" t="str">
        <f t="shared" si="13"/>
        <v xml:space="preserve"> </v>
      </c>
      <c r="AD11" s="35">
        <f>IF(ISNUMBER(Courier!P18),Courier!P18,0)</f>
        <v>6.2635160982608795E-2</v>
      </c>
      <c r="AE11" s="36">
        <f>+IF(ISNUMBER(Laboratorio!P10),Laboratorio!P10,"")</f>
        <v>4.9000000000000002E-2</v>
      </c>
      <c r="AF11" s="36">
        <f t="shared" si="14"/>
        <v>-1.3635160982608793E-2</v>
      </c>
      <c r="AG11" s="36">
        <f t="shared" si="15"/>
        <v>1.3635160982608793E-2</v>
      </c>
      <c r="AH11" s="36">
        <f t="shared" si="16"/>
        <v>27.82685914818121</v>
      </c>
      <c r="AI11" s="36">
        <f>Calculos!$U$1</f>
        <v>8.6877272727272758E-3</v>
      </c>
      <c r="AJ11" s="36">
        <f t="shared" si="17"/>
        <v>-8.6877272727272758E-3</v>
      </c>
      <c r="AK11" s="35">
        <f>IF(ISNUMBER(Courier!R18),Courier!R18,0)</f>
        <v>8.3280261605978012E-3</v>
      </c>
      <c r="AL11" s="36">
        <f>IF(ISNUMBER(Laboratorio!R10),Laboratorio!R10,"")</f>
        <v>1.0999999999999999E-2</v>
      </c>
      <c r="AM11" s="36">
        <f t="shared" si="18"/>
        <v>2.6719738394021982E-3</v>
      </c>
      <c r="AN11" s="36">
        <f t="shared" si="19"/>
        <v>2.6719738394021982E-3</v>
      </c>
      <c r="AO11" s="237">
        <f t="shared" si="20"/>
        <v>24.290671267292712</v>
      </c>
      <c r="AP11" s="36">
        <f>Calculos!$V$1</f>
        <v>2.2111363636363643E-3</v>
      </c>
      <c r="AQ11" s="36">
        <f t="shared" si="21"/>
        <v>-2.2111363636363643E-3</v>
      </c>
      <c r="AR11" s="35">
        <f>IF(ISNUMBER(Courier!T18),Courier!T18,"")</f>
        <v>1.6159392595291138</v>
      </c>
      <c r="AS11" s="36">
        <f>IF(ISNUMBER(Laboratorio!T10),Laboratorio!T10,"")</f>
        <v>1.77</v>
      </c>
      <c r="AT11" s="36">
        <f t="shared" si="22"/>
        <v>0.15406074047088625</v>
      </c>
      <c r="AU11" s="36">
        <f t="shared" si="23"/>
        <v>8.7039966367732333</v>
      </c>
      <c r="AV11" s="35" t="str">
        <f>IF(ISNUMBER(Courier!V17),Courier!V17,"")</f>
        <v/>
      </c>
      <c r="AW11" s="35">
        <f>IF(ISNUMBER(Courier!X18),Courier!X18,0)</f>
        <v>19.589813232421875</v>
      </c>
      <c r="AX11" s="36">
        <f>IF(ISNUMBER(Laboratorio!V10),Laboratorio!V10,"")</f>
        <v>25.175999999999998</v>
      </c>
      <c r="AY11" s="36">
        <f t="shared" si="24"/>
        <v>5.5861867675781234</v>
      </c>
      <c r="AZ11" s="36">
        <f t="shared" si="25"/>
        <v>5.5861867675781234</v>
      </c>
      <c r="BA11" s="36">
        <f t="shared" si="26"/>
        <v>22.188539750469189</v>
      </c>
      <c r="BB11" s="36">
        <f>Calculos!$AH$1</f>
        <v>1.5575884772727273</v>
      </c>
      <c r="BC11" s="36">
        <f t="shared" si="27"/>
        <v>-1.5575884772727273</v>
      </c>
      <c r="BD11" s="35">
        <f>IF(ISNUMBER(Courier!Z18),Courier!Z18,0)</f>
        <v>1.9188697338104248</v>
      </c>
      <c r="BE11" s="36">
        <f>IF(ISNUMBER(Laboratorio!X10),Laboratorio!X10,"")</f>
        <v>2.1680000000000001</v>
      </c>
      <c r="BF11" s="36">
        <f t="shared" si="28"/>
        <v>0.24913026618957534</v>
      </c>
      <c r="BG11" s="36">
        <f t="shared" si="29"/>
        <v>0.24913026618957534</v>
      </c>
      <c r="BH11" s="36">
        <f t="shared" si="30"/>
        <v>11.491248440478568</v>
      </c>
      <c r="BI11" s="36">
        <f>Calculos!$AI$1</f>
        <v>0.18375074999999999</v>
      </c>
      <c r="BJ11" s="36">
        <f t="shared" si="31"/>
        <v>-0.18375074999999999</v>
      </c>
      <c r="BK11" s="35">
        <f>IF(ISNUMBER(Courier!AB18),Courier!AB18,"")</f>
        <v>21.578971862792969</v>
      </c>
      <c r="BL11" s="36">
        <f>IF(ISNUMBER(Laboratorio!Z10),Laboratorio!Z10,"")</f>
        <v>28.61</v>
      </c>
      <c r="BM11" s="36" t="str">
        <f t="shared" si="32"/>
        <v/>
      </c>
      <c r="BN11" s="36" t="str">
        <f t="shared" si="33"/>
        <v xml:space="preserve"> </v>
      </c>
      <c r="BO11" s="35">
        <f>IF(ISNUMBER(Courier!AD17),Courier!AD17,"")</f>
        <v>10.554735071210397</v>
      </c>
      <c r="BP11" s="35">
        <f>IF(ISNUMBER(Courier!AD18),Courier!AD18,"")</f>
        <v>1.4555698595841204</v>
      </c>
      <c r="BQ11" s="36">
        <f>IF(ISNUMBER(Laboratorio!AB10),Laboratorio!AB10,"")</f>
        <v>10.199999999999999</v>
      </c>
      <c r="BR11" s="36" t="str">
        <f t="shared" si="35"/>
        <v/>
      </c>
      <c r="BS11" s="36" t="str">
        <f t="shared" si="34"/>
        <v xml:space="preserve"> </v>
      </c>
    </row>
    <row r="12" spans="1:72" ht="18" customHeight="1" x14ac:dyDescent="0.2">
      <c r="A12">
        <f>+A10+1</f>
        <v>5</v>
      </c>
      <c r="B12" s="7">
        <f>+B10+1</f>
        <v>46252</v>
      </c>
      <c r="C12" s="7" t="str">
        <f>DAY(B12) &amp; "-" &amp; MONTH(B12) &amp;"-" &amp; YEAR(B12)</f>
        <v>18-8-2026</v>
      </c>
      <c r="D12" s="35">
        <f>IF(ISNUMBER(Courier!E19),Courier!E19,0)</f>
        <v>0.57536685466766357</v>
      </c>
      <c r="E12" s="36">
        <f>IF(ISNUMBER(Laboratorio!E11),Laboratorio!E11,"")</f>
        <v>0.501</v>
      </c>
      <c r="F12" s="36">
        <f t="shared" si="0"/>
        <v>-7.4366854667663573E-2</v>
      </c>
      <c r="G12" s="36">
        <f t="shared" si="1"/>
        <v>7.4366854667663573E-2</v>
      </c>
      <c r="H12" s="36">
        <f t="shared" si="2"/>
        <v>14.843683566399916</v>
      </c>
      <c r="I12" s="36">
        <f>Calculos!$I$1</f>
        <v>4.990387499999998E-2</v>
      </c>
      <c r="J12" s="36">
        <f t="shared" si="3"/>
        <v>-4.990387499999998E-2</v>
      </c>
      <c r="K12" s="35">
        <f>IF(ISNUMBER(Courier!G19),Courier!G19,0)</f>
        <v>5.9039212763309479E-2</v>
      </c>
      <c r="L12" s="36">
        <f>IF(ISNUMBER(Laboratorio!G11),Laboratorio!G11,"")</f>
        <v>5.1999999999999998E-2</v>
      </c>
      <c r="M12" s="36">
        <f t="shared" si="4"/>
        <v>-7.0392127633094811E-3</v>
      </c>
      <c r="N12" s="36">
        <f t="shared" si="5"/>
        <v>7.0392127633094811E-3</v>
      </c>
      <c r="O12" s="36">
        <f t="shared" si="6"/>
        <v>13.536947621749002</v>
      </c>
      <c r="P12" s="36">
        <f>Calculos!$J$1</f>
        <v>5.1807500000000022E-3</v>
      </c>
      <c r="Q12" s="36">
        <f t="shared" si="7"/>
        <v>-5.1807500000000022E-3</v>
      </c>
      <c r="R12" s="35">
        <f>IF(ISNUMBER(Courier!I19),Courier!I19,"")</f>
        <v>2.2564880847930908</v>
      </c>
      <c r="S12" s="36">
        <f>IF(ISNUMBER(Laboratorio!I11),Laboratorio!I11,"")</f>
        <v>2.1469999999999998</v>
      </c>
      <c r="T12" s="36">
        <f t="shared" si="8"/>
        <v>-0.10948808479309102</v>
      </c>
      <c r="U12" s="36">
        <f t="shared" si="9"/>
        <v>5.0995847598086179</v>
      </c>
      <c r="V12" s="35">
        <f>IF(ISNUMBER(Courier!K19),Courier!K19,"")</f>
        <v>6.773815955966711E-3</v>
      </c>
      <c r="W12" s="36">
        <f>IF(ISNUMBER(Laboratorio!K11),Laboratorio!K11,"")</f>
        <v>5.0000000000000001E-3</v>
      </c>
      <c r="X12" s="36">
        <f t="shared" si="10"/>
        <v>-1.7738159559667109E-3</v>
      </c>
      <c r="Y12" s="36">
        <f t="shared" si="11"/>
        <v>35.476319119334214</v>
      </c>
      <c r="Z12" s="35" t="str">
        <f>IF(ISNUMBER(Courier!M19),Courier!M19,"")</f>
        <v/>
      </c>
      <c r="AA12" s="36" t="str">
        <f>IF(ISNUMBER(Laboratorio!M11),Laboratorio!M11,"")</f>
        <v/>
      </c>
      <c r="AB12" s="36" t="str">
        <f t="shared" si="12"/>
        <v xml:space="preserve"> </v>
      </c>
      <c r="AC12" s="36" t="str">
        <f t="shared" si="13"/>
        <v xml:space="preserve"> </v>
      </c>
      <c r="AD12" s="35">
        <f>IF(ISNUMBER(Courier!O19),Courier!O19,0)</f>
        <v>6.6029533743858337E-2</v>
      </c>
      <c r="AE12" s="36">
        <f>IF(ISNUMBER(Laboratorio!O11),Laboratorio!O11,"")</f>
        <v>6.6000000000000003E-2</v>
      </c>
      <c r="AF12" s="36">
        <f t="shared" si="14"/>
        <v>-2.9533743858334294E-5</v>
      </c>
      <c r="AG12" s="36">
        <f t="shared" si="15"/>
        <v>2.9533743858334294E-5</v>
      </c>
      <c r="AH12" s="36">
        <f t="shared" si="16"/>
        <v>4.474809675505196E-2</v>
      </c>
      <c r="AI12" s="36">
        <f>Calculos!$U$1</f>
        <v>8.6877272727272758E-3</v>
      </c>
      <c r="AJ12" s="36">
        <f t="shared" si="17"/>
        <v>-8.6877272727272758E-3</v>
      </c>
      <c r="AK12" s="35">
        <f>IF(ISNUMBER(Courier!Q19),Courier!Q19,0)</f>
        <v>9.1239567846059799E-3</v>
      </c>
      <c r="AL12" s="36">
        <f>IF(ISNUMBER(Laboratorio!Q11),Laboratorio!Q11,"")</f>
        <v>1.2999999999999999E-2</v>
      </c>
      <c r="AM12" s="36">
        <f t="shared" si="18"/>
        <v>3.8760432153940195E-3</v>
      </c>
      <c r="AN12" s="36">
        <f t="shared" si="19"/>
        <v>3.8760432153940195E-3</v>
      </c>
      <c r="AO12" s="237">
        <f t="shared" si="20"/>
        <v>29.815717041492455</v>
      </c>
      <c r="AP12" s="36">
        <f>Calculos!$V$1</f>
        <v>2.2111363636363643E-3</v>
      </c>
      <c r="AQ12" s="36">
        <f t="shared" si="21"/>
        <v>-2.2111363636363643E-3</v>
      </c>
      <c r="AR12" s="35">
        <f>IF(ISNUMBER(Courier!S19),Courier!S19,"")</f>
        <v>1.4575302600860596</v>
      </c>
      <c r="AS12" s="36">
        <f>IF(ISNUMBER(Laboratorio!S11),Laboratorio!S11,"")</f>
        <v>1.861</v>
      </c>
      <c r="AT12" s="36">
        <f t="shared" si="22"/>
        <v>0.40346973991394042</v>
      </c>
      <c r="AU12" s="36">
        <f t="shared" si="23"/>
        <v>21.680265444059131</v>
      </c>
      <c r="AV12" s="35" t="str">
        <f>IF(ISNUMBER(Courier!U18),Courier!U18,"")</f>
        <v/>
      </c>
      <c r="AW12" s="35">
        <f>IF(ISNUMBER(Courier!W19),Courier!W19,0)</f>
        <v>24.089685440063477</v>
      </c>
      <c r="AX12" s="36">
        <f>IF(ISNUMBER(Laboratorio!U11),Laboratorio!U11,"")</f>
        <v>24.532</v>
      </c>
      <c r="AY12" s="36">
        <f t="shared" si="24"/>
        <v>0.44231455993652347</v>
      </c>
      <c r="AZ12" s="36">
        <f t="shared" si="25"/>
        <v>0.44231455993652347</v>
      </c>
      <c r="BA12" s="36">
        <f t="shared" si="26"/>
        <v>1.8030105981433371</v>
      </c>
      <c r="BB12" s="36">
        <f>Calculos!$AH$1</f>
        <v>1.5575884772727273</v>
      </c>
      <c r="BC12" s="36">
        <f t="shared" si="27"/>
        <v>-1.5575884772727273</v>
      </c>
      <c r="BD12" s="35">
        <f>IF(ISNUMBER(Courier!Y19),Courier!Y19,0)</f>
        <v>2.4945509433746338</v>
      </c>
      <c r="BE12" s="36">
        <f>IF(ISNUMBER(Laboratorio!W11),Laboratorio!W11,"")</f>
        <v>2.1459999999999999</v>
      </c>
      <c r="BF12" s="36">
        <f t="shared" si="28"/>
        <v>-0.34855094337463388</v>
      </c>
      <c r="BG12" s="36">
        <f t="shared" si="29"/>
        <v>0.34855094337463388</v>
      </c>
      <c r="BH12" s="36">
        <f t="shared" si="30"/>
        <v>16.241889253244825</v>
      </c>
      <c r="BI12" s="36">
        <f>Calculos!$AI$1</f>
        <v>0.18375074999999999</v>
      </c>
      <c r="BJ12" s="36">
        <f t="shared" si="31"/>
        <v>-0.18375074999999999</v>
      </c>
      <c r="BK12" s="35">
        <f>IF(ISNUMBER(Courier!AA19),Courier!AA19,"")</f>
        <v>26.42375373840332</v>
      </c>
      <c r="BL12" s="36">
        <f>IF(ISNUMBER(Laboratorio!Y11),Laboratorio!Y11,"")</f>
        <v>27.12</v>
      </c>
      <c r="BM12" s="36">
        <f t="shared" si="32"/>
        <v>0.69624626159668068</v>
      </c>
      <c r="BN12" s="36">
        <f t="shared" si="33"/>
        <v>2.5672797256514772</v>
      </c>
      <c r="BO12" s="35">
        <f>IF(ISNUMBER(Courier!AC18),Courier!AC18,"")</f>
        <v>7.9677749145354619</v>
      </c>
      <c r="BP12" s="35">
        <f>IF(ISNUMBER(Courier!AC19),Courier!AC19,"")</f>
        <v>7.7882557376653736</v>
      </c>
      <c r="BQ12" s="36">
        <f>IF(ISNUMBER(Laboratorio!AA11),Laboratorio!AA11,"")</f>
        <v>11.1</v>
      </c>
      <c r="BR12" s="36">
        <f t="shared" si="35"/>
        <v>3.311744262334626</v>
      </c>
      <c r="BS12" s="36">
        <f t="shared" si="34"/>
        <v>29.83553389490654</v>
      </c>
    </row>
    <row r="13" spans="1:72" ht="18" customHeight="1" x14ac:dyDescent="0.2">
      <c r="C13" s="38" t="str">
        <f>DAY(B12) &amp; "-" &amp; MONTH(B12) &amp;"-" &amp; YEAR(B12)</f>
        <v>18-8-2026</v>
      </c>
      <c r="D13" s="35">
        <f>IF(ISNUMBER(Courier!F19),Courier!F19,0)</f>
        <v>0.44503811001777649</v>
      </c>
      <c r="E13" s="36">
        <f>IF(ISNUMBER(Laboratorio!F11),Laboratorio!F11,"")</f>
        <v>0.40200000000000002</v>
      </c>
      <c r="F13" s="36">
        <f t="shared" si="0"/>
        <v>-4.3038110017776465E-2</v>
      </c>
      <c r="G13" s="36">
        <f t="shared" si="1"/>
        <v>4.3038110017776465E-2</v>
      </c>
      <c r="H13" s="36">
        <f t="shared" si="2"/>
        <v>10.705997516859817</v>
      </c>
      <c r="I13" s="36">
        <f>Calculos!$I$1</f>
        <v>4.990387499999998E-2</v>
      </c>
      <c r="J13" s="36">
        <f t="shared" si="3"/>
        <v>-4.990387499999998E-2</v>
      </c>
      <c r="K13" s="35">
        <f>IF(ISNUMBER(Courier!H19),Courier!H19,0)</f>
        <v>3.0947951599955559E-2</v>
      </c>
      <c r="L13" s="36">
        <f>IF(ISNUMBER(Laboratorio!H11),Laboratorio!H11,"")</f>
        <v>3.1E-2</v>
      </c>
      <c r="M13" s="36">
        <f t="shared" si="4"/>
        <v>5.2048400044441001E-5</v>
      </c>
      <c r="N13" s="36">
        <f t="shared" si="5"/>
        <v>5.2048400044441001E-5</v>
      </c>
      <c r="O13" s="36">
        <f t="shared" si="6"/>
        <v>0.16789806465948709</v>
      </c>
      <c r="P13" s="36">
        <f>Calculos!$J$1</f>
        <v>5.1807500000000022E-3</v>
      </c>
      <c r="Q13" s="36">
        <f t="shared" si="7"/>
        <v>-5.1807500000000022E-3</v>
      </c>
      <c r="R13" s="35">
        <f>IF(ISNUMBER(Courier!J19),Courier!J19,"")</f>
        <v>2.91060471534729</v>
      </c>
      <c r="S13" s="36">
        <f>IF(ISNUMBER(Laboratorio!J11),Laboratorio!J11,"")</f>
        <v>3.4009999999999998</v>
      </c>
      <c r="T13" s="36">
        <f t="shared" si="8"/>
        <v>0.49039528465270976</v>
      </c>
      <c r="U13" s="36">
        <f t="shared" si="9"/>
        <v>14.419149798668327</v>
      </c>
      <c r="V13" s="35">
        <f>IF(ISNUMBER(Courier!L19),Courier!L19,"")</f>
        <v>8.6742974817752838E-3</v>
      </c>
      <c r="W13" s="36">
        <f>IF(ISNUMBER(Laboratorio!L11),Laboratorio!L11,"")</f>
        <v>0.01</v>
      </c>
      <c r="X13" s="36">
        <f t="shared" si="10"/>
        <v>1.3257025182247164E-3</v>
      </c>
      <c r="Y13" s="36">
        <f t="shared" si="11"/>
        <v>13.257025182247165</v>
      </c>
      <c r="Z13" s="35" t="str">
        <f>IF(ISNUMBER(Courier!N19),Courier!N19,"")</f>
        <v/>
      </c>
      <c r="AA13" s="36" t="str">
        <f>IF(ISNUMBER(Laboratorio!N11),Laboratorio!N11,"")</f>
        <v/>
      </c>
      <c r="AB13" s="36" t="str">
        <f t="shared" si="12"/>
        <v xml:space="preserve"> </v>
      </c>
      <c r="AC13" s="36" t="str">
        <f t="shared" si="13"/>
        <v xml:space="preserve"> </v>
      </c>
      <c r="AD13" s="35">
        <f>IF(ISNUMBER(Courier!P19),Courier!P19,0)</f>
        <v>4.7765485942363739E-2</v>
      </c>
      <c r="AE13" s="36">
        <f>+IF(ISNUMBER(Laboratorio!P11),Laboratorio!P11,"")</f>
        <v>0.04</v>
      </c>
      <c r="AF13" s="36">
        <f t="shared" si="14"/>
        <v>-7.7654859423637382E-3</v>
      </c>
      <c r="AG13" s="36">
        <f t="shared" si="15"/>
        <v>7.7654859423637382E-3</v>
      </c>
      <c r="AH13" s="36">
        <f t="shared" si="16"/>
        <v>19.413714855909344</v>
      </c>
      <c r="AI13" s="36">
        <f>Calculos!$U$1</f>
        <v>8.6877272727272758E-3</v>
      </c>
      <c r="AJ13" s="36">
        <f t="shared" si="17"/>
        <v>-8.6877272727272758E-3</v>
      </c>
      <c r="AK13" s="35">
        <f>IF(ISNUMBER(Courier!R19),Courier!R19,0)</f>
        <v>7.0773507468402386E-3</v>
      </c>
      <c r="AL13" s="36">
        <f>IF(ISNUMBER(Laboratorio!R11),Laboratorio!R11,"")</f>
        <v>7.0000000000000001E-3</v>
      </c>
      <c r="AM13" s="36">
        <f t="shared" si="18"/>
        <v>-7.7350746840238425E-5</v>
      </c>
      <c r="AN13" s="36">
        <f t="shared" si="19"/>
        <v>7.7350746840238425E-5</v>
      </c>
      <c r="AO13" s="237">
        <f t="shared" si="20"/>
        <v>1.1050106691462633</v>
      </c>
      <c r="AP13" s="36">
        <f>Calculos!$V$1</f>
        <v>2.2111363636363643E-3</v>
      </c>
      <c r="AQ13" s="36">
        <f t="shared" si="21"/>
        <v>-2.2111363636363643E-3</v>
      </c>
      <c r="AR13" s="35">
        <f>IF(ISNUMBER(Courier!T19),Courier!T19,"")</f>
        <v>2.1850786209106445</v>
      </c>
      <c r="AS13" s="36">
        <f>IF(ISNUMBER(Laboratorio!T11),Laboratorio!T11,"")</f>
        <v>2.66</v>
      </c>
      <c r="AT13" s="36">
        <f t="shared" si="22"/>
        <v>0.47492137908935561</v>
      </c>
      <c r="AU13" s="36">
        <f t="shared" si="23"/>
        <v>17.85418718381036</v>
      </c>
      <c r="AV13" s="35" t="str">
        <f>IF(ISNUMBER(Courier!V18),Courier!V18,"")</f>
        <v/>
      </c>
      <c r="AW13" s="35">
        <f>IF(ISNUMBER(Courier!X19),Courier!X19,0)</f>
        <v>24.968690872192383</v>
      </c>
      <c r="AX13" s="36">
        <f>IF(ISNUMBER(Laboratorio!V11),Laboratorio!V11,"")</f>
        <v>22.896999999999998</v>
      </c>
      <c r="AY13" s="36">
        <f t="shared" si="24"/>
        <v>-2.0716908721923843</v>
      </c>
      <c r="AZ13" s="36">
        <f t="shared" si="25"/>
        <v>2.0716908721923843</v>
      </c>
      <c r="BA13" s="36">
        <f t="shared" si="26"/>
        <v>9.0478703419329367</v>
      </c>
      <c r="BB13" s="36">
        <f>Calculos!$AH$1</f>
        <v>1.5575884772727273</v>
      </c>
      <c r="BC13" s="36">
        <f t="shared" si="27"/>
        <v>-1.5575884772727273</v>
      </c>
      <c r="BD13" s="35">
        <f>IF(ISNUMBER(Courier!Z19),Courier!Z19,0)</f>
        <v>1.9619637727737427</v>
      </c>
      <c r="BE13" s="36">
        <f>IF(ISNUMBER(Laboratorio!X11),Laboratorio!X11,"")</f>
        <v>1.8540000000000001</v>
      </c>
      <c r="BF13" s="36">
        <f t="shared" si="28"/>
        <v>-0.10796377277374258</v>
      </c>
      <c r="BG13" s="36">
        <f t="shared" si="29"/>
        <v>0.10796377277374258</v>
      </c>
      <c r="BH13" s="36">
        <f t="shared" si="30"/>
        <v>5.8232887148728461</v>
      </c>
      <c r="BI13" s="36">
        <f>Calculos!$AI$1</f>
        <v>0.18375074999999999</v>
      </c>
      <c r="BJ13" s="36">
        <f t="shared" si="31"/>
        <v>-0.18375074999999999</v>
      </c>
      <c r="BK13" s="35">
        <f>IF(ISNUMBER(Courier!AB19),Courier!AB19,"")</f>
        <v>26.098102569580078</v>
      </c>
      <c r="BL13" s="36">
        <f>IF(ISNUMBER(Laboratorio!Z11),Laboratorio!Z11,"")</f>
        <v>27.91</v>
      </c>
      <c r="BM13" s="36">
        <f t="shared" si="32"/>
        <v>1.811897430419922</v>
      </c>
      <c r="BN13" s="36">
        <f t="shared" si="33"/>
        <v>6.4919291666783296</v>
      </c>
      <c r="BO13" s="35">
        <f>IF(ISNUMBER(Courier!AD18),Courier!AD18,"")</f>
        <v>1.4555698595841204</v>
      </c>
      <c r="BP13" s="35">
        <f>IF(ISNUMBER(Courier!AD19),Courier!AD19,"")</f>
        <v>9.5516537761918112</v>
      </c>
      <c r="BQ13" s="36">
        <f>IF(ISNUMBER(Laboratorio!AB11),Laboratorio!AB11,"")</f>
        <v>11.56</v>
      </c>
      <c r="BR13" s="36">
        <f t="shared" si="35"/>
        <v>2.0083462238081893</v>
      </c>
      <c r="BS13" s="36">
        <f t="shared" si="34"/>
        <v>17.373237230174645</v>
      </c>
    </row>
    <row r="14" spans="1:72" ht="18" customHeight="1" x14ac:dyDescent="0.2">
      <c r="A14">
        <f>+A12+1</f>
        <v>6</v>
      </c>
      <c r="B14" s="7">
        <f>+B12+1</f>
        <v>46253</v>
      </c>
      <c r="C14" s="7" t="str">
        <f>DAY(B14) &amp; "-" &amp; MONTH(B14) &amp;"-" &amp; YEAR(B14)</f>
        <v>19-8-2026</v>
      </c>
      <c r="D14" s="35">
        <f>IF(ISNUMBER(Courier!E20),Courier!E20,0)</f>
        <v>0.3785417377948761</v>
      </c>
      <c r="E14" s="36">
        <f>IF(ISNUMBER(Laboratorio!E12),Laboratorio!E12,"")</f>
        <v>0.38200000000000001</v>
      </c>
      <c r="F14" s="36">
        <f t="shared" si="0"/>
        <v>3.4582622051239076E-3</v>
      </c>
      <c r="G14" s="36">
        <f t="shared" si="1"/>
        <v>3.4582622051239076E-3</v>
      </c>
      <c r="H14" s="36">
        <f t="shared" si="2"/>
        <v>0.90530424217903338</v>
      </c>
      <c r="I14" s="36">
        <f>Calculos!$I$1</f>
        <v>4.990387499999998E-2</v>
      </c>
      <c r="J14" s="36">
        <f t="shared" si="3"/>
        <v>-4.990387499999998E-2</v>
      </c>
      <c r="K14" s="35">
        <f>IF(ISNUMBER(Courier!G20),Courier!G20,0)</f>
        <v>1.2126695364713669E-2</v>
      </c>
      <c r="L14" s="36">
        <f>IF(ISNUMBER(Laboratorio!G12),Laboratorio!G12,"")</f>
        <v>1.4999999999999999E-2</v>
      </c>
      <c r="M14" s="36">
        <f t="shared" si="4"/>
        <v>2.8733046352863306E-3</v>
      </c>
      <c r="N14" s="36">
        <f t="shared" si="5"/>
        <v>2.8733046352863306E-3</v>
      </c>
      <c r="O14" s="36">
        <f t="shared" si="6"/>
        <v>19.155364235242207</v>
      </c>
      <c r="P14" s="36">
        <f>Calculos!$J$1</f>
        <v>5.1807500000000022E-3</v>
      </c>
      <c r="Q14" s="36">
        <f t="shared" si="7"/>
        <v>-5.1807500000000022E-3</v>
      </c>
      <c r="R14" s="35">
        <f>IF(ISNUMBER(Courier!I20),Courier!I20,"")</f>
        <v>3.5943660736083984</v>
      </c>
      <c r="S14" s="36">
        <f>IF(ISNUMBER(Laboratorio!I12),Laboratorio!I12,"")</f>
        <v>3.9220000000000002</v>
      </c>
      <c r="T14" s="36">
        <f t="shared" si="8"/>
        <v>0.32763392639160172</v>
      </c>
      <c r="U14" s="36">
        <f t="shared" si="9"/>
        <v>8.3537462109026439</v>
      </c>
      <c r="V14" s="35">
        <f>IF(ISNUMBER(Courier!K20),Courier!K20,"")</f>
        <v>1.1003839783370495E-2</v>
      </c>
      <c r="W14" s="36">
        <f>IF(ISNUMBER(Laboratorio!K12),Laboratorio!K12,"")</f>
        <v>1.2999999999999999E-2</v>
      </c>
      <c r="X14" s="36">
        <f t="shared" si="10"/>
        <v>1.9961602166295046E-3</v>
      </c>
      <c r="Y14" s="36">
        <f t="shared" si="11"/>
        <v>15.355078589457726</v>
      </c>
      <c r="Z14" s="35" t="str">
        <f>IF(ISNUMBER(Courier!M20),Courier!M20,"")</f>
        <v/>
      </c>
      <c r="AA14" s="36" t="str">
        <f>IF(ISNUMBER(Laboratorio!M12),Laboratorio!M12,"")</f>
        <v/>
      </c>
      <c r="AB14" s="36" t="str">
        <f t="shared" si="12"/>
        <v xml:space="preserve"> </v>
      </c>
      <c r="AC14" s="36" t="str">
        <f t="shared" si="13"/>
        <v xml:space="preserve"> </v>
      </c>
      <c r="AD14" s="35">
        <f>IF(ISNUMBER(Courier!O20),Courier!O20,0)</f>
        <v>3.6522500216960907E-2</v>
      </c>
      <c r="AE14" s="36">
        <f>IF(ISNUMBER(Laboratorio!O12),Laboratorio!O12,"")</f>
        <v>0.03</v>
      </c>
      <c r="AF14" s="36">
        <f t="shared" si="14"/>
        <v>-6.5225002169609081E-3</v>
      </c>
      <c r="AG14" s="36">
        <f t="shared" si="15"/>
        <v>6.5225002169609081E-3</v>
      </c>
      <c r="AH14" s="36">
        <f t="shared" si="16"/>
        <v>21.741667389869697</v>
      </c>
      <c r="AI14" s="36">
        <f>Calculos!$U$1</f>
        <v>8.6877272727272758E-3</v>
      </c>
      <c r="AJ14" s="36">
        <f t="shared" si="17"/>
        <v>-8.6877272727272758E-3</v>
      </c>
      <c r="AK14" s="35">
        <f>IF(ISNUMBER(Courier!Q20),Courier!Q20,0)</f>
        <v>4.9933972768485546E-3</v>
      </c>
      <c r="AL14" s="36">
        <f>IF(ISNUMBER(Laboratorio!Q12),Laboratorio!Q12,"")</f>
        <v>4.0000000000000001E-3</v>
      </c>
      <c r="AM14" s="36">
        <f t="shared" si="18"/>
        <v>-9.9339727684855453E-4</v>
      </c>
      <c r="AN14" s="36">
        <f t="shared" si="19"/>
        <v>9.9339727684855453E-4</v>
      </c>
      <c r="AO14" s="237">
        <f t="shared" si="20"/>
        <v>24.834931921213862</v>
      </c>
      <c r="AP14" s="36">
        <f>Calculos!$V$1</f>
        <v>2.2111363636363643E-3</v>
      </c>
      <c r="AQ14" s="36">
        <f t="shared" si="21"/>
        <v>-2.2111363636363643E-3</v>
      </c>
      <c r="AR14" s="35">
        <f>IF(ISNUMBER(Courier!S20),Courier!S20,"")</f>
        <v>3.0885875225067139</v>
      </c>
      <c r="AS14" s="36">
        <f>IF(ISNUMBER(Laboratorio!S12),Laboratorio!S12,"")</f>
        <v>3.831</v>
      </c>
      <c r="AT14" s="36">
        <f t="shared" si="22"/>
        <v>0.74241247749328609</v>
      </c>
      <c r="AU14" s="36">
        <f t="shared" si="23"/>
        <v>19.379077982074815</v>
      </c>
      <c r="AV14" s="35" t="str">
        <f>IF(ISNUMBER(Courier!U19),Courier!U19,"")</f>
        <v/>
      </c>
      <c r="AW14" s="35">
        <f>IF(ISNUMBER(Courier!W20),Courier!W20,0)</f>
        <v>22.765670776367188</v>
      </c>
      <c r="AX14" s="36">
        <f>IF(ISNUMBER(Laboratorio!U12),Laboratorio!U12,"")</f>
        <v>24.384</v>
      </c>
      <c r="AY14" s="36">
        <f t="shared" si="24"/>
        <v>1.6183292236328128</v>
      </c>
      <c r="AZ14" s="36">
        <f t="shared" si="25"/>
        <v>1.6183292236328128</v>
      </c>
      <c r="BA14" s="36">
        <f t="shared" si="26"/>
        <v>6.6368488502001828</v>
      </c>
      <c r="BB14" s="36">
        <f>Calculos!$AH$1</f>
        <v>1.5575884772727273</v>
      </c>
      <c r="BC14" s="36">
        <f t="shared" si="27"/>
        <v>-1.5575884772727273</v>
      </c>
      <c r="BD14" s="35">
        <f>IF(ISNUMBER(Courier!Y20),Courier!Y20,0)</f>
        <v>0.81273084878921509</v>
      </c>
      <c r="BE14" s="36">
        <f>IF(ISNUMBER(Laboratorio!W12),Laboratorio!W12,"")</f>
        <v>0.754</v>
      </c>
      <c r="BF14" s="36">
        <f t="shared" si="28"/>
        <v>-5.8730848789215084E-2</v>
      </c>
      <c r="BG14" s="36">
        <f t="shared" si="29"/>
        <v>5.8730848789215084E-2</v>
      </c>
      <c r="BH14" s="36">
        <f t="shared" si="30"/>
        <v>7.7892372399489496</v>
      </c>
      <c r="BI14" s="36">
        <f>Calculos!$AI$1</f>
        <v>0.18375074999999999</v>
      </c>
      <c r="BJ14" s="36">
        <f t="shared" si="31"/>
        <v>-0.18375074999999999</v>
      </c>
      <c r="BK14" s="35">
        <f>IF(ISNUMBER(Courier!AA20),Courier!AA20,"")</f>
        <v>27.314510345458984</v>
      </c>
      <c r="BL14" s="36">
        <f>IF(ISNUMBER(Laboratorio!Y12),Laboratorio!Y12,"")</f>
        <v>30.76</v>
      </c>
      <c r="BM14" s="36">
        <f t="shared" si="32"/>
        <v>3.4454896545410172</v>
      </c>
      <c r="BN14" s="36">
        <f t="shared" si="33"/>
        <v>11.201201737779639</v>
      </c>
      <c r="BO14" s="35">
        <f>IF(ISNUMBER(Courier!AC19),Courier!AC19,"")</f>
        <v>7.7882557376653736</v>
      </c>
      <c r="BP14" s="35">
        <f>IF(ISNUMBER(Courier!AC20),Courier!AC20,"")</f>
        <v>11.828287322527636</v>
      </c>
      <c r="BQ14" s="36">
        <f>IF(ISNUMBER(Laboratorio!AA12),Laboratorio!AA12,"")</f>
        <v>8.5</v>
      </c>
      <c r="BR14" s="36">
        <f t="shared" si="35"/>
        <v>-3.3282873225276361</v>
      </c>
      <c r="BS14" s="36">
        <f t="shared" si="34"/>
        <v>39.156321441501603</v>
      </c>
    </row>
    <row r="15" spans="1:72" ht="18" customHeight="1" x14ac:dyDescent="0.2">
      <c r="C15" s="38" t="str">
        <f>DAY(B14) &amp; "-" &amp; MONTH(B14) &amp;"-" &amp; YEAR(B14)</f>
        <v>19-8-2026</v>
      </c>
      <c r="D15" s="35">
        <f>IF(ISNUMBER(Courier!F20),Courier!F20,0)</f>
        <v>0.33931806683540344</v>
      </c>
      <c r="E15" s="36">
        <f>IF(ISNUMBER(Laboratorio!F12),Laboratorio!F12,"")</f>
        <v>0.35699999999999998</v>
      </c>
      <c r="F15" s="36">
        <f t="shared" si="0"/>
        <v>1.7681933164596542E-2</v>
      </c>
      <c r="G15" s="36">
        <f t="shared" si="1"/>
        <v>1.7681933164596542E-2</v>
      </c>
      <c r="H15" s="36">
        <f t="shared" si="2"/>
        <v>4.9529224550690598</v>
      </c>
      <c r="I15" s="36">
        <f>Calculos!$I$1</f>
        <v>4.990387499999998E-2</v>
      </c>
      <c r="J15" s="36">
        <f t="shared" si="3"/>
        <v>-4.990387499999998E-2</v>
      </c>
      <c r="K15" s="35">
        <f>IF(ISNUMBER(Courier!H20),Courier!H20,0)</f>
        <v>1.7472758889198303E-2</v>
      </c>
      <c r="L15" s="36">
        <f>IF(ISNUMBER(Laboratorio!H12),Laboratorio!H12,"")</f>
        <v>1.0999999999999999E-2</v>
      </c>
      <c r="M15" s="36">
        <f t="shared" si="4"/>
        <v>-6.4727588891983039E-3</v>
      </c>
      <c r="N15" s="36">
        <f t="shared" si="5"/>
        <v>6.4727588891983039E-3</v>
      </c>
      <c r="O15" s="36">
        <f t="shared" si="6"/>
        <v>58.84326262907549</v>
      </c>
      <c r="P15" s="36">
        <f>Calculos!$J$1</f>
        <v>5.1807500000000022E-3</v>
      </c>
      <c r="Q15" s="36">
        <f t="shared" si="7"/>
        <v>-5.1807500000000022E-3</v>
      </c>
      <c r="R15" s="35">
        <f>IF(ISNUMBER(Courier!J20),Courier!J20,"")</f>
        <v>3.5040261745452881</v>
      </c>
      <c r="S15" s="36">
        <f>IF(ISNUMBER(Laboratorio!J12),Laboratorio!J12,"")</f>
        <v>4.3159999999999998</v>
      </c>
      <c r="T15" s="36">
        <f t="shared" si="8"/>
        <v>0.81197382545471175</v>
      </c>
      <c r="U15" s="36">
        <f t="shared" si="9"/>
        <v>18.813109950294525</v>
      </c>
      <c r="V15" s="35">
        <f>IF(ISNUMBER(Courier!L20),Courier!L20,"")</f>
        <v>1.0052197612822056E-2</v>
      </c>
      <c r="W15" s="36">
        <f>IF(ISNUMBER(Laboratorio!L12),Laboratorio!L12,"")</f>
        <v>1.2999999999999999E-2</v>
      </c>
      <c r="X15" s="36">
        <f t="shared" si="10"/>
        <v>2.9478023871779436E-3</v>
      </c>
      <c r="Y15" s="36">
        <f t="shared" si="11"/>
        <v>22.675402978291874</v>
      </c>
      <c r="Z15" s="35" t="str">
        <f>IF(ISNUMBER(Courier!N20),Courier!N20,"")</f>
        <v/>
      </c>
      <c r="AA15" s="36" t="str">
        <f>IF(ISNUMBER(Laboratorio!N12),Laboratorio!N12,"")</f>
        <v/>
      </c>
      <c r="AB15" s="36" t="str">
        <f t="shared" si="12"/>
        <v xml:space="preserve"> </v>
      </c>
      <c r="AC15" s="36" t="str">
        <f t="shared" si="13"/>
        <v xml:space="preserve"> </v>
      </c>
      <c r="AD15" s="35">
        <f>IF(ISNUMBER(Courier!P20),Courier!P20,0)</f>
        <v>2.6393812149763107E-2</v>
      </c>
      <c r="AE15" s="36">
        <f>+IF(ISNUMBER(Laboratorio!P12),Laboratorio!P12,"")</f>
        <v>2.7E-2</v>
      </c>
      <c r="AF15" s="36">
        <f t="shared" si="14"/>
        <v>6.0618785023689239E-4</v>
      </c>
      <c r="AG15" s="36">
        <f t="shared" si="15"/>
        <v>6.0618785023689239E-4</v>
      </c>
      <c r="AH15" s="36">
        <f t="shared" si="16"/>
        <v>2.2451401860625642</v>
      </c>
      <c r="AI15" s="36">
        <f>Calculos!$U$1</f>
        <v>8.6877272727272758E-3</v>
      </c>
      <c r="AJ15" s="36">
        <f t="shared" si="17"/>
        <v>-8.6877272727272758E-3</v>
      </c>
      <c r="AK15" s="35">
        <f>IF(ISNUMBER(Courier!R20),Courier!R20,0)</f>
        <v>4.9688247963786125E-3</v>
      </c>
      <c r="AL15" s="36">
        <f>IF(ISNUMBER(Laboratorio!R12),Laboratorio!R12,"")</f>
        <v>3.0000000000000001E-3</v>
      </c>
      <c r="AM15" s="36">
        <f t="shared" si="18"/>
        <v>-1.9688247963786125E-3</v>
      </c>
      <c r="AN15" s="36">
        <f t="shared" si="19"/>
        <v>1.9688247963786125E-3</v>
      </c>
      <c r="AO15" s="237">
        <f t="shared" si="20"/>
        <v>65.627493212620408</v>
      </c>
      <c r="AP15" s="36">
        <f>Calculos!$V$1</f>
        <v>2.2111363636363643E-3</v>
      </c>
      <c r="AQ15" s="36">
        <f t="shared" si="21"/>
        <v>-2.2111363636363643E-3</v>
      </c>
      <c r="AR15" s="35">
        <f>IF(ISNUMBER(Courier!T20),Courier!T20,"")</f>
        <v>3.2177166938781738</v>
      </c>
      <c r="AS15" s="36">
        <f>IF(ISNUMBER(Laboratorio!T12),Laboratorio!T12,"")</f>
        <v>3.7709999999999999</v>
      </c>
      <c r="AT15" s="36">
        <f t="shared" si="22"/>
        <v>0.55328330612182608</v>
      </c>
      <c r="AU15" s="36">
        <f t="shared" si="23"/>
        <v>14.67205797193917</v>
      </c>
      <c r="AV15" s="35" t="str">
        <f>IF(ISNUMBER(Courier!V19),Courier!V19,"")</f>
        <v/>
      </c>
      <c r="AW15" s="35">
        <f>IF(ISNUMBER(Courier!X20),Courier!X20,0)</f>
        <v>21.698329925537109</v>
      </c>
      <c r="AX15" s="36">
        <f>IF(ISNUMBER(Laboratorio!V12),Laboratorio!V12,"")</f>
        <v>23.292999999999999</v>
      </c>
      <c r="AY15" s="36">
        <f t="shared" si="24"/>
        <v>1.5946700744628899</v>
      </c>
      <c r="AZ15" s="36">
        <f t="shared" si="25"/>
        <v>1.5946700744628899</v>
      </c>
      <c r="BA15" s="36">
        <f t="shared" si="26"/>
        <v>6.8461343513625987</v>
      </c>
      <c r="BB15" s="36">
        <f>Calculos!$AH$1</f>
        <v>1.5575884772727273</v>
      </c>
      <c r="BC15" s="36">
        <f t="shared" si="27"/>
        <v>-1.5575884772727273</v>
      </c>
      <c r="BD15" s="35">
        <f>IF(ISNUMBER(Courier!Z20),Courier!Z20,0)</f>
        <v>0.56563651561737061</v>
      </c>
      <c r="BE15" s="36">
        <f>IF(ISNUMBER(Laboratorio!X12),Laboratorio!X12,"")</f>
        <v>0.68600000000000005</v>
      </c>
      <c r="BF15" s="36">
        <f t="shared" si="28"/>
        <v>0.12036348438262945</v>
      </c>
      <c r="BG15" s="36">
        <f t="shared" si="29"/>
        <v>0.12036348438262945</v>
      </c>
      <c r="BH15" s="36">
        <f t="shared" si="30"/>
        <v>17.545697431870181</v>
      </c>
      <c r="BI15" s="36">
        <f>Calculos!$AI$1</f>
        <v>0.18375074999999999</v>
      </c>
      <c r="BJ15" s="36">
        <f t="shared" si="31"/>
        <v>-0.18375074999999999</v>
      </c>
      <c r="BK15" s="35">
        <f>IF(ISNUMBER(Courier!AB20),Courier!AB20,"")</f>
        <v>28.374088287353516</v>
      </c>
      <c r="BL15" s="36">
        <f>IF(ISNUMBER(Laboratorio!Z12),Laboratorio!Z12,"")</f>
        <v>29.55</v>
      </c>
      <c r="BM15" s="36">
        <f t="shared" si="32"/>
        <v>1.1759117126464851</v>
      </c>
      <c r="BN15" s="36">
        <f t="shared" si="33"/>
        <v>3.9793966587021492</v>
      </c>
      <c r="BO15" s="35">
        <f>IF(ISNUMBER(Courier!AD19),Courier!AD19,"")</f>
        <v>9.5516537761918112</v>
      </c>
      <c r="BP15" s="35" t="str">
        <f>IF(ISNUMBER(Courier!AD20),Courier!AD20,"")</f>
        <v/>
      </c>
      <c r="BQ15" s="36">
        <f>IF(ISNUMBER(Laboratorio!AB12),Laboratorio!AB12,"")</f>
        <v>12.08</v>
      </c>
      <c r="BR15" s="36" t="str">
        <f t="shared" si="35"/>
        <v xml:space="preserve"> </v>
      </c>
      <c r="BS15" s="36" t="str">
        <f t="shared" si="34"/>
        <v xml:space="preserve"> </v>
      </c>
    </row>
    <row r="16" spans="1:72" ht="18" customHeight="1" x14ac:dyDescent="0.2">
      <c r="A16">
        <f>+A14+1</f>
        <v>7</v>
      </c>
      <c r="B16" s="7">
        <f>+B14+1</f>
        <v>46254</v>
      </c>
      <c r="C16" s="7" t="str">
        <f>DAY(B16) &amp; "-" &amp; MONTH(B16) &amp;"-" &amp; YEAR(B16)</f>
        <v>20-8-2026</v>
      </c>
      <c r="D16" s="35">
        <f>IF(ISNUMBER(Courier!E21),Courier!E21,0)</f>
        <v>0.41729328036308289</v>
      </c>
      <c r="E16" s="36">
        <f>IF(ISNUMBER(Laboratorio!E13),Laboratorio!E13,"")</f>
        <v>0.34200000000000003</v>
      </c>
      <c r="F16" s="36">
        <f t="shared" si="0"/>
        <v>-7.529328036308286E-2</v>
      </c>
      <c r="G16" s="36">
        <f t="shared" si="1"/>
        <v>7.529328036308286E-2</v>
      </c>
      <c r="H16" s="36">
        <f t="shared" si="2"/>
        <v>22.015579053532999</v>
      </c>
      <c r="I16" s="36">
        <f>Calculos!$I$1</f>
        <v>4.990387499999998E-2</v>
      </c>
      <c r="J16" s="36">
        <f t="shared" si="3"/>
        <v>-4.990387499999998E-2</v>
      </c>
      <c r="K16" s="35">
        <f>IF(ISNUMBER(Courier!G21),Courier!G21,0)</f>
        <v>2.1746393293142319E-2</v>
      </c>
      <c r="L16" s="36">
        <f>IF(ISNUMBER(Laboratorio!G13),Laboratorio!G13,"")</f>
        <v>1.2999999999999999E-2</v>
      </c>
      <c r="M16" s="36">
        <f t="shared" si="4"/>
        <v>-8.7463932931423193E-3</v>
      </c>
      <c r="N16" s="36">
        <f t="shared" si="5"/>
        <v>8.7463932931423193E-3</v>
      </c>
      <c r="O16" s="36">
        <f t="shared" si="6"/>
        <v>67.279948408787078</v>
      </c>
      <c r="P16" s="36">
        <f>Calculos!$J$1</f>
        <v>5.1807500000000022E-3</v>
      </c>
      <c r="Q16" s="36">
        <f t="shared" si="7"/>
        <v>-5.1807500000000022E-3</v>
      </c>
      <c r="R16" s="35">
        <f>IF(ISNUMBER(Courier!I21),Courier!I21,"")</f>
        <v>3.6080083847045898</v>
      </c>
      <c r="S16" s="36">
        <f>IF(ISNUMBER(Laboratorio!I13),Laboratorio!I13,"")</f>
        <v>3.8439999999999999</v>
      </c>
      <c r="T16" s="36">
        <f t="shared" si="8"/>
        <v>0.23599161529541002</v>
      </c>
      <c r="U16" s="36">
        <f t="shared" si="9"/>
        <v>6.1392199608587417</v>
      </c>
      <c r="V16" s="35">
        <f>IF(ISNUMBER(Courier!K21),Courier!K21,"")</f>
        <v>9.3735344707965851E-3</v>
      </c>
      <c r="W16" s="36">
        <f>IF(ISNUMBER(Laboratorio!K13),Laboratorio!K13,"")</f>
        <v>8.0000000000000002E-3</v>
      </c>
      <c r="X16" s="36">
        <f t="shared" si="10"/>
        <v>-1.3735344707965849E-3</v>
      </c>
      <c r="Y16" s="36">
        <f t="shared" si="11"/>
        <v>17.16918088495731</v>
      </c>
      <c r="Z16" s="35" t="str">
        <f>IF(ISNUMBER(Courier!M21),Courier!M21,"")</f>
        <v/>
      </c>
      <c r="AA16" s="36" t="str">
        <f>IF(ISNUMBER(Laboratorio!M13),Laboratorio!M13,"")</f>
        <v/>
      </c>
      <c r="AB16" s="36" t="str">
        <f t="shared" si="12"/>
        <v xml:space="preserve"> </v>
      </c>
      <c r="AC16" s="36" t="str">
        <f t="shared" si="13"/>
        <v xml:space="preserve"> </v>
      </c>
      <c r="AD16" s="35">
        <f>IF(ISNUMBER(Courier!O21),Courier!O21,0)</f>
        <v>2.9643239453434944E-2</v>
      </c>
      <c r="AE16" s="36">
        <f>IF(ISNUMBER(Laboratorio!O13),Laboratorio!O13,"")</f>
        <v>3.5000000000000003E-2</v>
      </c>
      <c r="AF16" s="36">
        <f t="shared" si="14"/>
        <v>5.3567605465650592E-3</v>
      </c>
      <c r="AG16" s="36">
        <f t="shared" si="15"/>
        <v>5.3567605465650592E-3</v>
      </c>
      <c r="AH16" s="36">
        <f t="shared" si="16"/>
        <v>15.305030133043024</v>
      </c>
      <c r="AI16" s="36">
        <f>Calculos!$U$1</f>
        <v>8.6877272727272758E-3</v>
      </c>
      <c r="AJ16" s="36">
        <f t="shared" si="17"/>
        <v>-8.6877272727272758E-3</v>
      </c>
      <c r="AK16" s="35">
        <f>IF(ISNUMBER(Courier!Q21),Courier!Q21,0)</f>
        <v>4.8410291783511639E-3</v>
      </c>
      <c r="AL16" s="36">
        <f>IF(ISNUMBER(Laboratorio!Q13),Laboratorio!Q13,"")</f>
        <v>3.0000000000000001E-3</v>
      </c>
      <c r="AM16" s="36">
        <f t="shared" si="18"/>
        <v>-1.8410291783511638E-3</v>
      </c>
      <c r="AN16" s="36">
        <f t="shared" si="19"/>
        <v>1.8410291783511638E-3</v>
      </c>
      <c r="AO16" s="237">
        <f t="shared" si="20"/>
        <v>61.367639278372124</v>
      </c>
      <c r="AP16" s="36">
        <f>Calculos!$V$1</f>
        <v>2.2111363636363643E-3</v>
      </c>
      <c r="AQ16" s="36">
        <f t="shared" si="21"/>
        <v>-2.2111363636363643E-3</v>
      </c>
      <c r="AR16" s="35">
        <f>IF(ISNUMBER(Courier!S21),Courier!S21,"")</f>
        <v>3.2077841758728027</v>
      </c>
      <c r="AS16" s="36">
        <f>IF(ISNUMBER(Laboratorio!S13),Laboratorio!S13,"")</f>
        <v>3.641</v>
      </c>
      <c r="AT16" s="36">
        <f t="shared" si="22"/>
        <v>0.43321582412719728</v>
      </c>
      <c r="AU16" s="36">
        <f t="shared" si="23"/>
        <v>11.898264875781305</v>
      </c>
      <c r="AV16" s="35" t="str">
        <f>IF(ISNUMBER(Courier!U20),Courier!U20,"")</f>
        <v/>
      </c>
      <c r="AW16" s="35">
        <f>IF(ISNUMBER(Courier!W21),Courier!W21,0)</f>
        <v>22.739021301269531</v>
      </c>
      <c r="AX16" s="36">
        <f>IF(ISNUMBER(Laboratorio!U13),Laboratorio!U13,"")</f>
        <v>24.228000000000002</v>
      </c>
      <c r="AY16" s="36">
        <f t="shared" si="24"/>
        <v>1.4889786987304703</v>
      </c>
      <c r="AZ16" s="36">
        <f t="shared" si="25"/>
        <v>1.4889786987304703</v>
      </c>
      <c r="BA16" s="36">
        <f t="shared" si="26"/>
        <v>6.1456938200861408</v>
      </c>
      <c r="BB16" s="36">
        <f>Calculos!$AH$1</f>
        <v>1.5575884772727273</v>
      </c>
      <c r="BC16" s="36">
        <f t="shared" si="27"/>
        <v>-1.5575884772727273</v>
      </c>
      <c r="BD16" s="35">
        <f>IF(ISNUMBER(Courier!Y21),Courier!Y21,0)</f>
        <v>0.65406531095504761</v>
      </c>
      <c r="BE16" s="36">
        <f>IF(ISNUMBER(Laboratorio!W13),Laboratorio!W13,"")</f>
        <v>0.67800000000000005</v>
      </c>
      <c r="BF16" s="36">
        <f t="shared" si="28"/>
        <v>2.393468904495244E-2</v>
      </c>
      <c r="BG16" s="36">
        <f t="shared" si="29"/>
        <v>2.393468904495244E-2</v>
      </c>
      <c r="BH16" s="36">
        <f t="shared" si="30"/>
        <v>3.5301901246242537</v>
      </c>
      <c r="BI16" s="36">
        <f>Calculos!$AI$1</f>
        <v>0.18375074999999999</v>
      </c>
      <c r="BJ16" s="36">
        <f t="shared" si="31"/>
        <v>-0.18375074999999999</v>
      </c>
      <c r="BK16" s="35">
        <f>IF(ISNUMBER(Courier!AA21),Courier!AA21,"")</f>
        <v>28.225210189819336</v>
      </c>
      <c r="BL16" s="36">
        <f>IF(ISNUMBER(Laboratorio!Y13),Laboratorio!Y13,"")</f>
        <v>29.37</v>
      </c>
      <c r="BM16" s="36">
        <f t="shared" si="32"/>
        <v>1.1447898101806651</v>
      </c>
      <c r="BN16" s="36">
        <f t="shared" si="33"/>
        <v>3.8978202593825846</v>
      </c>
      <c r="BO16" s="35">
        <f>IF(ISNUMBER(Courier!AC20),Courier!AC20,"")</f>
        <v>11.828287322527636</v>
      </c>
      <c r="BP16" s="35">
        <f>IF(ISNUMBER(Courier!AC21),Courier!AC21,"")</f>
        <v>10.401409194657166</v>
      </c>
      <c r="BQ16" s="36">
        <f>IF(ISNUMBER(Laboratorio!AA13),Laboratorio!AA13,"")</f>
        <v>9.9600000000000009</v>
      </c>
      <c r="BR16" s="36">
        <f t="shared" si="35"/>
        <v>-0.44140919465716522</v>
      </c>
      <c r="BS16" s="36">
        <f t="shared" si="34"/>
        <v>4.4318192234655136</v>
      </c>
    </row>
    <row r="17" spans="1:71" ht="18" customHeight="1" x14ac:dyDescent="0.2">
      <c r="C17" s="38" t="str">
        <f>DAY(B16) &amp; "-" &amp; MONTH(B16) &amp;"-" &amp; YEAR(B16)</f>
        <v>20-8-2026</v>
      </c>
      <c r="D17" s="35">
        <f>IF(ISNUMBER(Courier!F21),Courier!F21,0)</f>
        <v>0.33648413419723511</v>
      </c>
      <c r="E17" s="36">
        <f>IF(ISNUMBER(Laboratorio!F13),Laboratorio!F13,"")</f>
        <v>0.36399999999999999</v>
      </c>
      <c r="F17" s="36">
        <f t="shared" si="0"/>
        <v>2.7515865802764883E-2</v>
      </c>
      <c r="G17" s="36">
        <f t="shared" si="1"/>
        <v>2.7515865802764883E-2</v>
      </c>
      <c r="H17" s="36">
        <f t="shared" si="2"/>
        <v>7.5593037919683752</v>
      </c>
      <c r="I17" s="36">
        <f>Calculos!$I$1</f>
        <v>4.990387499999998E-2</v>
      </c>
      <c r="J17" s="36">
        <f t="shared" si="3"/>
        <v>-4.990387499999998E-2</v>
      </c>
      <c r="K17" s="35">
        <f>IF(ISNUMBER(Courier!H21),Courier!H21,0)</f>
        <v>2.0116547122597694E-2</v>
      </c>
      <c r="L17" s="36">
        <f>IF(ISNUMBER(Laboratorio!H13),Laboratorio!H13,"")</f>
        <v>1.2999999999999999E-2</v>
      </c>
      <c r="M17" s="36">
        <f t="shared" si="4"/>
        <v>-7.116547122597695E-3</v>
      </c>
      <c r="N17" s="36">
        <f t="shared" si="5"/>
        <v>7.116547122597695E-3</v>
      </c>
      <c r="O17" s="36">
        <f t="shared" si="6"/>
        <v>54.742670173828422</v>
      </c>
      <c r="P17" s="36">
        <f>Calculos!$J$1</f>
        <v>5.1807500000000022E-3</v>
      </c>
      <c r="Q17" s="36">
        <f t="shared" si="7"/>
        <v>-5.1807500000000022E-3</v>
      </c>
      <c r="R17" s="35">
        <f>IF(ISNUMBER(Courier!J21),Courier!J21,"")</f>
        <v>3.2283015251159668</v>
      </c>
      <c r="S17" s="36">
        <f>IF(ISNUMBER(Laboratorio!J13),Laboratorio!J13,"")</f>
        <v>3.7050000000000001</v>
      </c>
      <c r="T17" s="36">
        <f t="shared" si="8"/>
        <v>0.47669847488403327</v>
      </c>
      <c r="U17" s="36">
        <f t="shared" si="9"/>
        <v>12.866355597409804</v>
      </c>
      <c r="V17" s="35">
        <f>IF(ISNUMBER(Courier!L21),Courier!L21,"")</f>
        <v>8.1755714491009712E-3</v>
      </c>
      <c r="W17" s="36">
        <f>IF(ISNUMBER(Laboratorio!L13),Laboratorio!L13,"")</f>
        <v>7.0000000000000001E-3</v>
      </c>
      <c r="X17" s="36">
        <f t="shared" si="10"/>
        <v>-1.1755714491009711E-3</v>
      </c>
      <c r="Y17" s="36">
        <f t="shared" si="11"/>
        <v>16.793877844299587</v>
      </c>
      <c r="Z17" s="35" t="str">
        <f>IF(ISNUMBER(Courier!N21),Courier!N21,"")</f>
        <v/>
      </c>
      <c r="AA17" s="36" t="str">
        <f>IF(ISNUMBER(Laboratorio!N13),Laboratorio!N13,"")</f>
        <v/>
      </c>
      <c r="AB17" s="36" t="str">
        <f t="shared" si="12"/>
        <v xml:space="preserve"> </v>
      </c>
      <c r="AC17" s="36" t="str">
        <f t="shared" si="13"/>
        <v xml:space="preserve"> </v>
      </c>
      <c r="AD17" s="35">
        <f>IF(ISNUMBER(Courier!P21),Courier!P21,0)</f>
        <v>3.2213561236858368E-2</v>
      </c>
      <c r="AE17" s="36">
        <f>+IF(ISNUMBER(Laboratorio!P13),Laboratorio!P13,"")</f>
        <v>4.5999999999999999E-2</v>
      </c>
      <c r="AF17" s="36">
        <f t="shared" si="14"/>
        <v>1.3786438763141631E-2</v>
      </c>
      <c r="AG17" s="36">
        <f t="shared" si="15"/>
        <v>1.3786438763141631E-2</v>
      </c>
      <c r="AH17" s="36">
        <f t="shared" si="16"/>
        <v>29.970519050307892</v>
      </c>
      <c r="AI17" s="36">
        <f>Calculos!$U$1</f>
        <v>8.6877272727272758E-3</v>
      </c>
      <c r="AJ17" s="36">
        <f t="shared" si="17"/>
        <v>-8.6877272727272758E-3</v>
      </c>
      <c r="AK17" s="35">
        <f>IF(ISNUMBER(Courier!R21),Courier!R21,0)</f>
        <v>4.6929623931646347E-3</v>
      </c>
      <c r="AL17" s="36">
        <f>IF(ISNUMBER(Laboratorio!R13),Laboratorio!R13,"")</f>
        <v>4.0000000000000001E-3</v>
      </c>
      <c r="AM17" s="36">
        <f t="shared" si="18"/>
        <v>-6.9296239316463462E-4</v>
      </c>
      <c r="AN17" s="36">
        <f t="shared" si="19"/>
        <v>6.9296239316463462E-4</v>
      </c>
      <c r="AO17" s="237">
        <f t="shared" si="20"/>
        <v>17.324059829115864</v>
      </c>
      <c r="AP17" s="36">
        <f>Calculos!$V$1</f>
        <v>2.2111363636363643E-3</v>
      </c>
      <c r="AQ17" s="36">
        <f t="shared" si="21"/>
        <v>-2.2111363636363643E-3</v>
      </c>
      <c r="AR17" s="35">
        <f>IF(ISNUMBER(Courier!T21),Courier!T21,"")</f>
        <v>3.0345401763916016</v>
      </c>
      <c r="AS17" s="36">
        <f>IF(ISNUMBER(Laboratorio!T13),Laboratorio!T13,"")</f>
        <v>3.254</v>
      </c>
      <c r="AT17" s="36">
        <f t="shared" si="22"/>
        <v>0.21945982360839844</v>
      </c>
      <c r="AU17" s="36">
        <f t="shared" si="23"/>
        <v>6.7443092688505972</v>
      </c>
      <c r="AV17" s="35" t="str">
        <f>IF(ISNUMBER(Courier!V20),Courier!V20,"")</f>
        <v/>
      </c>
      <c r="AW17" s="35">
        <f>IF(ISNUMBER(Courier!X21),Courier!X21,0)</f>
        <v>23.446987152099609</v>
      </c>
      <c r="AX17" s="36">
        <f>IF(ISNUMBER(Laboratorio!V13),Laboratorio!V13,"")</f>
        <v>22.599</v>
      </c>
      <c r="AY17" s="36">
        <f t="shared" si="24"/>
        <v>-0.84798715209960918</v>
      </c>
      <c r="AZ17" s="36">
        <f t="shared" si="25"/>
        <v>0.84798715209960918</v>
      </c>
      <c r="BA17" s="36">
        <f t="shared" si="26"/>
        <v>3.7523215721917302</v>
      </c>
      <c r="BB17" s="36">
        <f>Calculos!$AH$1</f>
        <v>1.5575884772727273</v>
      </c>
      <c r="BC17" s="36">
        <f t="shared" si="27"/>
        <v>-1.5575884772727273</v>
      </c>
      <c r="BD17" s="35">
        <f>IF(ISNUMBER(Courier!Z21),Courier!Z21,0)</f>
        <v>0.85263621807098389</v>
      </c>
      <c r="BE17" s="36">
        <f>IF(ISNUMBER(Laboratorio!X13),Laboratorio!X13,"")</f>
        <v>0.97499999999999998</v>
      </c>
      <c r="BF17" s="36">
        <f t="shared" si="28"/>
        <v>0.12236378192901609</v>
      </c>
      <c r="BG17" s="36">
        <f t="shared" si="29"/>
        <v>0.12236378192901609</v>
      </c>
      <c r="BH17" s="36">
        <f t="shared" si="30"/>
        <v>12.550131479899088</v>
      </c>
      <c r="BI17" s="36">
        <f>Calculos!$AI$1</f>
        <v>0.18375074999999999</v>
      </c>
      <c r="BJ17" s="36">
        <f t="shared" si="31"/>
        <v>-0.18375074999999999</v>
      </c>
      <c r="BK17" s="35">
        <f>IF(ISNUMBER(Courier!AB21),Courier!AB21,"")</f>
        <v>27.824117660522461</v>
      </c>
      <c r="BL17" s="36">
        <f>IF(ISNUMBER(Laboratorio!Z13),Laboratorio!Z13,"")</f>
        <v>28.72</v>
      </c>
      <c r="BM17" s="36">
        <f t="shared" si="32"/>
        <v>0.89588233947753793</v>
      </c>
      <c r="BN17" s="36">
        <f t="shared" si="33"/>
        <v>3.1193674772894777</v>
      </c>
      <c r="BO17" s="35" t="str">
        <f>IF(ISNUMBER(Courier!AD20),Courier!AD20,"")</f>
        <v/>
      </c>
      <c r="BP17" s="35">
        <f>IF(ISNUMBER(Courier!AD21),Courier!AD21,"")</f>
        <v>9.916830879708872</v>
      </c>
      <c r="BQ17" s="36">
        <f>IF(ISNUMBER(Laboratorio!AB13),Laboratorio!AB13,"")</f>
        <v>13.08</v>
      </c>
      <c r="BR17" s="36">
        <f t="shared" si="35"/>
        <v>3.1631691202911281</v>
      </c>
      <c r="BS17" s="36">
        <f t="shared" si="34"/>
        <v>24.183250155130949</v>
      </c>
    </row>
    <row r="18" spans="1:71" ht="18" customHeight="1" x14ac:dyDescent="0.2">
      <c r="A18">
        <f>+A16+1</f>
        <v>8</v>
      </c>
      <c r="B18" s="7">
        <f>+B16+1</f>
        <v>46255</v>
      </c>
      <c r="C18" s="7" t="str">
        <f>DAY(B18) &amp; "-" &amp; MONTH(B18) &amp;"-" &amp; YEAR(B18)</f>
        <v>21-8-2026</v>
      </c>
      <c r="D18" s="35">
        <f>IF(ISNUMBER(Courier!E22),Courier!E22,0)</f>
        <v>0.35056298971176147</v>
      </c>
      <c r="E18" s="36">
        <f>IF(ISNUMBER(Laboratorio!E14),Laboratorio!E14,"")</f>
        <v>0.34599999999999997</v>
      </c>
      <c r="F18" s="36">
        <f t="shared" si="0"/>
        <v>-4.5629897117615004E-3</v>
      </c>
      <c r="G18" s="36">
        <f t="shared" si="1"/>
        <v>4.5629897117615004E-3</v>
      </c>
      <c r="H18" s="36">
        <f t="shared" si="2"/>
        <v>1.318783153688295</v>
      </c>
      <c r="I18" s="36">
        <f>Calculos!$I$1</f>
        <v>4.990387499999998E-2</v>
      </c>
      <c r="J18" s="36">
        <f t="shared" si="3"/>
        <v>-4.990387499999998E-2</v>
      </c>
      <c r="K18" s="35">
        <f>IF(ISNUMBER(Courier!G22),Courier!G22,0)</f>
        <v>1.5217055566608906E-2</v>
      </c>
      <c r="L18" s="36">
        <f>IF(ISNUMBER(Laboratorio!G14),Laboratorio!G14,"")</f>
        <v>0.01</v>
      </c>
      <c r="M18" s="36">
        <f t="shared" si="4"/>
        <v>-5.2170555666089056E-3</v>
      </c>
      <c r="N18" s="36">
        <f t="shared" si="5"/>
        <v>5.2170555666089056E-3</v>
      </c>
      <c r="O18" s="36">
        <f t="shared" si="6"/>
        <v>52.170555666089058</v>
      </c>
      <c r="P18" s="36">
        <f>Calculos!$J$1</f>
        <v>5.1807500000000022E-3</v>
      </c>
      <c r="Q18" s="36">
        <f t="shared" si="7"/>
        <v>-5.1807500000000022E-3</v>
      </c>
      <c r="R18" s="35">
        <f>IF(ISNUMBER(Courier!I22),Courier!I22,"")</f>
        <v>3.4119632244110107</v>
      </c>
      <c r="S18" s="36">
        <f>IF(ISNUMBER(Laboratorio!I14),Laboratorio!I14,"")</f>
        <v>3.7719999999999998</v>
      </c>
      <c r="T18" s="36">
        <f t="shared" si="8"/>
        <v>0.36003677558898906</v>
      </c>
      <c r="U18" s="36">
        <f t="shared" si="9"/>
        <v>9.5449834461555962</v>
      </c>
      <c r="V18" s="35">
        <f>IF(ISNUMBER(Courier!K22),Courier!K22,"")</f>
        <v>8.2578184083104134E-3</v>
      </c>
      <c r="W18" s="36">
        <f>IF(ISNUMBER(Laboratorio!K14),Laboratorio!K14,"")</f>
        <v>6.0000000000000001E-3</v>
      </c>
      <c r="X18" s="36">
        <f t="shared" si="10"/>
        <v>-2.2578184083104132E-3</v>
      </c>
      <c r="Y18" s="36">
        <f t="shared" si="11"/>
        <v>37.630306805173554</v>
      </c>
      <c r="Z18" s="35" t="str">
        <f>IF(ISNUMBER(Courier!M22),Courier!M22,"")</f>
        <v/>
      </c>
      <c r="AA18" s="36" t="str">
        <f>IF(ISNUMBER(Laboratorio!M14),Laboratorio!M14,"")</f>
        <v/>
      </c>
      <c r="AB18" s="36" t="str">
        <f t="shared" si="12"/>
        <v xml:space="preserve"> </v>
      </c>
      <c r="AC18" s="36" t="str">
        <f t="shared" si="13"/>
        <v xml:space="preserve"> </v>
      </c>
      <c r="AD18" s="35">
        <f>IF(ISNUMBER(Courier!O22),Courier!O22,0)</f>
        <v>3.4870393574237823E-2</v>
      </c>
      <c r="AE18" s="36">
        <f>IF(ISNUMBER(Laboratorio!O14),Laboratorio!O14,"")</f>
        <v>3.5999999999999997E-2</v>
      </c>
      <c r="AF18" s="36">
        <f t="shared" si="14"/>
        <v>1.1296064257621738E-3</v>
      </c>
      <c r="AG18" s="36">
        <f t="shared" si="15"/>
        <v>1.1296064257621738E-3</v>
      </c>
      <c r="AH18" s="36">
        <f t="shared" si="16"/>
        <v>3.1377956271171494</v>
      </c>
      <c r="AI18" s="36">
        <f>Calculos!$U$1</f>
        <v>8.6877272727272758E-3</v>
      </c>
      <c r="AJ18" s="36">
        <f t="shared" si="17"/>
        <v>-8.6877272727272758E-3</v>
      </c>
      <c r="AK18" s="35">
        <f>IF(ISNUMBER(Courier!Q22),Courier!Q22,0)</f>
        <v>5.1071378402411938E-3</v>
      </c>
      <c r="AL18" s="36">
        <f>IF(ISNUMBER(Laboratorio!Q14),Laboratorio!Q14,"")</f>
        <v>4.0000000000000001E-3</v>
      </c>
      <c r="AM18" s="36">
        <f t="shared" si="18"/>
        <v>-1.1071378402411937E-3</v>
      </c>
      <c r="AN18" s="36">
        <f t="shared" si="19"/>
        <v>1.1071378402411937E-3</v>
      </c>
      <c r="AO18" s="237">
        <f t="shared" si="20"/>
        <v>27.678446006029844</v>
      </c>
      <c r="AP18" s="36">
        <f>Calculos!$V$1</f>
        <v>2.2111363636363643E-3</v>
      </c>
      <c r="AQ18" s="36">
        <f t="shared" si="21"/>
        <v>-2.2111363636363643E-3</v>
      </c>
      <c r="AR18" s="35">
        <f>IF(ISNUMBER(Courier!S22),Courier!S22,"")</f>
        <v>2.8765525817871094</v>
      </c>
      <c r="AS18" s="36">
        <f>IF(ISNUMBER(Laboratorio!S14),Laboratorio!S14,"")</f>
        <v>3.323</v>
      </c>
      <c r="AT18" s="36">
        <f t="shared" si="22"/>
        <v>0.44644741821289058</v>
      </c>
      <c r="AU18" s="36">
        <f t="shared" si="23"/>
        <v>13.435071267315395</v>
      </c>
      <c r="AV18" s="35" t="str">
        <f>IF(ISNUMBER(Courier!U21),Courier!U21,"")</f>
        <v/>
      </c>
      <c r="AW18" s="35">
        <f>IF(ISNUMBER(Courier!W22),Courier!W22,0)</f>
        <v>22.019834518432617</v>
      </c>
      <c r="AX18" s="36">
        <f>IF(ISNUMBER(Laboratorio!U14),Laboratorio!U14,"")</f>
        <v>22.984999999999999</v>
      </c>
      <c r="AY18" s="36">
        <f t="shared" si="24"/>
        <v>0.96516548156738224</v>
      </c>
      <c r="AZ18" s="36">
        <f t="shared" si="25"/>
        <v>0.96516548156738224</v>
      </c>
      <c r="BA18" s="36">
        <f t="shared" si="26"/>
        <v>4.1991102091250045</v>
      </c>
      <c r="BB18" s="36">
        <f>Calculos!$AH$1</f>
        <v>1.5575884772727273</v>
      </c>
      <c r="BC18" s="36">
        <f t="shared" si="27"/>
        <v>-1.5575884772727273</v>
      </c>
      <c r="BD18" s="35">
        <f>IF(ISNUMBER(Courier!Y22),Courier!Y22,0)</f>
        <v>0.6122165322303772</v>
      </c>
      <c r="BE18" s="36">
        <f>IF(ISNUMBER(Laboratorio!W14),Laboratorio!W14,"")</f>
        <v>0.69499999999999995</v>
      </c>
      <c r="BF18" s="36">
        <f t="shared" si="28"/>
        <v>8.2783467769622754E-2</v>
      </c>
      <c r="BG18" s="36">
        <f t="shared" si="29"/>
        <v>8.2783467769622754E-2</v>
      </c>
      <c r="BH18" s="36">
        <f t="shared" si="30"/>
        <v>11.911290326564426</v>
      </c>
      <c r="BI18" s="36">
        <f>Calculos!$AI$1</f>
        <v>0.18375074999999999</v>
      </c>
      <c r="BJ18" s="36">
        <f t="shared" si="31"/>
        <v>-0.18375074999999999</v>
      </c>
      <c r="BK18" s="35">
        <f>IF(ISNUMBER(Courier!AA22),Courier!AA22,"")</f>
        <v>27.567352294921875</v>
      </c>
      <c r="BL18" s="36">
        <f>IF(ISNUMBER(Laboratorio!Y14),Laboratorio!Y14,"")</f>
        <v>28.42</v>
      </c>
      <c r="BM18" s="36">
        <f t="shared" si="32"/>
        <v>0.85264770507812671</v>
      </c>
      <c r="BN18" s="36">
        <f t="shared" si="33"/>
        <v>3.0001678574177575</v>
      </c>
      <c r="BO18" s="35">
        <f>IF(ISNUMBER(Courier!AC21),Courier!AC21,"")</f>
        <v>10.401409194657166</v>
      </c>
      <c r="BP18" s="35">
        <f>IF(ISNUMBER(Courier!AC22),Courier!AC22,"")</f>
        <v>5.5740725208831039</v>
      </c>
      <c r="BQ18" s="36">
        <f>IF(ISNUMBER(Laboratorio!AA14),Laboratorio!AA14,"")</f>
        <v>11.52</v>
      </c>
      <c r="BR18" s="36" t="str">
        <f t="shared" si="35"/>
        <v/>
      </c>
      <c r="BS18" s="36" t="str">
        <f t="shared" si="34"/>
        <v xml:space="preserve"> </v>
      </c>
    </row>
    <row r="19" spans="1:71" ht="18" customHeight="1" x14ac:dyDescent="0.2">
      <c r="C19" s="38" t="str">
        <f>DAY(B18) &amp; "-" &amp; MONTH(B18) &amp;"-" &amp; YEAR(B18)</f>
        <v>21-8-2026</v>
      </c>
      <c r="D19" s="35">
        <f>IF(ISNUMBER(Courier!F22),Courier!F22,0)</f>
        <v>0.40267342329025269</v>
      </c>
      <c r="E19" s="36">
        <f>IF(ISNUMBER(Laboratorio!F14),Laboratorio!F14,"")</f>
        <v>0.39</v>
      </c>
      <c r="F19" s="36">
        <f t="shared" si="0"/>
        <v>-1.2673423290252672E-2</v>
      </c>
      <c r="G19" s="36">
        <f t="shared" si="1"/>
        <v>1.2673423290252672E-2</v>
      </c>
      <c r="H19" s="36">
        <f t="shared" si="2"/>
        <v>3.2495957154494026</v>
      </c>
      <c r="I19" s="36">
        <f>Calculos!$I$1</f>
        <v>4.990387499999998E-2</v>
      </c>
      <c r="J19" s="36">
        <f t="shared" si="3"/>
        <v>-4.990387499999998E-2</v>
      </c>
      <c r="K19" s="35">
        <f>IF(ISNUMBER(Courier!H22),Courier!H22,0)</f>
        <v>2.2319607436656952E-2</v>
      </c>
      <c r="L19" s="36">
        <f>IF(ISNUMBER(Laboratorio!H14),Laboratorio!H14,"")</f>
        <v>1.4E-2</v>
      </c>
      <c r="M19" s="36">
        <f t="shared" si="4"/>
        <v>-8.3196074366569516E-3</v>
      </c>
      <c r="N19" s="36">
        <f t="shared" si="5"/>
        <v>8.3196074366569516E-3</v>
      </c>
      <c r="O19" s="36">
        <f t="shared" si="6"/>
        <v>59.425767404692508</v>
      </c>
      <c r="P19" s="36">
        <f>Calculos!$J$1</f>
        <v>5.1807500000000022E-3</v>
      </c>
      <c r="Q19" s="36">
        <f t="shared" si="7"/>
        <v>-5.1807500000000022E-3</v>
      </c>
      <c r="R19" s="35">
        <f>IF(ISNUMBER(Courier!J22),Courier!J22,"")</f>
        <v>2.9544482231140137</v>
      </c>
      <c r="S19" s="36">
        <f>IF(ISNUMBER(Laboratorio!J14),Laboratorio!J14,"")</f>
        <v>3.3290000000000002</v>
      </c>
      <c r="T19" s="36">
        <f t="shared" si="8"/>
        <v>0.37455177688598651</v>
      </c>
      <c r="U19" s="36">
        <f t="shared" si="9"/>
        <v>11.251179840372078</v>
      </c>
      <c r="V19" s="35">
        <f>IF(ISNUMBER(Courier!L22),Courier!L22,"")</f>
        <v>7.9696653410792351E-3</v>
      </c>
      <c r="W19" s="36">
        <f>IF(ISNUMBER(Laboratorio!L14),Laboratorio!L14,"")</f>
        <v>0.01</v>
      </c>
      <c r="X19" s="36">
        <f t="shared" si="10"/>
        <v>2.0303346589207651E-3</v>
      </c>
      <c r="Y19" s="36">
        <f t="shared" si="11"/>
        <v>20.303346589207653</v>
      </c>
      <c r="Z19" s="35" t="str">
        <f>IF(ISNUMBER(Courier!N22),Courier!N22,"")</f>
        <v/>
      </c>
      <c r="AA19" s="36" t="str">
        <f>IF(ISNUMBER(Laboratorio!N14),Laboratorio!N14,"")</f>
        <v/>
      </c>
      <c r="AB19" s="36" t="str">
        <f t="shared" si="12"/>
        <v xml:space="preserve"> </v>
      </c>
      <c r="AC19" s="36" t="str">
        <f t="shared" si="13"/>
        <v xml:space="preserve"> </v>
      </c>
      <c r="AD19" s="35">
        <f>IF(ISNUMBER(Courier!P22),Courier!P22,0)</f>
        <v>3.715331107378006E-2</v>
      </c>
      <c r="AE19" s="36">
        <f>+IF(ISNUMBER(Laboratorio!P14),Laboratorio!P14,"")</f>
        <v>3.4000000000000002E-2</v>
      </c>
      <c r="AF19" s="36">
        <f t="shared" si="14"/>
        <v>-3.1533110737800574E-3</v>
      </c>
      <c r="AG19" s="36">
        <f t="shared" si="15"/>
        <v>3.1533110737800574E-3</v>
      </c>
      <c r="AH19" s="36">
        <f t="shared" si="16"/>
        <v>9.2744443346472263</v>
      </c>
      <c r="AI19" s="36">
        <f>Calculos!$U$1</f>
        <v>8.6877272727272758E-3</v>
      </c>
      <c r="AJ19" s="36">
        <f t="shared" si="17"/>
        <v>-8.6877272727272758E-3</v>
      </c>
      <c r="AK19" s="35">
        <f>IF(ISNUMBER(Courier!R22),Courier!R22,0)</f>
        <v>5.7759997434914112E-3</v>
      </c>
      <c r="AL19" s="36">
        <f>IF(ISNUMBER(Laboratorio!R14),Laboratorio!R14,"")</f>
        <v>2E-3</v>
      </c>
      <c r="AM19" s="36">
        <f t="shared" si="18"/>
        <v>-3.7759997434914112E-3</v>
      </c>
      <c r="AN19" s="36">
        <f t="shared" si="19"/>
        <v>3.7759997434914112E-3</v>
      </c>
      <c r="AO19" s="237">
        <f t="shared" si="20"/>
        <v>188.79998717457056</v>
      </c>
      <c r="AP19" s="36">
        <f>Calculos!$V$1</f>
        <v>2.2111363636363643E-3</v>
      </c>
      <c r="AQ19" s="36">
        <f t="shared" si="21"/>
        <v>-2.2111363636363643E-3</v>
      </c>
      <c r="AR19" s="35">
        <f>IF(ISNUMBER(Courier!T22),Courier!T22,"")</f>
        <v>2.5311262607574463</v>
      </c>
      <c r="AS19" s="36">
        <f>IF(ISNUMBER(Laboratorio!T14),Laboratorio!T14,"")</f>
        <v>2.6190000000000002</v>
      </c>
      <c r="AT19" s="36">
        <f t="shared" si="22"/>
        <v>8.7873739242553928E-2</v>
      </c>
      <c r="AU19" s="36">
        <f t="shared" si="23"/>
        <v>3.35524013908186</v>
      </c>
      <c r="AV19" s="35" t="str">
        <f>IF(ISNUMBER(Courier!V21),Courier!V21,"")</f>
        <v/>
      </c>
      <c r="AW19" s="35">
        <f>IF(ISNUMBER(Courier!X22),Courier!X22,0)</f>
        <v>22.019834518432617</v>
      </c>
      <c r="AX19" s="36">
        <f>IF(ISNUMBER(Laboratorio!V14),Laboratorio!V14,"")</f>
        <v>23.789000000000001</v>
      </c>
      <c r="AY19" s="36">
        <f t="shared" si="24"/>
        <v>1.7691654815673843</v>
      </c>
      <c r="AZ19" s="36">
        <f t="shared" si="25"/>
        <v>1.7691654815673843</v>
      </c>
      <c r="BA19" s="36">
        <f t="shared" si="26"/>
        <v>7.4369056352405911</v>
      </c>
      <c r="BB19" s="36">
        <f>Calculos!$AH$1</f>
        <v>1.5575884772727273</v>
      </c>
      <c r="BC19" s="36">
        <f t="shared" si="27"/>
        <v>-1.5575884772727273</v>
      </c>
      <c r="BD19" s="35">
        <f>IF(ISNUMBER(Courier!Z22),Courier!Z22,0)</f>
        <v>0.6122165322303772</v>
      </c>
      <c r="BE19" s="36">
        <f>IF(ISNUMBER(Laboratorio!X14),Laboratorio!X14,"")</f>
        <v>0.746</v>
      </c>
      <c r="BF19" s="36">
        <f t="shared" si="28"/>
        <v>0.1337834677696228</v>
      </c>
      <c r="BG19" s="36">
        <f t="shared" si="29"/>
        <v>0.1337834677696228</v>
      </c>
      <c r="BH19" s="36">
        <f t="shared" si="30"/>
        <v>17.933440719788578</v>
      </c>
      <c r="BI19" s="36">
        <f>Calculos!$AI$1</f>
        <v>0.18375074999999999</v>
      </c>
      <c r="BJ19" s="36">
        <f t="shared" si="31"/>
        <v>-0.18375074999999999</v>
      </c>
      <c r="BK19" s="35">
        <f>IF(ISNUMBER(Courier!AB22),Courier!AB22,"")</f>
        <v>27.567352294921875</v>
      </c>
      <c r="BL19" s="36">
        <f>IF(ISNUMBER(Laboratorio!Z14),Laboratorio!Z14,"")</f>
        <v>30.48</v>
      </c>
      <c r="BM19" s="36">
        <f t="shared" si="32"/>
        <v>2.9126477050781254</v>
      </c>
      <c r="BN19" s="36">
        <f t="shared" si="33"/>
        <v>9.5559307909387314</v>
      </c>
      <c r="BO19" s="35">
        <f>IF(ISNUMBER(Courier!AD21),Courier!AD21,"")</f>
        <v>9.916830879708872</v>
      </c>
      <c r="BP19" s="35">
        <f>IF(ISNUMBER(Courier!AD22),Courier!AD22,"")</f>
        <v>0</v>
      </c>
      <c r="BQ19" s="36">
        <f>IF(ISNUMBER(Laboratorio!AB14),Laboratorio!AB14,"")</f>
        <v>10.34</v>
      </c>
      <c r="BR19" s="36" t="str">
        <f t="shared" si="35"/>
        <v/>
      </c>
      <c r="BS19" s="36" t="str">
        <f t="shared" si="34"/>
        <v xml:space="preserve"> </v>
      </c>
    </row>
    <row r="20" spans="1:71" ht="18" customHeight="1" x14ac:dyDescent="0.2">
      <c r="A20">
        <f>+A18+1</f>
        <v>9</v>
      </c>
      <c r="B20" s="7">
        <f>+B18+1</f>
        <v>46256</v>
      </c>
      <c r="C20" s="7" t="str">
        <f>DAY(B20) &amp; "-" &amp; MONTH(B20) &amp;"-" &amp; YEAR(B20)</f>
        <v>22-8-2026</v>
      </c>
      <c r="D20" s="35">
        <f>IF(ISNUMBER(Courier!E23),Courier!E23,0)</f>
        <v>0.50069797039031982</v>
      </c>
      <c r="E20" s="36">
        <f>IF(ISNUMBER(Laboratorio!E15),Laboratorio!E15,"")</f>
        <v>0.504</v>
      </c>
      <c r="F20" s="36">
        <f t="shared" si="0"/>
        <v>3.3020296096801793E-3</v>
      </c>
      <c r="G20" s="36">
        <f t="shared" si="1"/>
        <v>3.3020296096801793E-3</v>
      </c>
      <c r="H20" s="36">
        <f t="shared" si="2"/>
        <v>0.65516460509527363</v>
      </c>
      <c r="I20" s="36">
        <f>Calculos!$I$1</f>
        <v>4.990387499999998E-2</v>
      </c>
      <c r="J20" s="36">
        <f t="shared" si="3"/>
        <v>-4.990387499999998E-2</v>
      </c>
      <c r="K20" s="35">
        <f>IF(ISNUMBER(Courier!G23),Courier!G23,0)</f>
        <v>3.0464477837085724E-2</v>
      </c>
      <c r="L20" s="36">
        <f>IF(ISNUMBER(Laboratorio!G15),Laboratorio!G15,"")</f>
        <v>3.4000000000000002E-2</v>
      </c>
      <c r="M20" s="36">
        <f t="shared" si="4"/>
        <v>3.5355221629142786E-3</v>
      </c>
      <c r="N20" s="36">
        <f t="shared" si="5"/>
        <v>3.5355221629142786E-3</v>
      </c>
      <c r="O20" s="36">
        <f t="shared" si="6"/>
        <v>10.398594596806701</v>
      </c>
      <c r="P20" s="36">
        <f>Calculos!$J$1</f>
        <v>5.1807500000000022E-3</v>
      </c>
      <c r="Q20" s="36">
        <f t="shared" si="7"/>
        <v>-5.1807500000000022E-3</v>
      </c>
      <c r="R20" s="35">
        <f>IF(ISNUMBER(Courier!I23),Courier!I23,"")</f>
        <v>2.6430220603942871</v>
      </c>
      <c r="S20" s="36">
        <f>IF(ISNUMBER(Laboratorio!I15),Laboratorio!I15,"")</f>
        <v>2.7160000000000002</v>
      </c>
      <c r="T20" s="36">
        <f t="shared" si="8"/>
        <v>7.2977939605713082E-2</v>
      </c>
      <c r="U20" s="36">
        <f t="shared" si="9"/>
        <v>2.6869639030085817</v>
      </c>
      <c r="V20" s="35">
        <f>IF(ISNUMBER(Courier!K23),Courier!K23,"")</f>
        <v>7.6600434258580208E-3</v>
      </c>
      <c r="W20" s="36">
        <f>IF(ISNUMBER(Laboratorio!K15),Laboratorio!K15,"")</f>
        <v>6.0000000000000001E-3</v>
      </c>
      <c r="X20" s="36">
        <f t="shared" si="10"/>
        <v>-1.6600434258580207E-3</v>
      </c>
      <c r="Y20" s="36">
        <f t="shared" si="11"/>
        <v>27.667390430967011</v>
      </c>
      <c r="Z20" s="35" t="str">
        <f>IF(ISNUMBER(Courier!M23),Courier!M23,"")</f>
        <v/>
      </c>
      <c r="AA20" s="36" t="str">
        <f>IF(ISNUMBER(Laboratorio!M15),Laboratorio!M15,"")</f>
        <v/>
      </c>
      <c r="AB20" s="36" t="str">
        <f t="shared" si="12"/>
        <v xml:space="preserve"> </v>
      </c>
      <c r="AC20" s="36" t="str">
        <f t="shared" si="13"/>
        <v xml:space="preserve"> </v>
      </c>
      <c r="AD20" s="35">
        <f>IF(ISNUMBER(Courier!O23),Courier!O23,0)</f>
        <v>5.3573578596115112E-2</v>
      </c>
      <c r="AE20" s="36">
        <f>IF(ISNUMBER(Laboratorio!O15),Laboratorio!O15,"")</f>
        <v>3.4000000000000002E-2</v>
      </c>
      <c r="AF20" s="36">
        <f t="shared" si="14"/>
        <v>-1.957357859611511E-2</v>
      </c>
      <c r="AG20" s="36">
        <f t="shared" si="15"/>
        <v>1.957357859611511E-2</v>
      </c>
      <c r="AH20" s="36">
        <f t="shared" si="16"/>
        <v>57.569348812103257</v>
      </c>
      <c r="AI20" s="36">
        <f>Calculos!$U$1</f>
        <v>8.6877272727272758E-3</v>
      </c>
      <c r="AJ20" s="36">
        <f t="shared" si="17"/>
        <v>-8.6877272727272758E-3</v>
      </c>
      <c r="AK20" s="35">
        <f>IF(ISNUMBER(Courier!Q23),Courier!Q23,0)</f>
        <v>6.0481196269392967E-3</v>
      </c>
      <c r="AL20" s="36">
        <f>IF(ISNUMBER(Laboratorio!Q15),Laboratorio!Q15,"")</f>
        <v>4.0000000000000001E-3</v>
      </c>
      <c r="AM20" s="36">
        <f t="shared" si="18"/>
        <v>-2.0481196269392966E-3</v>
      </c>
      <c r="AN20" s="36">
        <f t="shared" si="19"/>
        <v>2.0481196269392966E-3</v>
      </c>
      <c r="AO20" s="237">
        <f t="shared" si="20"/>
        <v>51.202990673482418</v>
      </c>
      <c r="AP20" s="36">
        <f>Calculos!$V$1</f>
        <v>2.2111363636363643E-3</v>
      </c>
      <c r="AQ20" s="36">
        <f t="shared" si="21"/>
        <v>-2.2111363636363643E-3</v>
      </c>
      <c r="AR20" s="35">
        <f>IF(ISNUMBER(Courier!S23),Courier!S23,"")</f>
        <v>2.0745596885681152</v>
      </c>
      <c r="AS20" s="36">
        <f>IF(ISNUMBER(Laboratorio!S15),Laboratorio!S15,"")</f>
        <v>2.048</v>
      </c>
      <c r="AT20" s="36">
        <f t="shared" si="22"/>
        <v>-2.6559688568115192E-2</v>
      </c>
      <c r="AU20" s="36">
        <f t="shared" si="23"/>
        <v>1.2968597933649997</v>
      </c>
      <c r="AV20" s="35" t="str">
        <f>IF(ISNUMBER(Courier!U22),Courier!U22,"")</f>
        <v/>
      </c>
      <c r="AW20" s="35">
        <f>IF(ISNUMBER(Courier!W23),Courier!W23,0)</f>
        <v>22.019834518432617</v>
      </c>
      <c r="AX20" s="36">
        <f>IF(ISNUMBER(Laboratorio!U15),Laboratorio!U15,"")</f>
        <v>24.324000000000002</v>
      </c>
      <c r="AY20" s="36">
        <f t="shared" si="24"/>
        <v>2.3041654815673844</v>
      </c>
      <c r="AZ20" s="36">
        <f t="shared" si="25"/>
        <v>2.3041654815673844</v>
      </c>
      <c r="BA20" s="36">
        <f t="shared" si="26"/>
        <v>9.4728066171985876</v>
      </c>
      <c r="BB20" s="36">
        <f>Calculos!$AH$1</f>
        <v>1.5575884772727273</v>
      </c>
      <c r="BC20" s="36">
        <f t="shared" si="27"/>
        <v>-1.5575884772727273</v>
      </c>
      <c r="BD20" s="35">
        <f>IF(ISNUMBER(Courier!Y23),Courier!Y23,0)</f>
        <v>0.6122165322303772</v>
      </c>
      <c r="BE20" s="36">
        <f>IF(ISNUMBER(Laboratorio!W15),Laboratorio!W15,"")</f>
        <v>1.4670000000000001</v>
      </c>
      <c r="BF20" s="36">
        <f t="shared" si="28"/>
        <v>0.85478346776962288</v>
      </c>
      <c r="BG20" s="36">
        <f t="shared" si="29"/>
        <v>0.85478346776962288</v>
      </c>
      <c r="BH20" s="36">
        <f t="shared" si="30"/>
        <v>58.267448382387379</v>
      </c>
      <c r="BI20" s="36">
        <f>Calculos!$AI$1</f>
        <v>0.18375074999999999</v>
      </c>
      <c r="BJ20" s="36">
        <f t="shared" si="31"/>
        <v>-0.18375074999999999</v>
      </c>
      <c r="BK20" s="35">
        <f>IF(ISNUMBER(Courier!AA23),Courier!AA23,"")</f>
        <v>27.567352294921875</v>
      </c>
      <c r="BL20" s="36">
        <f>IF(ISNUMBER(Laboratorio!Y15),Laboratorio!Y15,"")</f>
        <v>27.7</v>
      </c>
      <c r="BM20" s="36">
        <f t="shared" si="32"/>
        <v>0.13264770507812429</v>
      </c>
      <c r="BN20" s="36">
        <f t="shared" si="33"/>
        <v>0.47887258150947398</v>
      </c>
      <c r="BO20" s="35">
        <f>IF(ISNUMBER(Courier!AC22),Courier!AC22,"")</f>
        <v>5.5740725208831039</v>
      </c>
      <c r="BP20" s="35">
        <f>IF(ISNUMBER(Courier!AC23),Courier!AC23,"")</f>
        <v>1.1908059572886487</v>
      </c>
      <c r="BQ20" s="36">
        <f>IF(ISNUMBER(Laboratorio!AA15),Laboratorio!AA15,"")</f>
        <v>11.76</v>
      </c>
      <c r="BR20" s="36" t="str">
        <f t="shared" si="35"/>
        <v/>
      </c>
      <c r="BS20" s="36" t="str">
        <f t="shared" si="34"/>
        <v xml:space="preserve"> </v>
      </c>
    </row>
    <row r="21" spans="1:71" ht="18" customHeight="1" x14ac:dyDescent="0.2">
      <c r="C21" s="38" t="str">
        <f>DAY(B20) &amp; "-" &amp; MONTH(B20) &amp;"-" &amp; YEAR(B20)</f>
        <v>22-8-2026</v>
      </c>
      <c r="D21" s="35">
        <f>IF(ISNUMBER(Courier!F23),Courier!F23,0)</f>
        <v>0.50069797039031982</v>
      </c>
      <c r="E21" s="36">
        <f>IF(ISNUMBER(Laboratorio!F15),Laboratorio!F15,"")</f>
        <v>0.55000000000000004</v>
      </c>
      <c r="F21" s="36">
        <f t="shared" si="0"/>
        <v>4.930202960968022E-2</v>
      </c>
      <c r="G21" s="36">
        <f t="shared" si="1"/>
        <v>4.930202960968022E-2</v>
      </c>
      <c r="H21" s="36">
        <f t="shared" si="2"/>
        <v>8.9640053835782201</v>
      </c>
      <c r="I21" s="36">
        <f>Calculos!$I$1</f>
        <v>4.990387499999998E-2</v>
      </c>
      <c r="J21" s="36">
        <f t="shared" si="3"/>
        <v>-4.990387499999998E-2</v>
      </c>
      <c r="K21" s="35">
        <f>IF(ISNUMBER(Courier!H23),Courier!H23,0)</f>
        <v>3.0464477837085724E-2</v>
      </c>
      <c r="L21" s="36">
        <f>IF(ISNUMBER(Laboratorio!H15),Laboratorio!H15,"")</f>
        <v>3.7999999999999999E-2</v>
      </c>
      <c r="M21" s="36">
        <f t="shared" si="4"/>
        <v>7.5355221629142752E-3</v>
      </c>
      <c r="N21" s="36">
        <f t="shared" si="5"/>
        <v>7.5355221629142752E-3</v>
      </c>
      <c r="O21" s="36">
        <f t="shared" si="6"/>
        <v>19.830321481353355</v>
      </c>
      <c r="P21" s="36">
        <f>Calculos!$J$1</f>
        <v>5.1807500000000022E-3</v>
      </c>
      <c r="Q21" s="36">
        <f t="shared" si="7"/>
        <v>-5.1807500000000022E-3</v>
      </c>
      <c r="R21" s="35">
        <f>IF(ISNUMBER(Courier!J23),Courier!J23,"")</f>
        <v>2.6430220603942871</v>
      </c>
      <c r="S21" s="36">
        <f>IF(ISNUMBER(Laboratorio!J15),Laboratorio!J15,"")</f>
        <v>2.1549999999999998</v>
      </c>
      <c r="T21" s="36">
        <f t="shared" si="8"/>
        <v>-0.4880220603942873</v>
      </c>
      <c r="U21" s="36">
        <f t="shared" si="9"/>
        <v>22.646035285117744</v>
      </c>
      <c r="V21" s="35">
        <f>IF(ISNUMBER(Courier!L23),Courier!L23,"")</f>
        <v>7.6600434258580208E-3</v>
      </c>
      <c r="W21" s="36">
        <f>IF(ISNUMBER(Laboratorio!L15),Laboratorio!L15,"")</f>
        <v>5.0000000000000001E-3</v>
      </c>
      <c r="X21" s="36">
        <f t="shared" si="10"/>
        <v>-2.6600434258580207E-3</v>
      </c>
      <c r="Y21" s="36">
        <f t="shared" si="11"/>
        <v>53.200868517160416</v>
      </c>
      <c r="Z21" s="35" t="str">
        <f>IF(ISNUMBER(Courier!N23),Courier!N23,"")</f>
        <v/>
      </c>
      <c r="AA21" s="36" t="str">
        <f>IF(ISNUMBER(Laboratorio!N15),Laboratorio!N15,"")</f>
        <v/>
      </c>
      <c r="AB21" s="36" t="str">
        <f t="shared" si="12"/>
        <v xml:space="preserve"> </v>
      </c>
      <c r="AC21" s="36" t="str">
        <f t="shared" si="13"/>
        <v xml:space="preserve"> </v>
      </c>
      <c r="AD21" s="35">
        <f>IF(ISNUMBER(Courier!P23),Courier!P23,0)</f>
        <v>5.3573578596115112E-2</v>
      </c>
      <c r="AE21" s="36">
        <f>+IF(ISNUMBER(Laboratorio!P15),Laboratorio!P15,"")</f>
        <v>4.1000000000000002E-2</v>
      </c>
      <c r="AF21" s="36">
        <f t="shared" si="14"/>
        <v>-1.2573578596115111E-2</v>
      </c>
      <c r="AG21" s="36">
        <f t="shared" si="15"/>
        <v>1.2573578596115111E-2</v>
      </c>
      <c r="AH21" s="36">
        <f t="shared" si="16"/>
        <v>30.66726486857344</v>
      </c>
      <c r="AI21" s="36">
        <f>Calculos!$U$1</f>
        <v>8.6877272727272758E-3</v>
      </c>
      <c r="AJ21" s="36">
        <f t="shared" si="17"/>
        <v>-8.6877272727272758E-3</v>
      </c>
      <c r="AK21" s="35">
        <f>IF(ISNUMBER(Courier!R23),Courier!R23,0)</f>
        <v>6.0481196269392967E-3</v>
      </c>
      <c r="AL21" s="36">
        <f>IF(ISNUMBER(Laboratorio!R15),Laboratorio!R15,"")</f>
        <v>4.0000000000000001E-3</v>
      </c>
      <c r="AM21" s="36">
        <f t="shared" si="18"/>
        <v>-2.0481196269392966E-3</v>
      </c>
      <c r="AN21" s="36">
        <f t="shared" si="19"/>
        <v>2.0481196269392966E-3</v>
      </c>
      <c r="AO21" s="237">
        <f t="shared" si="20"/>
        <v>51.202990673482418</v>
      </c>
      <c r="AP21" s="36">
        <f>Calculos!$V$1</f>
        <v>2.2111363636363643E-3</v>
      </c>
      <c r="AQ21" s="36">
        <f t="shared" si="21"/>
        <v>-2.2111363636363643E-3</v>
      </c>
      <c r="AR21" s="35">
        <f>IF(ISNUMBER(Courier!T23),Courier!T23,"")</f>
        <v>2.0745596885681152</v>
      </c>
      <c r="AS21" s="36">
        <f>IF(ISNUMBER(Laboratorio!T15),Laboratorio!T15,"")</f>
        <v>1.5549999999999999</v>
      </c>
      <c r="AT21" s="36">
        <f t="shared" si="22"/>
        <v>-0.5195596885681153</v>
      </c>
      <c r="AU21" s="36">
        <f t="shared" si="23"/>
        <v>33.412198621743748</v>
      </c>
      <c r="AV21" s="35" t="str">
        <f>IF(ISNUMBER(Courier!V22),Courier!V22,"")</f>
        <v/>
      </c>
      <c r="AW21" s="35">
        <f>IF(ISNUMBER(Courier!X23),Courier!X23,0)</f>
        <v>22.019834518432617</v>
      </c>
      <c r="AX21" s="36">
        <f>IF(ISNUMBER(Laboratorio!V15),Laboratorio!V15,"")</f>
        <v>24.975000000000001</v>
      </c>
      <c r="AY21" s="36">
        <f t="shared" si="24"/>
        <v>2.9551654815673842</v>
      </c>
      <c r="AZ21" s="36">
        <f t="shared" si="25"/>
        <v>2.9551654815673842</v>
      </c>
      <c r="BA21" s="36">
        <f t="shared" si="26"/>
        <v>11.832494420690226</v>
      </c>
      <c r="BB21" s="36">
        <f>Calculos!$AH$1</f>
        <v>1.5575884772727273</v>
      </c>
      <c r="BC21" s="36">
        <f t="shared" si="27"/>
        <v>-1.5575884772727273</v>
      </c>
      <c r="BD21" s="35">
        <f>IF(ISNUMBER(Courier!Z23),Courier!Z23,0)</f>
        <v>0.6122165322303772</v>
      </c>
      <c r="BE21" s="36">
        <f>IF(ISNUMBER(Laboratorio!X15),Laboratorio!X15,"")</f>
        <v>1.4730000000000001</v>
      </c>
      <c r="BF21" s="36">
        <f t="shared" si="28"/>
        <v>0.86078346776962289</v>
      </c>
      <c r="BG21" s="36">
        <f t="shared" si="29"/>
        <v>0.86078346776962289</v>
      </c>
      <c r="BH21" s="36">
        <f t="shared" si="30"/>
        <v>58.437438409343031</v>
      </c>
      <c r="BI21" s="36">
        <f>Calculos!$AI$1</f>
        <v>0.18375074999999999</v>
      </c>
      <c r="BJ21" s="36">
        <f t="shared" si="31"/>
        <v>-0.18375074999999999</v>
      </c>
      <c r="BK21" s="35">
        <f>IF(ISNUMBER(Courier!AB23),Courier!AB23,"")</f>
        <v>27.567352294921875</v>
      </c>
      <c r="BL21" s="36">
        <f>IF(ISNUMBER(Laboratorio!Z15),Laboratorio!Z15,"")</f>
        <v>27.31</v>
      </c>
      <c r="BM21" s="36">
        <f t="shared" si="32"/>
        <v>-0.25735229492187628</v>
      </c>
      <c r="BN21" s="36">
        <f t="shared" si="33"/>
        <v>0.94233722051217972</v>
      </c>
      <c r="BO21" s="35">
        <f>IF(ISNUMBER(Courier!AD22),Courier!AD22,"")</f>
        <v>0</v>
      </c>
      <c r="BP21" s="35">
        <f>IF(ISNUMBER(Courier!AD23),Courier!AD23,"")</f>
        <v>10.428823662815637</v>
      </c>
      <c r="BQ21" s="36">
        <f>IF(ISNUMBER(Laboratorio!AB15),Laboratorio!AB15,"")</f>
        <v>11.1</v>
      </c>
      <c r="BR21" s="36">
        <f t="shared" si="35"/>
        <v>0.67117633718436309</v>
      </c>
      <c r="BS21" s="36">
        <f t="shared" si="34"/>
        <v>6.0466336683275959</v>
      </c>
    </row>
    <row r="22" spans="1:71" ht="18" customHeight="1" x14ac:dyDescent="0.2">
      <c r="A22">
        <f>+A20+1</f>
        <v>10</v>
      </c>
      <c r="B22" s="7">
        <f>+B20+1</f>
        <v>46257</v>
      </c>
      <c r="C22" s="7" t="str">
        <f>DAY(B22) &amp; "-" &amp; MONTH(B22) &amp;"-" &amp; YEAR(B22)</f>
        <v>23-8-2026</v>
      </c>
      <c r="D22" s="35">
        <f>IF(ISNUMBER(Courier!E24),Courier!E24,0)</f>
        <v>0.50124430656433105</v>
      </c>
      <c r="E22" s="36">
        <f>IF(ISNUMBER(Laboratorio!E16),Laboratorio!E16,"")</f>
        <v>0.52200000000000002</v>
      </c>
      <c r="F22" s="36">
        <f t="shared" si="0"/>
        <v>2.0755693435668965E-2</v>
      </c>
      <c r="G22" s="36">
        <f t="shared" si="1"/>
        <v>2.0755693435668965E-2</v>
      </c>
      <c r="H22" s="36">
        <f t="shared" si="2"/>
        <v>3.9761864819289201</v>
      </c>
      <c r="I22" s="36">
        <f>Calculos!$I$1</f>
        <v>4.990387499999998E-2</v>
      </c>
      <c r="J22" s="36">
        <f t="shared" si="3"/>
        <v>-4.990387499999998E-2</v>
      </c>
      <c r="K22" s="35">
        <f>IF(ISNUMBER(Courier!G24),Courier!G24,0)</f>
        <v>3.4926913678646088E-2</v>
      </c>
      <c r="L22" s="36">
        <f>IF(ISNUMBER(Laboratorio!G16),Laboratorio!G16,"")</f>
        <v>4.2999999999999997E-2</v>
      </c>
      <c r="M22" s="36">
        <f t="shared" si="4"/>
        <v>8.0730863213539089E-3</v>
      </c>
      <c r="N22" s="36">
        <f t="shared" si="5"/>
        <v>8.0730863213539089E-3</v>
      </c>
      <c r="O22" s="36">
        <f t="shared" si="6"/>
        <v>18.774619351985837</v>
      </c>
      <c r="P22" s="36">
        <f>Calculos!$J$1</f>
        <v>5.1807500000000022E-3</v>
      </c>
      <c r="Q22" s="36">
        <f t="shared" si="7"/>
        <v>-5.1807500000000022E-3</v>
      </c>
      <c r="R22" s="35">
        <f>IF(ISNUMBER(Courier!I24),Courier!I24,"")</f>
        <v>2.3879258632659912</v>
      </c>
      <c r="S22" s="36">
        <f>IF(ISNUMBER(Laboratorio!I16),Laboratorio!I16,"")</f>
        <v>2.4169999999999998</v>
      </c>
      <c r="T22" s="36">
        <f t="shared" si="8"/>
        <v>2.9074136734008604E-2</v>
      </c>
      <c r="U22" s="36">
        <f t="shared" si="9"/>
        <v>1.2029018094335377</v>
      </c>
      <c r="V22" s="35">
        <f>IF(ISNUMBER(Courier!K24),Courier!K24,"")</f>
        <v>6.2200790271162987E-3</v>
      </c>
      <c r="W22" s="36">
        <f>IF(ISNUMBER(Laboratorio!K16),Laboratorio!K16,"")</f>
        <v>5.0000000000000001E-3</v>
      </c>
      <c r="X22" s="36">
        <f t="shared" si="10"/>
        <v>-1.2200790271162986E-3</v>
      </c>
      <c r="Y22" s="36">
        <f t="shared" si="11"/>
        <v>24.40158054232597</v>
      </c>
      <c r="Z22" s="35" t="str">
        <f>IF(ISNUMBER(Courier!M24),Courier!M24,"")</f>
        <v/>
      </c>
      <c r="AA22" s="36" t="str">
        <f>IF(ISNUMBER(Laboratorio!M16),Laboratorio!M16,"")</f>
        <v/>
      </c>
      <c r="AB22" s="36" t="str">
        <f t="shared" si="12"/>
        <v xml:space="preserve"> </v>
      </c>
      <c r="AC22" s="36" t="str">
        <f t="shared" si="13"/>
        <v xml:space="preserve"> </v>
      </c>
      <c r="AD22" s="35">
        <f>IF(ISNUMBER(Courier!O24),Courier!O24,0)</f>
        <v>5.818692222237587E-2</v>
      </c>
      <c r="AE22" s="36">
        <f>IF(ISNUMBER(Laboratorio!O16),Laboratorio!O16,"")</f>
        <v>3.6999999999999998E-2</v>
      </c>
      <c r="AF22" s="36">
        <f t="shared" si="14"/>
        <v>-2.1186922222375872E-2</v>
      </c>
      <c r="AG22" s="36">
        <f t="shared" si="15"/>
        <v>2.1186922222375872E-2</v>
      </c>
      <c r="AH22" s="36">
        <f t="shared" si="16"/>
        <v>57.26195195236722</v>
      </c>
      <c r="AI22" s="36">
        <f>Calculos!$U$1</f>
        <v>8.6877272727272758E-3</v>
      </c>
      <c r="AJ22" s="36">
        <f t="shared" si="17"/>
        <v>-8.6877272727272758E-3</v>
      </c>
      <c r="AK22" s="35">
        <f>IF(ISNUMBER(Courier!Q24),Courier!Q24,0)</f>
        <v>6.0471352189779282E-3</v>
      </c>
      <c r="AL22" s="36">
        <f>IF(ISNUMBER(Laboratorio!Q16),Laboratorio!Q16,"")</f>
        <v>7.0000000000000001E-3</v>
      </c>
      <c r="AM22" s="36">
        <f t="shared" si="18"/>
        <v>9.5286478102207198E-4</v>
      </c>
      <c r="AN22" s="36">
        <f t="shared" si="19"/>
        <v>9.5286478102207198E-4</v>
      </c>
      <c r="AO22" s="237">
        <f t="shared" si="20"/>
        <v>13.612354014601028</v>
      </c>
      <c r="AP22" s="36">
        <f>Calculos!$V$1</f>
        <v>2.2111363636363643E-3</v>
      </c>
      <c r="AQ22" s="36">
        <f t="shared" si="21"/>
        <v>-2.2111363636363643E-3</v>
      </c>
      <c r="AR22" s="35">
        <f>IF(ISNUMBER(Courier!S24),Courier!S24,"")</f>
        <v>1.5710897445678711</v>
      </c>
      <c r="AS22" s="36">
        <f>IF(ISNUMBER(Laboratorio!S16),Laboratorio!S16,"")</f>
        <v>1.82</v>
      </c>
      <c r="AT22" s="36">
        <f t="shared" si="22"/>
        <v>0.24891025543212897</v>
      </c>
      <c r="AU22" s="36">
        <f t="shared" si="23"/>
        <v>13.676387661105988</v>
      </c>
      <c r="AV22" s="35" t="str">
        <f>IF(ISNUMBER(Courier!U23),Courier!U23,"")</f>
        <v/>
      </c>
      <c r="AW22" s="35">
        <f>IF(ISNUMBER(Courier!W24),Courier!W24,0)</f>
        <v>23.598623275756836</v>
      </c>
      <c r="AX22" s="36">
        <f>IF(ISNUMBER(Laboratorio!U16),Laboratorio!U16,"")</f>
        <v>22.885000000000002</v>
      </c>
      <c r="AY22" s="36">
        <f t="shared" si="24"/>
        <v>-0.71362327575683437</v>
      </c>
      <c r="AZ22" s="36">
        <f t="shared" si="25"/>
        <v>0.71362327575683437</v>
      </c>
      <c r="BA22" s="36">
        <f t="shared" si="26"/>
        <v>3.1183014016029462</v>
      </c>
      <c r="BB22" s="36">
        <f>Calculos!$AH$1</f>
        <v>1.5575884772727273</v>
      </c>
      <c r="BC22" s="36">
        <f t="shared" si="27"/>
        <v>-1.5575884772727273</v>
      </c>
      <c r="BD22" s="35">
        <f>IF(ISNUMBER(Courier!Y24),Courier!Y24,0)</f>
        <v>1.9800312519073486</v>
      </c>
      <c r="BE22" s="36">
        <f>IF(ISNUMBER(Laboratorio!W16),Laboratorio!W16,"")</f>
        <v>2.68</v>
      </c>
      <c r="BF22" s="36">
        <f t="shared" si="28"/>
        <v>0.69996874809265153</v>
      </c>
      <c r="BG22" s="36">
        <f t="shared" si="29"/>
        <v>0.69996874809265153</v>
      </c>
      <c r="BH22" s="36">
        <f t="shared" si="30"/>
        <v>26.118236869128786</v>
      </c>
      <c r="BI22" s="36">
        <f>Calculos!$AI$1</f>
        <v>0.18375074999999999</v>
      </c>
      <c r="BJ22" s="36">
        <f t="shared" si="31"/>
        <v>-0.18375074999999999</v>
      </c>
      <c r="BK22" s="35">
        <f>IF(ISNUMBER(Courier!AA24),Courier!AA24,"")</f>
        <v>27.449356079101563</v>
      </c>
      <c r="BL22" s="36">
        <f>IF(ISNUMBER(Laboratorio!Y16),Laboratorio!Y16,"")</f>
        <v>28.91</v>
      </c>
      <c r="BM22" s="36">
        <f t="shared" si="32"/>
        <v>1.4606439208984376</v>
      </c>
      <c r="BN22" s="36">
        <f t="shared" si="33"/>
        <v>5.0523829847749484</v>
      </c>
      <c r="BO22" s="35">
        <f>IF(ISNUMBER(Courier!AC23),Courier!AC23,"")</f>
        <v>1.1908059572886487</v>
      </c>
      <c r="BP22" s="35">
        <f>IF(ISNUMBER(Courier!AC24),Courier!AC24,"")</f>
        <v>10.685958854447135</v>
      </c>
      <c r="BQ22" s="36">
        <f>IF(ISNUMBER(Laboratorio!AA16),Laboratorio!AA16,"")</f>
        <v>10.34</v>
      </c>
      <c r="BR22" s="36">
        <f t="shared" si="35"/>
        <v>-0.34595885444713481</v>
      </c>
      <c r="BS22" s="36">
        <f t="shared" si="34"/>
        <v>3.3458303138020775</v>
      </c>
    </row>
    <row r="23" spans="1:71" ht="17.25" customHeight="1" x14ac:dyDescent="0.2">
      <c r="C23" s="38" t="str">
        <f>DAY(B22) &amp; "-" &amp; MONTH(B22) &amp;"-" &amp; YEAR(B22)</f>
        <v>23-8-2026</v>
      </c>
      <c r="D23" s="35">
        <f>IF(ISNUMBER(Courier!F24),Courier!F24,0)</f>
        <v>0.54401510953903198</v>
      </c>
      <c r="E23" s="36">
        <f>IF(ISNUMBER(Laboratorio!F16),Laboratorio!F16,"")</f>
        <v>0.624</v>
      </c>
      <c r="F23" s="36">
        <f t="shared" si="0"/>
        <v>7.9984890460968017E-2</v>
      </c>
      <c r="G23" s="36">
        <f t="shared" si="1"/>
        <v>7.9984890460968017E-2</v>
      </c>
      <c r="H23" s="36">
        <f t="shared" si="2"/>
        <v>12.818091420026926</v>
      </c>
      <c r="I23" s="36">
        <f>Calculos!$I$1</f>
        <v>4.990387499999998E-2</v>
      </c>
      <c r="J23" s="36">
        <f t="shared" si="3"/>
        <v>-4.990387499999998E-2</v>
      </c>
      <c r="K23" s="35">
        <f>IF(ISNUMBER(Courier!H24),Courier!H24,0)</f>
        <v>3.6339662969112396E-2</v>
      </c>
      <c r="L23" s="36">
        <f>IF(ISNUMBER(Laboratorio!H16),Laboratorio!H16,"")</f>
        <v>4.7E-2</v>
      </c>
      <c r="M23" s="36">
        <f t="shared" si="4"/>
        <v>1.0660337030887604E-2</v>
      </c>
      <c r="N23" s="36">
        <f t="shared" si="5"/>
        <v>1.0660337030887604E-2</v>
      </c>
      <c r="O23" s="36">
        <f t="shared" si="6"/>
        <v>22.681568150824688</v>
      </c>
      <c r="P23" s="36">
        <f>Calculos!$J$1</f>
        <v>5.1807500000000022E-3</v>
      </c>
      <c r="Q23" s="36">
        <f t="shared" si="7"/>
        <v>-5.1807500000000022E-3</v>
      </c>
      <c r="R23" s="35">
        <f>IF(ISNUMBER(Courier!J24),Courier!J24,"")</f>
        <v>2.330700159072876</v>
      </c>
      <c r="S23" s="36">
        <f>IF(ISNUMBER(Laboratorio!J16),Laboratorio!J16,"")</f>
        <v>2.3109999999999999</v>
      </c>
      <c r="T23" s="36">
        <f t="shared" si="8"/>
        <v>-1.9700159072876033E-2</v>
      </c>
      <c r="U23" s="36">
        <f t="shared" si="9"/>
        <v>0.85245171237023076</v>
      </c>
      <c r="V23" s="35">
        <f>IF(ISNUMBER(Courier!L24),Courier!L24,"")</f>
        <v>6.4344317652285099E-3</v>
      </c>
      <c r="W23" s="36">
        <f>IF(ISNUMBER(Laboratorio!L16),Laboratorio!L16,"")</f>
        <v>5.0000000000000001E-3</v>
      </c>
      <c r="X23" s="36">
        <f t="shared" si="10"/>
        <v>-1.4344317652285098E-3</v>
      </c>
      <c r="Y23" s="36">
        <f t="shared" si="11"/>
        <v>28.688635304570198</v>
      </c>
      <c r="Z23" s="35" t="str">
        <f>IF(ISNUMBER(Courier!N24),Courier!N24,"")</f>
        <v/>
      </c>
      <c r="AA23" s="36" t="str">
        <f>IF(ISNUMBER(Laboratorio!N16),Laboratorio!N16,"")</f>
        <v/>
      </c>
      <c r="AB23" s="36" t="str">
        <f t="shared" si="12"/>
        <v xml:space="preserve"> </v>
      </c>
      <c r="AC23" s="36" t="str">
        <f t="shared" si="13"/>
        <v xml:space="preserve"> </v>
      </c>
      <c r="AD23" s="35">
        <f>IF(ISNUMBER(Courier!P24),Courier!P24,0)</f>
        <v>5.7170253247022629E-2</v>
      </c>
      <c r="AE23" s="36">
        <f>+IF(ISNUMBER(Laboratorio!P16),Laboratorio!P16,"")</f>
        <v>4.7E-2</v>
      </c>
      <c r="AF23" s="36">
        <f t="shared" si="14"/>
        <v>-1.0170253247022629E-2</v>
      </c>
      <c r="AG23" s="36">
        <f t="shared" si="15"/>
        <v>1.0170253247022629E-2</v>
      </c>
      <c r="AH23" s="36">
        <f t="shared" si="16"/>
        <v>21.638836695792826</v>
      </c>
      <c r="AI23" s="36">
        <f>Calculos!$U$1</f>
        <v>8.6877272727272758E-3</v>
      </c>
      <c r="AJ23" s="36">
        <f t="shared" si="17"/>
        <v>-8.6877272727272758E-3</v>
      </c>
      <c r="AK23" s="35">
        <f>IF(ISNUMBER(Courier!R24),Courier!R24,0)</f>
        <v>6.0328668914735317E-3</v>
      </c>
      <c r="AL23" s="36">
        <f>IF(ISNUMBER(Laboratorio!R16),Laboratorio!R16,"")</f>
        <v>7.0000000000000001E-3</v>
      </c>
      <c r="AM23" s="36">
        <f t="shared" si="18"/>
        <v>9.6713310852646842E-4</v>
      </c>
      <c r="AN23" s="36">
        <f t="shared" si="19"/>
        <v>9.6713310852646842E-4</v>
      </c>
      <c r="AO23" s="237">
        <f t="shared" si="20"/>
        <v>13.816187264663835</v>
      </c>
      <c r="AP23" s="36">
        <f>Calculos!$V$1</f>
        <v>2.2111363636363643E-3</v>
      </c>
      <c r="AQ23" s="36">
        <f t="shared" si="21"/>
        <v>-2.2111363636363643E-3</v>
      </c>
      <c r="AR23" s="35">
        <f>IF(ISNUMBER(Courier!T24),Courier!T24,"")</f>
        <v>1.5980982780456543</v>
      </c>
      <c r="AS23" s="36">
        <f>IF(ISNUMBER(Laboratorio!T16),Laboratorio!T16,"")</f>
        <v>1.5509999999999999</v>
      </c>
      <c r="AT23" s="36">
        <f t="shared" si="22"/>
        <v>-4.7098278045654363E-2</v>
      </c>
      <c r="AU23" s="36">
        <f t="shared" si="23"/>
        <v>3.0366394613574701</v>
      </c>
      <c r="AV23" s="35" t="str">
        <f>IF(ISNUMBER(Courier!V23),Courier!V23,"")</f>
        <v/>
      </c>
      <c r="AW23" s="35">
        <f>IF(ISNUMBER(Courier!X24),Courier!X24,0)</f>
        <v>23.708185195922852</v>
      </c>
      <c r="AX23" s="36">
        <f>IF(ISNUMBER(Laboratorio!V16),Laboratorio!V16,"")</f>
        <v>24.776</v>
      </c>
      <c r="AY23" s="36">
        <f t="shared" si="24"/>
        <v>1.0678148040771482</v>
      </c>
      <c r="AZ23" s="36">
        <f t="shared" si="25"/>
        <v>1.0678148040771482</v>
      </c>
      <c r="BA23" s="36">
        <f t="shared" si="26"/>
        <v>4.3098757026039243</v>
      </c>
      <c r="BB23" s="36">
        <f>Calculos!$AH$1</f>
        <v>1.5575884772727273</v>
      </c>
      <c r="BC23" s="36">
        <f t="shared" si="27"/>
        <v>-1.5575884772727273</v>
      </c>
      <c r="BD23" s="35">
        <f>IF(ISNUMBER(Courier!Z24),Courier!Z24,0)</f>
        <v>1.8469420671463013</v>
      </c>
      <c r="BE23" s="36">
        <f>IF(ISNUMBER(Laboratorio!X16),Laboratorio!X16,"")</f>
        <v>1.6240000000000001</v>
      </c>
      <c r="BF23" s="36">
        <f t="shared" si="28"/>
        <v>-0.22294206714630116</v>
      </c>
      <c r="BG23" s="36">
        <f t="shared" si="29"/>
        <v>0.22294206714630116</v>
      </c>
      <c r="BH23" s="36">
        <f t="shared" si="30"/>
        <v>13.727959799649087</v>
      </c>
      <c r="BI23" s="36">
        <f>Calculos!$AI$1</f>
        <v>0.18375074999999999</v>
      </c>
      <c r="BJ23" s="36">
        <f t="shared" si="31"/>
        <v>-0.18375074999999999</v>
      </c>
      <c r="BK23" s="35">
        <f>IF(ISNUMBER(Courier!AB24),Courier!AB24,"")</f>
        <v>27.538236618041992</v>
      </c>
      <c r="BL23" s="36">
        <f>IF(ISNUMBER(Laboratorio!Z16),Laboratorio!Z16,"")</f>
        <v>29.53</v>
      </c>
      <c r="BM23" s="36">
        <f t="shared" si="32"/>
        <v>1.9917633819580089</v>
      </c>
      <c r="BN23" s="36">
        <f t="shared" si="33"/>
        <v>6.7448810767287801</v>
      </c>
      <c r="BO23" s="35">
        <f>IF(ISNUMBER(Courier!AD23),Courier!AD23,"")</f>
        <v>10.428823662815637</v>
      </c>
      <c r="BP23" s="35">
        <f>IF(ISNUMBER(Courier!AD24),Courier!AD24,"")</f>
        <v>10.905851624451977</v>
      </c>
      <c r="BQ23" s="36">
        <f>IF(ISNUMBER(Laboratorio!AB16),Laboratorio!AB16,"")</f>
        <v>11.4</v>
      </c>
      <c r="BR23" s="36">
        <f t="shared" si="35"/>
        <v>0.49414837554802382</v>
      </c>
      <c r="BS23" s="36">
        <f t="shared" si="34"/>
        <v>4.3346348732282793</v>
      </c>
    </row>
    <row r="24" spans="1:71" ht="18" customHeight="1" x14ac:dyDescent="0.2">
      <c r="A24">
        <f>+A22+1</f>
        <v>11</v>
      </c>
      <c r="B24" s="7">
        <f>+B22+1</f>
        <v>46258</v>
      </c>
      <c r="C24" s="7" t="str">
        <f>DAY(B24) &amp; "-" &amp; MONTH(B24) &amp;"-" &amp; YEAR(B24)</f>
        <v>24-8-2026</v>
      </c>
      <c r="D24" s="35">
        <f>IF(ISNUMBER(Courier!E25),Courier!E25,0)</f>
        <v>0.55490684509277344</v>
      </c>
      <c r="E24" s="36">
        <f>IF(ISNUMBER(Laboratorio!E17),Laboratorio!E17,"")</f>
        <v>0.58299999999999996</v>
      </c>
      <c r="F24" s="36">
        <f t="shared" si="0"/>
        <v>2.8093154907226525E-2</v>
      </c>
      <c r="G24" s="36">
        <f t="shared" si="1"/>
        <v>2.8093154907226525E-2</v>
      </c>
      <c r="H24" s="36">
        <f t="shared" si="2"/>
        <v>4.8187229686494897</v>
      </c>
      <c r="I24" s="36">
        <f>Calculos!$I$1</f>
        <v>4.990387499999998E-2</v>
      </c>
      <c r="J24" s="36">
        <f t="shared" si="3"/>
        <v>-4.990387499999998E-2</v>
      </c>
      <c r="K24" s="35">
        <f>IF(ISNUMBER(Courier!G25),Courier!G25,0)</f>
        <v>5.6744497269392014E-2</v>
      </c>
      <c r="L24" s="36">
        <f>IF(ISNUMBER(Laboratorio!G17),Laboratorio!G17,"")</f>
        <v>6.7000000000000004E-2</v>
      </c>
      <c r="M24" s="36">
        <f t="shared" si="4"/>
        <v>1.025550273060799E-2</v>
      </c>
      <c r="N24" s="36">
        <f t="shared" si="5"/>
        <v>1.025550273060799E-2</v>
      </c>
      <c r="O24" s="36">
        <f t="shared" si="6"/>
        <v>15.306720493444761</v>
      </c>
      <c r="P24" s="36">
        <f>Calculos!$J$1</f>
        <v>5.1807500000000022E-3</v>
      </c>
      <c r="Q24" s="36">
        <f t="shared" si="7"/>
        <v>-5.1807500000000022E-3</v>
      </c>
      <c r="R24" s="35">
        <f>IF(ISNUMBER(Courier!I25),Courier!I25,"")</f>
        <v>2.0357098579406738</v>
      </c>
      <c r="S24" s="36">
        <f>IF(ISNUMBER(Laboratorio!I17),Laboratorio!I17,"")</f>
        <v>2.177</v>
      </c>
      <c r="T24" s="36">
        <f t="shared" si="8"/>
        <v>0.14129014205932622</v>
      </c>
      <c r="U24" s="36">
        <f t="shared" si="9"/>
        <v>6.4901305493489296</v>
      </c>
      <c r="V24" s="35">
        <f>IF(ISNUMBER(Courier!K25),Courier!K25,"")</f>
        <v>6.1346180737018585E-3</v>
      </c>
      <c r="W24" s="36">
        <f>IF(ISNUMBER(Laboratorio!K17),Laboratorio!K17,"")</f>
        <v>5.0000000000000001E-3</v>
      </c>
      <c r="X24" s="36">
        <f t="shared" si="10"/>
        <v>-1.1346180737018584E-3</v>
      </c>
      <c r="Y24" s="36">
        <f t="shared" si="11"/>
        <v>22.692361474037167</v>
      </c>
      <c r="Z24" s="35" t="str">
        <f>IF(ISNUMBER(Courier!M25),Courier!M25,"")</f>
        <v/>
      </c>
      <c r="AA24" s="36" t="str">
        <f>IF(ISNUMBER(Laboratorio!M17),Laboratorio!M17,"")</f>
        <v/>
      </c>
      <c r="AB24" s="36" t="str">
        <f t="shared" si="12"/>
        <v xml:space="preserve"> </v>
      </c>
      <c r="AC24" s="36" t="str">
        <f t="shared" si="13"/>
        <v xml:space="preserve"> </v>
      </c>
      <c r="AD24" s="35">
        <f>IF(ISNUMBER(Courier!O25),Courier!O25,0)</f>
        <v>5.6438181549310684E-2</v>
      </c>
      <c r="AE24" s="36">
        <f>IF(ISNUMBER(Laboratorio!O17),Laboratorio!O17,"")</f>
        <v>2.9000000000000001E-2</v>
      </c>
      <c r="AF24" s="36">
        <f t="shared" si="14"/>
        <v>-2.7438181549310683E-2</v>
      </c>
      <c r="AG24" s="36">
        <f t="shared" si="15"/>
        <v>2.7438181549310683E-2</v>
      </c>
      <c r="AH24" s="36">
        <f t="shared" si="16"/>
        <v>94.614419135554073</v>
      </c>
      <c r="AI24" s="36">
        <f>Calculos!$U$1</f>
        <v>8.6877272727272758E-3</v>
      </c>
      <c r="AJ24" s="36">
        <f t="shared" si="17"/>
        <v>-8.6877272727272758E-3</v>
      </c>
      <c r="AK24" s="35">
        <f>IF(ISNUMBER(Courier!Q25),Courier!Q25,0)</f>
        <v>6.1585265211760998E-3</v>
      </c>
      <c r="AL24" s="36">
        <f>IF(ISNUMBER(Laboratorio!Q17),Laboratorio!Q17,"")</f>
        <v>6.0000000000000001E-3</v>
      </c>
      <c r="AM24" s="36">
        <f t="shared" si="18"/>
        <v>-1.5852652117609965E-4</v>
      </c>
      <c r="AN24" s="36">
        <f t="shared" si="19"/>
        <v>1.5852652117609965E-4</v>
      </c>
      <c r="AO24" s="237">
        <f t="shared" si="20"/>
        <v>2.6421086862683274</v>
      </c>
      <c r="AP24" s="36">
        <f>Calculos!$V$1</f>
        <v>2.2111363636363643E-3</v>
      </c>
      <c r="AQ24" s="36">
        <f t="shared" si="21"/>
        <v>-2.2111363636363643E-3</v>
      </c>
      <c r="AR24" s="35">
        <f>IF(ISNUMBER(Courier!S25),Courier!S25,"")</f>
        <v>1.5301421880722046</v>
      </c>
      <c r="AS24" s="36">
        <f>IF(ISNUMBER(Laboratorio!S17),Laboratorio!S17,"")</f>
        <v>1.399</v>
      </c>
      <c r="AT24" s="36">
        <f t="shared" si="22"/>
        <v>-0.13114218807220457</v>
      </c>
      <c r="AU24" s="36">
        <f t="shared" si="23"/>
        <v>9.3739948586279187</v>
      </c>
      <c r="AV24" s="35" t="str">
        <f>IF(ISNUMBER(Courier!U24),Courier!U24,"")</f>
        <v/>
      </c>
      <c r="AW24" s="35">
        <f>IF(ISNUMBER(Courier!W25),Courier!W25,0)</f>
        <v>22.722810745239258</v>
      </c>
      <c r="AX24" s="36">
        <f>IF(ISNUMBER(Laboratorio!U17),Laboratorio!U17,"")</f>
        <v>21.143999999999998</v>
      </c>
      <c r="AY24" s="36">
        <f t="shared" si="24"/>
        <v>-1.5788107452392595</v>
      </c>
      <c r="AZ24" s="36">
        <f t="shared" si="25"/>
        <v>1.5788107452392595</v>
      </c>
      <c r="BA24" s="36">
        <f t="shared" si="26"/>
        <v>7.4669445007532147</v>
      </c>
      <c r="BB24" s="36">
        <f>Calculos!$AH$1</f>
        <v>1.5575884772727273</v>
      </c>
      <c r="BC24" s="36">
        <f t="shared" si="27"/>
        <v>-1.5575884772727273</v>
      </c>
      <c r="BD24" s="35">
        <f>IF(ISNUMBER(Courier!Y25),Courier!Y25,0)</f>
        <v>2.5230238437652588</v>
      </c>
      <c r="BE24" s="36">
        <f>IF(ISNUMBER(Laboratorio!W17),Laboratorio!W17,"")</f>
        <v>2.9460000000000002</v>
      </c>
      <c r="BF24" s="36">
        <f t="shared" si="28"/>
        <v>0.42297615623474139</v>
      </c>
      <c r="BG24" s="36">
        <f t="shared" si="29"/>
        <v>0.42297615623474139</v>
      </c>
      <c r="BH24" s="36">
        <f t="shared" si="30"/>
        <v>14.357642777825571</v>
      </c>
      <c r="BI24" s="36">
        <f>Calculos!$AI$1</f>
        <v>0.18375074999999999</v>
      </c>
      <c r="BJ24" s="36">
        <f t="shared" si="31"/>
        <v>-0.18375074999999999</v>
      </c>
      <c r="BK24" s="35">
        <f>IF(ISNUMBER(Courier!AA25),Courier!AA25,"")</f>
        <v>26.769111633300781</v>
      </c>
      <c r="BL24" s="36">
        <f>IF(ISNUMBER(Laboratorio!Y17),Laboratorio!Y17,"")</f>
        <v>26.86</v>
      </c>
      <c r="BM24" s="36">
        <f t="shared" si="32"/>
        <v>9.0888366699218182E-2</v>
      </c>
      <c r="BN24" s="36">
        <f t="shared" si="33"/>
        <v>0.33837813365308334</v>
      </c>
      <c r="BO24" s="35">
        <f>IF(ISNUMBER(Courier!AC24),Courier!AC24,"")</f>
        <v>10.685958854447135</v>
      </c>
      <c r="BP24" s="35">
        <f>IF(ISNUMBER(Courier!AC25),Courier!AC25,"")</f>
        <v>8.8852486948043001</v>
      </c>
      <c r="BQ24" s="36">
        <f>IF(ISNUMBER(Laboratorio!AA17),Laboratorio!AA17,"")</f>
        <v>16.3</v>
      </c>
      <c r="BR24" s="36">
        <f t="shared" si="35"/>
        <v>7.4147513051957006</v>
      </c>
      <c r="BS24" s="36">
        <f t="shared" si="34"/>
        <v>45.489271811016572</v>
      </c>
    </row>
    <row r="25" spans="1:71" ht="18" customHeight="1" x14ac:dyDescent="0.2">
      <c r="C25" s="38" t="str">
        <f>DAY(B24) &amp; "-" &amp; MONTH(B24) &amp;"-" &amp; YEAR(B24)</f>
        <v>24-8-2026</v>
      </c>
      <c r="D25" s="35">
        <f>IF(ISNUMBER(Courier!F25),Courier!F25,0)</f>
        <v>0.66688883304595947</v>
      </c>
      <c r="E25" s="36">
        <f>IF(ISNUMBER(Laboratorio!F17),Laboratorio!F17,"")</f>
        <v>0.65100000000000002</v>
      </c>
      <c r="F25" s="36">
        <f t="shared" si="0"/>
        <v>-1.588883304595945E-2</v>
      </c>
      <c r="G25" s="36">
        <f t="shared" si="1"/>
        <v>1.588883304595945E-2</v>
      </c>
      <c r="H25" s="36">
        <f t="shared" si="2"/>
        <v>2.4406809594407757</v>
      </c>
      <c r="I25" s="36">
        <f>Calculos!$I$1</f>
        <v>4.990387499999998E-2</v>
      </c>
      <c r="J25" s="36">
        <f t="shared" si="3"/>
        <v>-4.990387499999998E-2</v>
      </c>
      <c r="K25" s="35">
        <f>IF(ISNUMBER(Courier!H25),Courier!H25,0)</f>
        <v>5.4548941552639008E-2</v>
      </c>
      <c r="L25" s="36">
        <f>IF(ISNUMBER(Laboratorio!H17),Laboratorio!H17,"")</f>
        <v>5.3999999999999999E-2</v>
      </c>
      <c r="M25" s="36">
        <f t="shared" si="4"/>
        <v>-5.4894155263900818E-4</v>
      </c>
      <c r="N25" s="36">
        <f t="shared" si="5"/>
        <v>5.4894155263900818E-4</v>
      </c>
      <c r="O25" s="36">
        <f t="shared" si="6"/>
        <v>1.016558430812978</v>
      </c>
      <c r="P25" s="36">
        <f>Calculos!$J$1</f>
        <v>5.1807500000000022E-3</v>
      </c>
      <c r="Q25" s="36">
        <f t="shared" si="7"/>
        <v>-5.1807500000000022E-3</v>
      </c>
      <c r="R25" s="35">
        <f>IF(ISNUMBER(Courier!J25),Courier!J25,"")</f>
        <v>2.1933765411376953</v>
      </c>
      <c r="S25" s="36">
        <f>IF(ISNUMBER(Laboratorio!J17),Laboratorio!J17,"")</f>
        <v>2.2090000000000001</v>
      </c>
      <c r="T25" s="36">
        <f t="shared" si="8"/>
        <v>1.5623458862304762E-2</v>
      </c>
      <c r="U25" s="36">
        <f t="shared" si="9"/>
        <v>0.70726386882321246</v>
      </c>
      <c r="V25" s="35">
        <f>IF(ISNUMBER(Courier!L25),Courier!L25,"")</f>
        <v>8.0054206773638725E-3</v>
      </c>
      <c r="W25" s="36">
        <f>IF(ISNUMBER(Laboratorio!L17),Laboratorio!L17,"")</f>
        <v>8.0000000000000002E-3</v>
      </c>
      <c r="X25" s="36">
        <f t="shared" si="10"/>
        <v>-5.4206773638723615E-6</v>
      </c>
      <c r="Y25" s="36">
        <f t="shared" si="11"/>
        <v>6.7758467048404519E-2</v>
      </c>
      <c r="Z25" s="35" t="str">
        <f>IF(ISNUMBER(Courier!N25),Courier!N25,"")</f>
        <v/>
      </c>
      <c r="AA25" s="36" t="str">
        <f>IF(ISNUMBER(Laboratorio!N17),Laboratorio!N17,"")</f>
        <v/>
      </c>
      <c r="AB25" s="36" t="str">
        <f t="shared" si="12"/>
        <v xml:space="preserve"> </v>
      </c>
      <c r="AC25" s="36" t="str">
        <f t="shared" si="13"/>
        <v xml:space="preserve"> </v>
      </c>
      <c r="AD25" s="35">
        <f>IF(ISNUMBER(Courier!P25),Courier!P25,0)</f>
        <v>5.5715203285217285E-2</v>
      </c>
      <c r="AE25" s="36">
        <f>+IF(ISNUMBER(Laboratorio!P17),Laboratorio!P17,"")</f>
        <v>4.8000000000000001E-2</v>
      </c>
      <c r="AF25" s="36">
        <f t="shared" si="14"/>
        <v>-7.7152032852172842E-3</v>
      </c>
      <c r="AG25" s="36">
        <f t="shared" si="15"/>
        <v>7.7152032852172842E-3</v>
      </c>
      <c r="AH25" s="36">
        <f t="shared" si="16"/>
        <v>16.073340177536007</v>
      </c>
      <c r="AI25" s="36">
        <f>Calculos!$U$1</f>
        <v>8.6877272727272758E-3</v>
      </c>
      <c r="AJ25" s="36">
        <f t="shared" si="17"/>
        <v>-8.6877272727272758E-3</v>
      </c>
      <c r="AK25" s="35">
        <f>IF(ISNUMBER(Courier!R25),Courier!R25,0)</f>
        <v>6.0805738903582096E-3</v>
      </c>
      <c r="AL25" s="36">
        <f>IF(ISNUMBER(Laboratorio!R17),Laboratorio!R17,"")</f>
        <v>7.0000000000000001E-3</v>
      </c>
      <c r="AM25" s="36">
        <f t="shared" si="18"/>
        <v>9.1942610964179054E-4</v>
      </c>
      <c r="AN25" s="36">
        <f t="shared" si="19"/>
        <v>9.1942610964179054E-4</v>
      </c>
      <c r="AO25" s="237">
        <f t="shared" si="20"/>
        <v>13.134658709168438</v>
      </c>
      <c r="AP25" s="36">
        <f>Calculos!$V$1</f>
        <v>2.2111363636363643E-3</v>
      </c>
      <c r="AQ25" s="36">
        <f t="shared" si="21"/>
        <v>-2.2111363636363643E-3</v>
      </c>
      <c r="AR25" s="35">
        <f>IF(ISNUMBER(Courier!T25),Courier!T25,"")</f>
        <v>1.4573581218719482</v>
      </c>
      <c r="AS25" s="36">
        <f>IF(ISNUMBER(Laboratorio!T17),Laboratorio!T17,"")</f>
        <v>1.5289999999999999</v>
      </c>
      <c r="AT25" s="36">
        <f t="shared" si="22"/>
        <v>7.1641878128051673E-2</v>
      </c>
      <c r="AU25" s="36">
        <f t="shared" si="23"/>
        <v>4.6855381378712675</v>
      </c>
      <c r="AV25" s="35" t="str">
        <f>IF(ISNUMBER(Courier!V24),Courier!V24,"")</f>
        <v/>
      </c>
      <c r="AW25" s="35">
        <f>IF(ISNUMBER(Courier!X25),Courier!X25,0)</f>
        <v>24.091524124145508</v>
      </c>
      <c r="AX25" s="36">
        <f>IF(ISNUMBER(Laboratorio!V17),Laboratorio!V17,"")</f>
        <v>24.331</v>
      </c>
      <c r="AY25" s="36">
        <f t="shared" si="24"/>
        <v>0.2394758758544917</v>
      </c>
      <c r="AZ25" s="36">
        <f t="shared" si="25"/>
        <v>0.2394758758544917</v>
      </c>
      <c r="BA25" s="36">
        <f t="shared" si="26"/>
        <v>0.98424181437052205</v>
      </c>
      <c r="BB25" s="36">
        <f>Calculos!$AH$1</f>
        <v>1.5575884772727273</v>
      </c>
      <c r="BC25" s="36">
        <f t="shared" si="27"/>
        <v>-1.5575884772727273</v>
      </c>
      <c r="BD25" s="35">
        <f>IF(ISNUMBER(Courier!Z25),Courier!Z25,0)</f>
        <v>2.1168584823608398</v>
      </c>
      <c r="BE25" s="36">
        <f>IF(ISNUMBER(Laboratorio!X17),Laboratorio!X17,"")</f>
        <v>1.764</v>
      </c>
      <c r="BF25" s="36">
        <f t="shared" si="28"/>
        <v>-0.35285848236083983</v>
      </c>
      <c r="BG25" s="36">
        <f t="shared" si="29"/>
        <v>0.35285848236083983</v>
      </c>
      <c r="BH25" s="36">
        <f t="shared" si="30"/>
        <v>20.003315326578221</v>
      </c>
      <c r="BI25" s="36">
        <f>Calculos!$AI$1</f>
        <v>0.18375074999999999</v>
      </c>
      <c r="BJ25" s="36">
        <f t="shared" si="31"/>
        <v>-0.18375074999999999</v>
      </c>
      <c r="BK25" s="35">
        <f>IF(ISNUMBER(Courier!AB25),Courier!AB25,"")</f>
        <v>28.333257675170898</v>
      </c>
      <c r="BL25" s="36">
        <f>IF(ISNUMBER(Laboratorio!Z17),Laboratorio!Z17,"")</f>
        <v>28.49</v>
      </c>
      <c r="BM25" s="36">
        <f t="shared" si="32"/>
        <v>0.1567423248291</v>
      </c>
      <c r="BN25" s="36">
        <f t="shared" si="33"/>
        <v>0.5501661103162514</v>
      </c>
      <c r="BO25" s="35">
        <f>IF(ISNUMBER(Courier!AD24),Courier!AD24,"")</f>
        <v>10.905851624451977</v>
      </c>
      <c r="BP25" s="35">
        <f>IF(ISNUMBER(Courier!AD25),Courier!AD25,"")</f>
        <v>11.10334720679303</v>
      </c>
      <c r="BQ25" s="36">
        <f>IF(ISNUMBER(Laboratorio!AB17),Laboratorio!AB17,"")</f>
        <v>11.7</v>
      </c>
      <c r="BR25" s="36">
        <f t="shared" si="35"/>
        <v>0.59665279320696918</v>
      </c>
      <c r="BS25" s="36">
        <f t="shared" si="34"/>
        <v>5.0995965231364888</v>
      </c>
    </row>
    <row r="26" spans="1:71" ht="18" customHeight="1" x14ac:dyDescent="0.2">
      <c r="A26">
        <f>+A24+1</f>
        <v>12</v>
      </c>
      <c r="B26" s="7">
        <f>+B24+1</f>
        <v>46259</v>
      </c>
      <c r="C26" s="7" t="str">
        <f>DAY(B26) &amp; "-" &amp; MONTH(B26) &amp;"-" &amp; YEAR(B26)</f>
        <v>25-8-2026</v>
      </c>
      <c r="D26" s="35">
        <f>IF(ISNUMBER(Courier!E26),Courier!E26,0)</f>
        <v>0.54411017894744873</v>
      </c>
      <c r="E26" s="36">
        <f>IF(ISNUMBER(Laboratorio!E18),Laboratorio!E18,"")</f>
        <v>0.54</v>
      </c>
      <c r="F26" s="36">
        <f t="shared" si="0"/>
        <v>-4.1101789474486949E-3</v>
      </c>
      <c r="G26" s="36">
        <f t="shared" si="1"/>
        <v>4.1101789474486949E-3</v>
      </c>
      <c r="H26" s="36">
        <f t="shared" si="2"/>
        <v>0.76114424952753601</v>
      </c>
      <c r="I26" s="36">
        <f>Calculos!$I$1</f>
        <v>4.990387499999998E-2</v>
      </c>
      <c r="J26" s="36">
        <f t="shared" si="3"/>
        <v>-4.990387499999998E-2</v>
      </c>
      <c r="K26" s="35">
        <f>IF(ISNUMBER(Courier!G26),Courier!G26,0)</f>
        <v>3.8658805191516876E-2</v>
      </c>
      <c r="L26" s="36">
        <f>IF(ISNUMBER(Laboratorio!G18),Laboratorio!G18,"")</f>
        <v>4.2000000000000003E-2</v>
      </c>
      <c r="M26" s="36">
        <f t="shared" si="4"/>
        <v>3.3411948084831264E-3</v>
      </c>
      <c r="N26" s="36">
        <f t="shared" si="5"/>
        <v>3.3411948084831264E-3</v>
      </c>
      <c r="O26" s="36">
        <f t="shared" si="6"/>
        <v>7.9552257344836343</v>
      </c>
      <c r="P26" s="36">
        <f>Calculos!$J$1</f>
        <v>5.1807500000000022E-3</v>
      </c>
      <c r="Q26" s="36">
        <f t="shared" si="7"/>
        <v>-5.1807500000000022E-3</v>
      </c>
      <c r="R26" s="35">
        <f>IF(ISNUMBER(Courier!I26),Courier!I26,"")</f>
        <v>2.2739195823669434</v>
      </c>
      <c r="S26" s="36">
        <f>IF(ISNUMBER(Laboratorio!I18),Laboratorio!I18,"")</f>
        <v>2.5049999999999999</v>
      </c>
      <c r="T26" s="36">
        <f t="shared" si="8"/>
        <v>0.23108041763305653</v>
      </c>
      <c r="U26" s="36">
        <f t="shared" si="9"/>
        <v>9.2247671709803019</v>
      </c>
      <c r="V26" s="35">
        <f>IF(ISNUMBER(Courier!K26),Courier!K26,"")</f>
        <v>7.3039238341152668E-3</v>
      </c>
      <c r="W26" s="36">
        <f>IF(ISNUMBER(Laboratorio!K18),Laboratorio!K18,"")</f>
        <v>7.0000000000000001E-3</v>
      </c>
      <c r="X26" s="36">
        <f t="shared" si="10"/>
        <v>-3.0392383411526665E-4</v>
      </c>
      <c r="Y26" s="36">
        <f t="shared" si="11"/>
        <v>4.3417690587895237</v>
      </c>
      <c r="Z26" s="35" t="str">
        <f>IF(ISNUMBER(Courier!M26),Courier!M26,"")</f>
        <v/>
      </c>
      <c r="AA26" s="36" t="str">
        <f>IF(ISNUMBER(Laboratorio!M18),Laboratorio!M18,"")</f>
        <v/>
      </c>
      <c r="AB26" s="36" t="str">
        <f t="shared" si="12"/>
        <v xml:space="preserve"> </v>
      </c>
      <c r="AC26" s="36" t="str">
        <f t="shared" si="13"/>
        <v xml:space="preserve"> </v>
      </c>
      <c r="AD26" s="35">
        <f>IF(ISNUMBER(Courier!O26),Courier!O26,0)</f>
        <v>5.8153107762336731E-2</v>
      </c>
      <c r="AE26" s="36">
        <f>IF(ISNUMBER(Laboratorio!O18),Laboratorio!O18,"")</f>
        <v>5.3999999999999999E-2</v>
      </c>
      <c r="AF26" s="36">
        <f t="shared" si="14"/>
        <v>-4.1531077623367316E-3</v>
      </c>
      <c r="AG26" s="36">
        <f t="shared" si="15"/>
        <v>4.1531077623367316E-3</v>
      </c>
      <c r="AH26" s="36">
        <f t="shared" si="16"/>
        <v>7.6909403006235779</v>
      </c>
      <c r="AI26" s="36">
        <f>Calculos!$U$1</f>
        <v>8.6877272727272758E-3</v>
      </c>
      <c r="AJ26" s="36">
        <f t="shared" si="17"/>
        <v>-8.6877272727272758E-3</v>
      </c>
      <c r="AK26" s="35">
        <f>IF(ISNUMBER(Courier!Q26),Courier!Q26,0)</f>
        <v>5.8166664093732834E-3</v>
      </c>
      <c r="AL26" s="36">
        <f>IF(ISNUMBER(Laboratorio!Q18),Laboratorio!Q18,"")</f>
        <v>7.0000000000000001E-3</v>
      </c>
      <c r="AM26" s="36">
        <f t="shared" si="18"/>
        <v>1.1833335906267168E-3</v>
      </c>
      <c r="AN26" s="36">
        <f t="shared" si="19"/>
        <v>1.1833335906267168E-3</v>
      </c>
      <c r="AO26" s="237">
        <f t="shared" si="20"/>
        <v>16.904765580381667</v>
      </c>
      <c r="AP26" s="36">
        <f>Calculos!$V$1</f>
        <v>2.2111363636363643E-3</v>
      </c>
      <c r="AQ26" s="36">
        <f t="shared" si="21"/>
        <v>-2.2111363636363643E-3</v>
      </c>
      <c r="AR26" s="35">
        <f>IF(ISNUMBER(Courier!S26),Courier!S26,"")</f>
        <v>1.5452429056167603</v>
      </c>
      <c r="AS26" s="36">
        <f>IF(ISNUMBER(Laboratorio!S18),Laboratorio!S18,"")</f>
        <v>2.0329999999999999</v>
      </c>
      <c r="AT26" s="36">
        <f t="shared" si="22"/>
        <v>0.48775709438323966</v>
      </c>
      <c r="AU26" s="36">
        <f t="shared" si="23"/>
        <v>23.991986934738794</v>
      </c>
      <c r="AV26" s="35" t="str">
        <f>IF(ISNUMBER(Courier!U25),Courier!U25,"")</f>
        <v/>
      </c>
      <c r="AW26" s="35">
        <f>IF(ISNUMBER(Courier!W26),Courier!W26,0)</f>
        <v>22.786581039428711</v>
      </c>
      <c r="AX26" s="36">
        <f>IF(ISNUMBER(Laboratorio!U18),Laboratorio!U18,"")</f>
        <v>23.065000000000001</v>
      </c>
      <c r="AY26" s="36">
        <f t="shared" si="24"/>
        <v>0.27841896057129034</v>
      </c>
      <c r="AZ26" s="36">
        <f t="shared" si="25"/>
        <v>0.27841896057129034</v>
      </c>
      <c r="BA26" s="36">
        <f t="shared" si="26"/>
        <v>1.2071058338230667</v>
      </c>
      <c r="BB26" s="36">
        <f>Calculos!$AH$1</f>
        <v>1.5575884772727273</v>
      </c>
      <c r="BC26" s="36">
        <f t="shared" si="27"/>
        <v>-1.5575884772727273</v>
      </c>
      <c r="BD26" s="35">
        <f>IF(ISNUMBER(Courier!Y26),Courier!Y26,0)</f>
        <v>1.7113618850708008</v>
      </c>
      <c r="BE26" s="36">
        <f>IF(ISNUMBER(Laboratorio!W18),Laboratorio!W18,"")</f>
        <v>1.617</v>
      </c>
      <c r="BF26" s="36">
        <f t="shared" si="28"/>
        <v>-9.4361885070800788E-2</v>
      </c>
      <c r="BG26" s="36">
        <f t="shared" si="29"/>
        <v>9.4361885070800788E-2</v>
      </c>
      <c r="BH26" s="36">
        <f t="shared" si="30"/>
        <v>5.835614413778651</v>
      </c>
      <c r="BI26" s="36">
        <f>Calculos!$AI$1</f>
        <v>0.18375074999999999</v>
      </c>
      <c r="BJ26" s="36">
        <f t="shared" si="31"/>
        <v>-0.18375074999999999</v>
      </c>
      <c r="BK26" s="35">
        <f>IF(ISNUMBER(Courier!AA26),Courier!AA26,"")</f>
        <v>27.382566452026367</v>
      </c>
      <c r="BL26" s="36">
        <f>IF(ISNUMBER(Laboratorio!Y18),Laboratorio!Y18,"")</f>
        <v>28.47</v>
      </c>
      <c r="BM26" s="36">
        <f t="shared" si="32"/>
        <v>1.0874335479736317</v>
      </c>
      <c r="BN26" s="36">
        <f t="shared" si="33"/>
        <v>3.8195769159593671</v>
      </c>
      <c r="BO26" s="35">
        <f>IF(ISNUMBER(Courier!AC25),Courier!AC25,"")</f>
        <v>8.8852486948043001</v>
      </c>
      <c r="BP26" s="35">
        <f>IF(ISNUMBER(Courier!AC26),Courier!AC26,"")</f>
        <v>10.984482151405842</v>
      </c>
      <c r="BQ26" s="36">
        <f>IF(ISNUMBER(Laboratorio!AA18),Laboratorio!AA18,"")</f>
        <v>12.62</v>
      </c>
      <c r="BR26" s="36">
        <f t="shared" si="35"/>
        <v>1.6355178485941568</v>
      </c>
      <c r="BS26" s="36">
        <f t="shared" si="34"/>
        <v>12.959729386641497</v>
      </c>
    </row>
    <row r="27" spans="1:71" ht="18" customHeight="1" x14ac:dyDescent="0.2">
      <c r="C27" s="38" t="str">
        <f>DAY(B26) &amp; "-" &amp; MONTH(B26) &amp;"-" &amp; YEAR(B26)</f>
        <v>25-8-2026</v>
      </c>
      <c r="D27" s="35">
        <f>IF(ISNUMBER(Courier!F26),Courier!F26,0)</f>
        <v>0.50224167108535767</v>
      </c>
      <c r="E27" s="36">
        <f>IF(ISNUMBER(Laboratorio!F18),Laboratorio!F18,"")</f>
        <v>0.58199999999999996</v>
      </c>
      <c r="F27" s="36">
        <f t="shared" si="0"/>
        <v>7.9758328914642296E-2</v>
      </c>
      <c r="G27" s="36">
        <f t="shared" si="1"/>
        <v>7.9758328914642296E-2</v>
      </c>
      <c r="H27" s="36">
        <f t="shared" si="2"/>
        <v>13.704180225883558</v>
      </c>
      <c r="I27" s="36">
        <f>Calculos!$I$1</f>
        <v>4.990387499999998E-2</v>
      </c>
      <c r="J27" s="36">
        <f t="shared" si="3"/>
        <v>-4.990387499999998E-2</v>
      </c>
      <c r="K27" s="35">
        <f>IF(ISNUMBER(Courier!H26),Courier!H26,0)</f>
        <v>3.7576079368591309E-2</v>
      </c>
      <c r="L27" s="36">
        <f>IF(ISNUMBER(Laboratorio!H18),Laboratorio!H18,"")</f>
        <v>4.3999999999999997E-2</v>
      </c>
      <c r="M27" s="36">
        <f t="shared" si="4"/>
        <v>6.4239206314086889E-3</v>
      </c>
      <c r="N27" s="36">
        <f t="shared" si="5"/>
        <v>6.4239206314086889E-3</v>
      </c>
      <c r="O27" s="36">
        <f t="shared" si="6"/>
        <v>14.59981961683793</v>
      </c>
      <c r="P27" s="36">
        <f>Calculos!$J$1</f>
        <v>5.1807500000000022E-3</v>
      </c>
      <c r="Q27" s="36">
        <f t="shared" si="7"/>
        <v>-5.1807500000000022E-3</v>
      </c>
      <c r="R27" s="35">
        <f>IF(ISNUMBER(Courier!J26),Courier!J26,"")</f>
        <v>2.3236763477325439</v>
      </c>
      <c r="S27" s="36">
        <f>IF(ISNUMBER(Laboratorio!J18),Laboratorio!J18,"")</f>
        <v>2.2799999999999998</v>
      </c>
      <c r="T27" s="36">
        <f t="shared" si="8"/>
        <v>-4.3676347732544141E-2</v>
      </c>
      <c r="U27" s="36">
        <f t="shared" si="9"/>
        <v>1.9156292865150939</v>
      </c>
      <c r="V27" s="35">
        <f>IF(ISNUMBER(Courier!L26),Courier!L26,"")</f>
        <v>6.8369507789611816E-3</v>
      </c>
      <c r="W27" s="36">
        <f>IF(ISNUMBER(Laboratorio!L18),Laboratorio!L18,"")</f>
        <v>6.0000000000000001E-3</v>
      </c>
      <c r="X27" s="36">
        <f t="shared" si="10"/>
        <v>-8.3695077896118152E-4</v>
      </c>
      <c r="Y27" s="36">
        <f t="shared" si="11"/>
        <v>13.949179649353024</v>
      </c>
      <c r="Z27" s="35" t="str">
        <f>IF(ISNUMBER(Courier!N26),Courier!N26,"")</f>
        <v/>
      </c>
      <c r="AA27" s="36" t="str">
        <f>IF(ISNUMBER(Laboratorio!N18),Laboratorio!N18,"")</f>
        <v/>
      </c>
      <c r="AB27" s="36" t="str">
        <f t="shared" si="12"/>
        <v xml:space="preserve"> </v>
      </c>
      <c r="AC27" s="36" t="str">
        <f t="shared" si="13"/>
        <v xml:space="preserve"> </v>
      </c>
      <c r="AD27" s="35">
        <f>IF(ISNUMBER(Courier!P26),Courier!P26,0)</f>
        <v>4.7265607863664627E-2</v>
      </c>
      <c r="AE27" s="36">
        <f>+IF(ISNUMBER(Laboratorio!P18),Laboratorio!P18,"")</f>
        <v>5.6000000000000001E-2</v>
      </c>
      <c r="AF27" s="36">
        <f t="shared" si="14"/>
        <v>8.7343921363353741E-3</v>
      </c>
      <c r="AG27" s="36">
        <f t="shared" si="15"/>
        <v>8.7343921363353741E-3</v>
      </c>
      <c r="AH27" s="36">
        <f t="shared" si="16"/>
        <v>15.597128814884595</v>
      </c>
      <c r="AI27" s="36">
        <f>Calculos!$U$1</f>
        <v>8.6877272727272758E-3</v>
      </c>
      <c r="AJ27" s="36">
        <f t="shared" si="17"/>
        <v>-8.6877272727272758E-3</v>
      </c>
      <c r="AK27" s="35">
        <f>IF(ISNUMBER(Courier!R26),Courier!R26,0)</f>
        <v>5.8533637784421444E-3</v>
      </c>
      <c r="AL27" s="36">
        <f>IF(ISNUMBER(Laboratorio!R18),Laboratorio!R18,"")</f>
        <v>6.0000000000000001E-3</v>
      </c>
      <c r="AM27" s="36">
        <f t="shared" si="18"/>
        <v>1.4663622155785573E-4</v>
      </c>
      <c r="AN27" s="36">
        <f t="shared" si="19"/>
        <v>1.4663622155785573E-4</v>
      </c>
      <c r="AO27" s="237">
        <f t="shared" si="20"/>
        <v>2.4439370259642623</v>
      </c>
      <c r="AP27" s="36">
        <f>Calculos!$V$1</f>
        <v>2.2111363636363643E-3</v>
      </c>
      <c r="AQ27" s="36">
        <f t="shared" si="21"/>
        <v>-2.2111363636363643E-3</v>
      </c>
      <c r="AR27" s="35">
        <f>IF(ISNUMBER(Courier!T26),Courier!T26,"")</f>
        <v>1.6426550149917603</v>
      </c>
      <c r="AS27" s="36">
        <f>IF(ISNUMBER(Laboratorio!T18),Laboratorio!T18,"")</f>
        <v>1.5640000000000001</v>
      </c>
      <c r="AT27" s="36">
        <f t="shared" si="22"/>
        <v>-7.8655014991760197E-2</v>
      </c>
      <c r="AU27" s="36">
        <f t="shared" si="23"/>
        <v>5.029093030163696</v>
      </c>
      <c r="AV27" s="35" t="str">
        <f>IF(ISNUMBER(Courier!V25),Courier!V25,"")</f>
        <v/>
      </c>
      <c r="AW27" s="35">
        <f>IF(ISNUMBER(Courier!X26),Courier!X26,0)</f>
        <v>24.452625274658203</v>
      </c>
      <c r="AX27" s="36">
        <f>IF(ISNUMBER(Laboratorio!V18),Laboratorio!V18,"")</f>
        <v>24.725999999999999</v>
      </c>
      <c r="AY27" s="36">
        <f t="shared" si="24"/>
        <v>0.27337472534179597</v>
      </c>
      <c r="AZ27" s="36">
        <f t="shared" si="25"/>
        <v>0.27337472534179597</v>
      </c>
      <c r="BA27" s="36">
        <f t="shared" si="26"/>
        <v>1.1056164577440588</v>
      </c>
      <c r="BB27" s="36">
        <f>Calculos!$AH$1</f>
        <v>1.5575884772727273</v>
      </c>
      <c r="BC27" s="36">
        <f t="shared" si="27"/>
        <v>-1.5575884772727273</v>
      </c>
      <c r="BD27" s="35">
        <f>IF(ISNUMBER(Courier!Z26),Courier!Z26,0)</f>
        <v>1.4849699735641479</v>
      </c>
      <c r="BE27" s="36">
        <f>IF(ISNUMBER(Laboratorio!X18),Laboratorio!X18,"")</f>
        <v>1.4370000000000001</v>
      </c>
      <c r="BF27" s="36">
        <f t="shared" si="28"/>
        <v>-4.7969973564147894E-2</v>
      </c>
      <c r="BG27" s="36">
        <f t="shared" si="29"/>
        <v>4.7969973564147894E-2</v>
      </c>
      <c r="BH27" s="36">
        <f t="shared" si="30"/>
        <v>3.3382027532462</v>
      </c>
      <c r="BI27" s="36">
        <f>Calculos!$AI$1</f>
        <v>0.18375074999999999</v>
      </c>
      <c r="BJ27" s="36">
        <f t="shared" si="31"/>
        <v>-0.18375074999999999</v>
      </c>
      <c r="BK27" s="35">
        <f>IF(ISNUMBER(Courier!AB26),Courier!AB26,"")</f>
        <v>28.875680923461914</v>
      </c>
      <c r="BL27" s="36">
        <f>IF(ISNUMBER(Laboratorio!Z18),Laboratorio!Z18,"")</f>
        <v>27.39</v>
      </c>
      <c r="BM27" s="36">
        <f t="shared" si="32"/>
        <v>-1.4856809234619135</v>
      </c>
      <c r="BN27" s="36">
        <f t="shared" si="33"/>
        <v>5.4241727764217362</v>
      </c>
      <c r="BO27" s="35">
        <f>IF(ISNUMBER(Courier!AD25),Courier!AD25,"")</f>
        <v>11.10334720679303</v>
      </c>
      <c r="BP27" s="35">
        <f>IF(ISNUMBER(Courier!AD26),Courier!AD26,"")</f>
        <v>11.194152941968971</v>
      </c>
      <c r="BQ27" s="36">
        <f>IF(ISNUMBER(Laboratorio!AB18),Laboratorio!AB18,"")</f>
        <v>11.26</v>
      </c>
      <c r="BR27" s="36">
        <f t="shared" si="35"/>
        <v>6.5847058031028638E-2</v>
      </c>
      <c r="BS27" s="36">
        <f t="shared" si="34"/>
        <v>0.58478737150114246</v>
      </c>
    </row>
    <row r="28" spans="1:71" ht="18" customHeight="1" x14ac:dyDescent="0.2">
      <c r="A28">
        <f>+A26+1</f>
        <v>13</v>
      </c>
      <c r="B28" s="7">
        <f>+B26+1</f>
        <v>46260</v>
      </c>
      <c r="C28" s="7" t="str">
        <f>DAY(B28) &amp; "-" &amp; MONTH(B28) &amp;"-" &amp; YEAR(B28)</f>
        <v>26-8-2026</v>
      </c>
      <c r="D28" s="35">
        <f>IF(ISNUMBER(Courier!E27),Courier!E27,0)</f>
        <v>0.52994060516357422</v>
      </c>
      <c r="E28" s="36">
        <f>IF(ISNUMBER(Laboratorio!E19),Laboratorio!E19,"")</f>
        <v>0.48499999999999999</v>
      </c>
      <c r="F28" s="36">
        <f t="shared" si="0"/>
        <v>-4.4940605163574232E-2</v>
      </c>
      <c r="G28" s="36">
        <f t="shared" si="1"/>
        <v>4.4940605163574232E-2</v>
      </c>
      <c r="H28" s="36">
        <f t="shared" si="2"/>
        <v>9.2661041574379865</v>
      </c>
      <c r="I28" s="36">
        <f>Calculos!$I$1</f>
        <v>4.990387499999998E-2</v>
      </c>
      <c r="J28" s="36">
        <f t="shared" si="3"/>
        <v>-4.990387499999998E-2</v>
      </c>
      <c r="K28" s="35">
        <f>IF(ISNUMBER(Courier!G27),Courier!G27,0)</f>
        <v>3.7001386284828186E-2</v>
      </c>
      <c r="L28" s="36">
        <f>IF(ISNUMBER(Laboratorio!G19),Laboratorio!G19,"")</f>
        <v>4.4999999999999998E-2</v>
      </c>
      <c r="M28" s="36">
        <f>IF(ISNUMBER(L28-K28),IF(K28&lt;0.004,"",L28-K28)," ")</f>
        <v>7.9986137151718123E-3</v>
      </c>
      <c r="N28" s="36">
        <f t="shared" si="5"/>
        <v>7.9986137151718123E-3</v>
      </c>
      <c r="O28" s="36">
        <f t="shared" si="6"/>
        <v>17.774697144826252</v>
      </c>
      <c r="P28" s="36">
        <f>Calculos!$J$1</f>
        <v>5.1807500000000022E-3</v>
      </c>
      <c r="Q28" s="36">
        <f t="shared" si="7"/>
        <v>-5.1807500000000022E-3</v>
      </c>
      <c r="R28" s="35">
        <f>IF(ISNUMBER(Courier!I27),Courier!I27,"")</f>
        <v>1.9739096164703369</v>
      </c>
      <c r="S28" s="36">
        <f>IF(ISNUMBER(Laboratorio!I19),Laboratorio!I19,"")</f>
        <v>2.12</v>
      </c>
      <c r="T28" s="36">
        <f t="shared" si="8"/>
        <v>0.14609038352966319</v>
      </c>
      <c r="U28" s="36">
        <f t="shared" si="9"/>
        <v>6.8910558268709048</v>
      </c>
      <c r="V28" s="35">
        <f>IF(ISNUMBER(Courier!K27),Courier!K27,"")</f>
        <v>1.0536938905715942E-2</v>
      </c>
      <c r="W28" s="36">
        <f>IF(ISNUMBER(Laboratorio!K19),Laboratorio!K19,"")</f>
        <v>1.2E-2</v>
      </c>
      <c r="X28" s="36">
        <f t="shared" si="10"/>
        <v>1.4630610942840579E-3</v>
      </c>
      <c r="Y28" s="36">
        <f t="shared" si="11"/>
        <v>12.192175785700481</v>
      </c>
      <c r="Z28" s="35" t="str">
        <f>IF(ISNUMBER(Courier!M27),Courier!M27,"")</f>
        <v/>
      </c>
      <c r="AA28" s="36" t="str">
        <f>IF(ISNUMBER(Laboratorio!M19),Laboratorio!M19,"")</f>
        <v/>
      </c>
      <c r="AB28" s="36" t="str">
        <f t="shared" si="12"/>
        <v xml:space="preserve"> </v>
      </c>
      <c r="AC28" s="36" t="str">
        <f t="shared" si="13"/>
        <v xml:space="preserve"> </v>
      </c>
      <c r="AD28" s="35">
        <f>IF(ISNUMBER(Courier!O27),Courier!O27,0)</f>
        <v>3.9520304650068283E-2</v>
      </c>
      <c r="AE28" s="36">
        <f>IF(ISNUMBER(Laboratorio!O19),Laboratorio!O19,"")</f>
        <v>0.04</v>
      </c>
      <c r="AF28" s="36">
        <f t="shared" si="14"/>
        <v>4.7969534993171775E-4</v>
      </c>
      <c r="AG28" s="36">
        <f t="shared" si="15"/>
        <v>4.7969534993171775E-4</v>
      </c>
      <c r="AH28" s="36">
        <f t="shared" si="16"/>
        <v>1.1992383748292943</v>
      </c>
      <c r="AI28" s="36">
        <f>Calculos!$U$1</f>
        <v>8.6877272727272758E-3</v>
      </c>
      <c r="AJ28" s="36">
        <f t="shared" si="17"/>
        <v>-8.6877272727272758E-3</v>
      </c>
      <c r="AK28" s="35">
        <f>IF(ISNUMBER(Courier!Q27),Courier!Q27,0)</f>
        <v>5.8762929402291775E-3</v>
      </c>
      <c r="AL28" s="36">
        <f>IF(ISNUMBER(Laboratorio!Q19),Laboratorio!Q19,"")</f>
        <v>7.0000000000000001E-3</v>
      </c>
      <c r="AM28" s="36">
        <f t="shared" si="18"/>
        <v>1.1237070597708227E-3</v>
      </c>
      <c r="AN28" s="36">
        <f t="shared" si="19"/>
        <v>1.1237070597708227E-3</v>
      </c>
      <c r="AO28" s="237">
        <f t="shared" si="20"/>
        <v>16.05295799672604</v>
      </c>
      <c r="AP28" s="36">
        <f>Calculos!$V$1</f>
        <v>2.2111363636363643E-3</v>
      </c>
      <c r="AQ28" s="36">
        <f t="shared" si="21"/>
        <v>-2.2111363636363643E-3</v>
      </c>
      <c r="AR28" s="35">
        <f>IF(ISNUMBER(Courier!S27),Courier!S27,"")</f>
        <v>1.8665000200271606</v>
      </c>
      <c r="AS28" s="36">
        <f>IF(ISNUMBER(Laboratorio!S19),Laboratorio!S19,"")</f>
        <v>1.6659999999999999</v>
      </c>
      <c r="AT28" s="36">
        <f t="shared" si="22"/>
        <v>-0.20050002002716072</v>
      </c>
      <c r="AU28" s="36">
        <f t="shared" si="23"/>
        <v>12.034815127680716</v>
      </c>
      <c r="AV28" s="35" t="str">
        <f>IF(ISNUMBER(Courier!U26),Courier!U26,"")</f>
        <v/>
      </c>
      <c r="AW28" s="35">
        <f>IF(ISNUMBER(Courier!W27),Courier!W27,0)</f>
        <v>23.015262603759766</v>
      </c>
      <c r="AX28" s="36">
        <f>IF(ISNUMBER(Laboratorio!U19),Laboratorio!U19,"")</f>
        <v>18.288</v>
      </c>
      <c r="AY28" s="36">
        <f t="shared" si="24"/>
        <v>-4.7272626037597654</v>
      </c>
      <c r="AZ28" s="36">
        <f t="shared" si="25"/>
        <v>4.7272626037597654</v>
      </c>
      <c r="BA28" s="36">
        <f t="shared" si="26"/>
        <v>25.848986241031085</v>
      </c>
      <c r="BB28" s="36">
        <f>Calculos!$AH$1</f>
        <v>1.5575884772727273</v>
      </c>
      <c r="BC28" s="36">
        <f t="shared" si="27"/>
        <v>-1.5575884772727273</v>
      </c>
      <c r="BD28" s="35">
        <f>IF(ISNUMBER(Courier!Y27),Courier!Y27,0)</f>
        <v>1.4501559734344482</v>
      </c>
      <c r="BE28" s="36">
        <f>IF(ISNUMBER(Laboratorio!W19),Laboratorio!W19,"")</f>
        <v>1.5609999999999999</v>
      </c>
      <c r="BF28" s="36">
        <f t="shared" si="28"/>
        <v>0.1108440265655517</v>
      </c>
      <c r="BG28" s="36">
        <f t="shared" si="29"/>
        <v>0.1108440265655517</v>
      </c>
      <c r="BH28" s="36">
        <f t="shared" si="30"/>
        <v>7.100834501316573</v>
      </c>
      <c r="BI28" s="36">
        <f>Calculos!$AI$1</f>
        <v>0.18375074999999999</v>
      </c>
      <c r="BJ28" s="36">
        <f t="shared" si="31"/>
        <v>-0.18375074999999999</v>
      </c>
      <c r="BK28" s="35">
        <f>IF(ISNUMBER(Courier!AA27),Courier!AA27,"")</f>
        <v>27.289146423339844</v>
      </c>
      <c r="BL28" s="36">
        <f>IF(ISNUMBER(Laboratorio!Y19),Laboratorio!Y19,"")</f>
        <v>24.83</v>
      </c>
      <c r="BM28" s="36">
        <f t="shared" si="32"/>
        <v>-2.4591464233398455</v>
      </c>
      <c r="BN28" s="36">
        <f t="shared" si="33"/>
        <v>9.9039324339099704</v>
      </c>
      <c r="BO28" s="35">
        <f>IF(ISNUMBER(Courier!AC26),Courier!AC26,"")</f>
        <v>10.984482151405842</v>
      </c>
      <c r="BP28" s="35">
        <f>IF(ISNUMBER(Courier!AC27),Courier!AC27,"")</f>
        <v>3.0483183422652576</v>
      </c>
      <c r="BQ28" s="36">
        <f>IF(ISNUMBER(Laboratorio!AA19),Laboratorio!AA19,"")</f>
        <v>23.16</v>
      </c>
      <c r="BR28" s="36" t="str">
        <f t="shared" si="35"/>
        <v/>
      </c>
      <c r="BS28" s="36" t="str">
        <f t="shared" si="34"/>
        <v xml:space="preserve"> </v>
      </c>
    </row>
    <row r="29" spans="1:71" ht="18" customHeight="1" x14ac:dyDescent="0.2">
      <c r="C29" s="38" t="str">
        <f>DAY(B28) &amp; "-" &amp; MONTH(B28) &amp;"-" &amp; YEAR(B28)</f>
        <v>26-8-2026</v>
      </c>
      <c r="D29" s="35">
        <f>IF(ISNUMBER(Courier!F27),Courier!F27,0)</f>
        <v>0.51611995697021484</v>
      </c>
      <c r="E29" s="36">
        <f>IF(ISNUMBER(Laboratorio!F19),Laboratorio!F19,"")</f>
        <v>0.56399999999999995</v>
      </c>
      <c r="F29" s="36">
        <f t="shared" si="0"/>
        <v>4.7880043029785102E-2</v>
      </c>
      <c r="G29" s="36">
        <f t="shared" si="1"/>
        <v>4.7880043029785102E-2</v>
      </c>
      <c r="H29" s="36">
        <f t="shared" si="2"/>
        <v>8.4893693315221821</v>
      </c>
      <c r="I29" s="36">
        <f>Calculos!$I$1</f>
        <v>4.990387499999998E-2</v>
      </c>
      <c r="J29" s="36">
        <f t="shared" si="3"/>
        <v>-4.990387499999998E-2</v>
      </c>
      <c r="K29" s="35">
        <f>IF(ISNUMBER(Courier!H27),Courier!H27,0)</f>
        <v>5.4881107062101364E-2</v>
      </c>
      <c r="L29" s="36">
        <f>IF(ISNUMBER(Laboratorio!H19),Laboratorio!H19,"")</f>
        <v>0.06</v>
      </c>
      <c r="M29" s="36">
        <f t="shared" si="4"/>
        <v>5.1188929378986336E-3</v>
      </c>
      <c r="N29" s="36">
        <f t="shared" si="5"/>
        <v>5.1188929378986336E-3</v>
      </c>
      <c r="O29" s="36">
        <f t="shared" si="6"/>
        <v>8.5314882298310568</v>
      </c>
      <c r="P29" s="36">
        <f>Calculos!$J$1</f>
        <v>5.1807500000000022E-3</v>
      </c>
      <c r="Q29" s="36">
        <f t="shared" si="7"/>
        <v>-5.1807500000000022E-3</v>
      </c>
      <c r="R29" s="35">
        <f>IF(ISNUMBER(Courier!J27),Courier!J27,"")</f>
        <v>1.7383064031600952</v>
      </c>
      <c r="S29" s="36">
        <f>IF(ISNUMBER(Laboratorio!J19),Laboratorio!J19,"")</f>
        <v>2.0259999999999998</v>
      </c>
      <c r="T29" s="36">
        <f t="shared" si="8"/>
        <v>0.28769359683990459</v>
      </c>
      <c r="U29" s="36">
        <f t="shared" si="9"/>
        <v>14.200078817369427</v>
      </c>
      <c r="V29" s="35">
        <f>IF(ISNUMBER(Courier!L27),Courier!L27,"")</f>
        <v>7.5447349809110165E-3</v>
      </c>
      <c r="W29" s="36">
        <f>IF(ISNUMBER(Laboratorio!L19),Laboratorio!L19,"")</f>
        <v>0.01</v>
      </c>
      <c r="X29" s="36">
        <f t="shared" si="10"/>
        <v>2.4552650190889837E-3</v>
      </c>
      <c r="Y29" s="36">
        <f t="shared" si="11"/>
        <v>24.552650190889839</v>
      </c>
      <c r="Z29" s="35" t="str">
        <f>IF(ISNUMBER(Courier!N27),Courier!N27,"")</f>
        <v/>
      </c>
      <c r="AA29" s="36" t="str">
        <f>IF(ISNUMBER(Laboratorio!N19),Laboratorio!N19,"")</f>
        <v/>
      </c>
      <c r="AB29" s="36" t="str">
        <f t="shared" si="12"/>
        <v xml:space="preserve"> </v>
      </c>
      <c r="AC29" s="36" t="str">
        <f t="shared" si="13"/>
        <v xml:space="preserve"> </v>
      </c>
      <c r="AD29" s="35">
        <f>IF(ISNUMBER(Courier!P27),Courier!P27,0)</f>
        <v>4.3544553220272064E-2</v>
      </c>
      <c r="AE29" s="36">
        <f>+IF(ISNUMBER(Laboratorio!P19),Laboratorio!P19,"")</f>
        <v>3.6999999999999998E-2</v>
      </c>
      <c r="AF29" s="36">
        <f t="shared" si="14"/>
        <v>-6.544553220272066E-3</v>
      </c>
      <c r="AG29" s="36">
        <f t="shared" si="15"/>
        <v>6.544553220272066E-3</v>
      </c>
      <c r="AH29" s="36">
        <f t="shared" si="16"/>
        <v>17.687981676410992</v>
      </c>
      <c r="AI29" s="36">
        <f>Calculos!$U$1</f>
        <v>8.6877272727272758E-3</v>
      </c>
      <c r="AJ29" s="36">
        <f t="shared" si="17"/>
        <v>-8.6877272727272758E-3</v>
      </c>
      <c r="AK29" s="35">
        <f>IF(ISNUMBER(Courier!R27),Courier!R27,0)</f>
        <v>5.9555773623287678E-3</v>
      </c>
      <c r="AL29" s="36">
        <f>IF(ISNUMBER(Laboratorio!R19),Laboratorio!R19,"")</f>
        <v>7.0000000000000001E-3</v>
      </c>
      <c r="AM29" s="36">
        <f t="shared" si="18"/>
        <v>1.0444226376712324E-3</v>
      </c>
      <c r="AN29" s="36">
        <f t="shared" si="19"/>
        <v>1.0444226376712324E-3</v>
      </c>
      <c r="AO29" s="237">
        <f t="shared" si="20"/>
        <v>14.920323395303321</v>
      </c>
      <c r="AP29" s="36">
        <f>Calculos!$V$1</f>
        <v>2.2111363636363643E-3</v>
      </c>
      <c r="AQ29" s="36">
        <f t="shared" si="21"/>
        <v>-2.2111363636363643E-3</v>
      </c>
      <c r="AR29" s="35">
        <f>IF(ISNUMBER(Courier!T27),Courier!T27,"")</f>
        <v>1.6725833415985107</v>
      </c>
      <c r="AS29" s="36">
        <f>IF(ISNUMBER(Laboratorio!T19),Laboratorio!T19,"")</f>
        <v>1.518</v>
      </c>
      <c r="AT29" s="36">
        <f t="shared" si="22"/>
        <v>-0.15458334159851073</v>
      </c>
      <c r="AU29" s="36">
        <f t="shared" si="23"/>
        <v>10.183355836529033</v>
      </c>
      <c r="AV29" s="35" t="str">
        <f>IF(ISNUMBER(Courier!V26),Courier!V26,"")</f>
        <v/>
      </c>
      <c r="AW29" s="35">
        <f>IF(ISNUMBER(Courier!X27),Courier!X27,0)</f>
        <v>23.015262603759766</v>
      </c>
      <c r="AX29" s="36">
        <f>IF(ISNUMBER(Laboratorio!V19),Laboratorio!V19,"")</f>
        <v>26.913</v>
      </c>
      <c r="AY29" s="36">
        <f t="shared" si="24"/>
        <v>3.8977373962402346</v>
      </c>
      <c r="AZ29" s="36">
        <f t="shared" si="25"/>
        <v>3.8977373962402346</v>
      </c>
      <c r="BA29" s="36">
        <f t="shared" si="26"/>
        <v>14.482731008212516</v>
      </c>
      <c r="BB29" s="36">
        <f>Calculos!$AH$1</f>
        <v>1.5575884772727273</v>
      </c>
      <c r="BC29" s="36">
        <f t="shared" si="27"/>
        <v>-1.5575884772727273</v>
      </c>
      <c r="BD29" s="35">
        <f>IF(ISNUMBER(Courier!Z27),Courier!Z27,0)</f>
        <v>1.4501559734344482</v>
      </c>
      <c r="BE29" s="36">
        <f>IF(ISNUMBER(Laboratorio!X19),Laboratorio!X19,"")</f>
        <v>2.29</v>
      </c>
      <c r="BF29" s="36">
        <f t="shared" si="28"/>
        <v>0.83984402656555179</v>
      </c>
      <c r="BG29" s="36">
        <f t="shared" si="29"/>
        <v>0.83984402656555179</v>
      </c>
      <c r="BH29" s="36">
        <f t="shared" si="30"/>
        <v>36.674411640417112</v>
      </c>
      <c r="BI29" s="36">
        <f>Calculos!$AI$1</f>
        <v>0.18375074999999999</v>
      </c>
      <c r="BJ29" s="36">
        <f t="shared" si="31"/>
        <v>-0.18375074999999999</v>
      </c>
      <c r="BK29" s="35">
        <f>IF(ISNUMBER(Courier!AB27),Courier!AB27,"")</f>
        <v>27.289146423339844</v>
      </c>
      <c r="BL29" s="36">
        <f>IF(ISNUMBER(Laboratorio!Z19),Laboratorio!Z19,"")</f>
        <v>28</v>
      </c>
      <c r="BM29" s="36">
        <f t="shared" si="32"/>
        <v>0.71085357666015625</v>
      </c>
      <c r="BN29" s="36">
        <f t="shared" si="33"/>
        <v>2.5387627737862721</v>
      </c>
      <c r="BO29" s="35">
        <f>IF(ISNUMBER(Courier!AD26),Courier!AD26,"")</f>
        <v>11.194152941968971</v>
      </c>
      <c r="BP29" s="35">
        <f>IF(ISNUMBER(Courier!AD27),Courier!AD27,"")</f>
        <v>0</v>
      </c>
      <c r="BQ29" s="36">
        <f>IF(ISNUMBER(Laboratorio!AB19),Laboratorio!AB19,"")</f>
        <v>7.96</v>
      </c>
      <c r="BR29" s="36" t="str">
        <f t="shared" si="35"/>
        <v/>
      </c>
      <c r="BS29" s="36" t="str">
        <f t="shared" si="34"/>
        <v xml:space="preserve"> </v>
      </c>
    </row>
    <row r="30" spans="1:71" ht="18" customHeight="1" x14ac:dyDescent="0.2">
      <c r="A30">
        <f>+A28+1</f>
        <v>14</v>
      </c>
      <c r="B30" s="7">
        <f>+B28+1</f>
        <v>46261</v>
      </c>
      <c r="C30" s="7" t="str">
        <f>DAY(B30) &amp; "-" &amp; MONTH(B30) &amp;"-" &amp; YEAR(B30)</f>
        <v>27-8-2026</v>
      </c>
      <c r="D30" s="35">
        <f>IF(ISNUMBER(Courier!E28),Courier!E28,0)</f>
        <v>0.51611995697021484</v>
      </c>
      <c r="E30" s="36">
        <f>IF(ISNUMBER(Laboratorio!E20),Laboratorio!E20,"")</f>
        <v>0.54</v>
      </c>
      <c r="F30" s="36">
        <f t="shared" si="0"/>
        <v>2.3880043029785192E-2</v>
      </c>
      <c r="G30" s="36">
        <f t="shared" si="1"/>
        <v>2.3880043029785192E-2</v>
      </c>
      <c r="H30" s="36">
        <f t="shared" si="2"/>
        <v>4.4222301907009616</v>
      </c>
      <c r="I30" s="36">
        <f>Calculos!$I$1</f>
        <v>4.990387499999998E-2</v>
      </c>
      <c r="J30" s="36">
        <f t="shared" si="3"/>
        <v>-4.990387499999998E-2</v>
      </c>
      <c r="K30" s="35">
        <f>IF(ISNUMBER(Courier!G28),Courier!G28,0)</f>
        <v>5.4881107062101364E-2</v>
      </c>
      <c r="L30" s="36">
        <f>IF(ISNUMBER(Laboratorio!G20),Laboratorio!G20,"")</f>
        <v>4.1000000000000002E-2</v>
      </c>
      <c r="M30" s="36">
        <f t="shared" si="4"/>
        <v>-1.3881107062101362E-2</v>
      </c>
      <c r="N30" s="36">
        <f t="shared" si="5"/>
        <v>1.3881107062101362E-2</v>
      </c>
      <c r="O30" s="36">
        <f t="shared" si="6"/>
        <v>33.856358688052104</v>
      </c>
      <c r="P30" s="36">
        <f>Calculos!$J$1</f>
        <v>5.1807500000000022E-3</v>
      </c>
      <c r="Q30" s="36">
        <f t="shared" si="7"/>
        <v>-5.1807500000000022E-3</v>
      </c>
      <c r="R30" s="35">
        <f>IF(ISNUMBER(Courier!I28),Courier!I28,"")</f>
        <v>1.7383064031600952</v>
      </c>
      <c r="S30" s="36">
        <f>IF(ISNUMBER(Laboratorio!I20),Laboratorio!I20,"")</f>
        <v>1.6930000000000001</v>
      </c>
      <c r="T30" s="36">
        <f t="shared" si="8"/>
        <v>-4.5306403160095154E-2</v>
      </c>
      <c r="U30" s="36">
        <f t="shared" si="9"/>
        <v>2.6761017814586623</v>
      </c>
      <c r="V30" s="35">
        <f>IF(ISNUMBER(Courier!K28),Courier!K28,"")</f>
        <v>7.5447349809110165E-3</v>
      </c>
      <c r="W30" s="36">
        <f>IF(ISNUMBER(Laboratorio!K20),Laboratorio!K20,"")</f>
        <v>8.9999999999999993E-3</v>
      </c>
      <c r="X30" s="36">
        <f t="shared" si="10"/>
        <v>1.4552650190889829E-3</v>
      </c>
      <c r="Y30" s="36">
        <f t="shared" si="11"/>
        <v>16.169611323210923</v>
      </c>
      <c r="Z30" s="35" t="str">
        <f>IF(ISNUMBER(Courier!M28),Courier!M28,"")</f>
        <v/>
      </c>
      <c r="AA30" s="36" t="str">
        <f>IF(ISNUMBER(Laboratorio!M20),Laboratorio!M20,"")</f>
        <v/>
      </c>
      <c r="AB30" s="36" t="str">
        <f t="shared" si="12"/>
        <v xml:space="preserve"> </v>
      </c>
      <c r="AC30" s="36" t="str">
        <f t="shared" si="13"/>
        <v xml:space="preserve"> </v>
      </c>
      <c r="AD30" s="35">
        <f>IF(ISNUMBER(Courier!O28),Courier!O28,0)</f>
        <v>4.3544553220272064E-2</v>
      </c>
      <c r="AE30" s="36">
        <f>IF(ISNUMBER(Laboratorio!O20),Laboratorio!O20,"")</f>
        <v>4.9000000000000002E-2</v>
      </c>
      <c r="AF30" s="36">
        <f t="shared" si="14"/>
        <v>5.4554467797279377E-3</v>
      </c>
      <c r="AG30" s="36">
        <f t="shared" si="15"/>
        <v>5.4554467797279377E-3</v>
      </c>
      <c r="AH30" s="36">
        <f t="shared" si="16"/>
        <v>11.133564856587627</v>
      </c>
      <c r="AI30" s="36">
        <f>Calculos!$U$1</f>
        <v>8.6877272727272758E-3</v>
      </c>
      <c r="AJ30" s="36">
        <f t="shared" si="17"/>
        <v>-8.6877272727272758E-3</v>
      </c>
      <c r="AK30" s="35">
        <f>IF(ISNUMBER(Courier!Q28),Courier!Q28,0)</f>
        <v>5.9555773623287678E-3</v>
      </c>
      <c r="AL30" s="36">
        <f>IF(ISNUMBER(Laboratorio!Q20),Laboratorio!Q20,"")</f>
        <v>7.0000000000000001E-3</v>
      </c>
      <c r="AM30" s="36">
        <f t="shared" si="18"/>
        <v>1.0444226376712324E-3</v>
      </c>
      <c r="AN30" s="36">
        <f t="shared" si="19"/>
        <v>1.0444226376712324E-3</v>
      </c>
      <c r="AO30" s="237">
        <f t="shared" si="20"/>
        <v>14.920323395303321</v>
      </c>
      <c r="AP30" s="36">
        <f>Calculos!$V$1</f>
        <v>2.2111363636363643E-3</v>
      </c>
      <c r="AQ30" s="36">
        <f t="shared" si="21"/>
        <v>-2.2111363636363643E-3</v>
      </c>
      <c r="AR30" s="35">
        <f>IF(ISNUMBER(Courier!S28),Courier!S28,"")</f>
        <v>1.6725833415985107</v>
      </c>
      <c r="AS30" s="36">
        <f>IF(ISNUMBER(Laboratorio!S20),Laboratorio!S20,"")</f>
        <v>1.117</v>
      </c>
      <c r="AT30" s="36">
        <f t="shared" si="22"/>
        <v>-0.55558334159851075</v>
      </c>
      <c r="AU30" s="36">
        <f t="shared" si="23"/>
        <v>49.738884655193445</v>
      </c>
      <c r="AV30" s="35" t="str">
        <f>IF(ISNUMBER(Courier!U27),Courier!U27,"")</f>
        <v/>
      </c>
      <c r="AW30" s="35">
        <f>IF(ISNUMBER(Courier!W28),Courier!W28,0)</f>
        <v>23.015262603759766</v>
      </c>
      <c r="AX30" s="36">
        <f>IF(ISNUMBER(Laboratorio!U20),Laboratorio!U20,"")</f>
        <v>21.335999999999999</v>
      </c>
      <c r="AY30" s="36">
        <f t="shared" si="24"/>
        <v>-1.6792626037597671</v>
      </c>
      <c r="AZ30" s="36">
        <f t="shared" si="25"/>
        <v>1.6792626037597671</v>
      </c>
      <c r="BA30" s="36">
        <f t="shared" si="26"/>
        <v>7.8705596351695117</v>
      </c>
      <c r="BB30" s="36">
        <f>Calculos!$AH$1</f>
        <v>1.5575884772727273</v>
      </c>
      <c r="BC30" s="36">
        <f t="shared" si="27"/>
        <v>-1.5575884772727273</v>
      </c>
      <c r="BD30" s="35">
        <f>IF(ISNUMBER(Courier!Y28),Courier!Y28,0)</f>
        <v>1.4501559734344482</v>
      </c>
      <c r="BE30" s="36">
        <f>IF(ISNUMBER(Laboratorio!W20),Laboratorio!W20,"")</f>
        <v>1.7749999999999999</v>
      </c>
      <c r="BF30" s="36">
        <f t="shared" si="28"/>
        <v>0.32484402656555167</v>
      </c>
      <c r="BG30" s="36">
        <f t="shared" si="29"/>
        <v>0.32484402656555167</v>
      </c>
      <c r="BH30" s="36">
        <f t="shared" si="30"/>
        <v>18.301071919186011</v>
      </c>
      <c r="BI30" s="36">
        <f>Calculos!$AI$1</f>
        <v>0.18375074999999999</v>
      </c>
      <c r="BJ30" s="36">
        <f t="shared" si="31"/>
        <v>-0.18375074999999999</v>
      </c>
      <c r="BK30" s="35">
        <f>IF(ISNUMBER(Courier!AA28),Courier!AA28,"")</f>
        <v>27.289146423339844</v>
      </c>
      <c r="BL30" s="36">
        <f>IF(ISNUMBER(Laboratorio!Y20),Laboratorio!Y20,"")</f>
        <v>32.68</v>
      </c>
      <c r="BM30" s="36">
        <f t="shared" si="32"/>
        <v>5.390853576660156</v>
      </c>
      <c r="BN30" s="36">
        <f t="shared" si="33"/>
        <v>16.495879977540255</v>
      </c>
      <c r="BO30" s="35">
        <f>IF(ISNUMBER(Courier!AC27),Courier!AC27,"")</f>
        <v>3.0483183422652576</v>
      </c>
      <c r="BP30" s="35">
        <f>IF(ISNUMBER(Courier!AC28),Courier!AC28,"")</f>
        <v>0</v>
      </c>
      <c r="BQ30" s="36">
        <f>IF(ISNUMBER(Laboratorio!AA20),Laboratorio!AA20,"")</f>
        <v>7.92</v>
      </c>
      <c r="BR30" s="36" t="str">
        <f t="shared" si="35"/>
        <v/>
      </c>
      <c r="BS30" s="36" t="str">
        <f t="shared" si="34"/>
        <v xml:space="preserve"> </v>
      </c>
    </row>
    <row r="31" spans="1:71" ht="18" customHeight="1" x14ac:dyDescent="0.2">
      <c r="C31" s="38" t="str">
        <f>DAY(B30) &amp; "-" &amp; MONTH(B30) &amp;"-" &amp; YEAR(B30)</f>
        <v>27-8-2026</v>
      </c>
      <c r="D31" s="35">
        <f>IF(ISNUMBER(Courier!F28),Courier!F28,0)</f>
        <v>0.50301653146743774</v>
      </c>
      <c r="E31" s="36">
        <f>IF(ISNUMBER(Laboratorio!F20),Laboratorio!F20,"")</f>
        <v>0.54500000000000004</v>
      </c>
      <c r="F31" s="36">
        <f t="shared" si="0"/>
        <v>4.1983468532562296E-2</v>
      </c>
      <c r="G31" s="36">
        <f t="shared" si="1"/>
        <v>4.1983468532562296E-2</v>
      </c>
      <c r="H31" s="36">
        <f t="shared" si="2"/>
        <v>7.7033887215710628</v>
      </c>
      <c r="I31" s="36">
        <f>Calculos!$I$1</f>
        <v>4.990387499999998E-2</v>
      </c>
      <c r="J31" s="36">
        <f t="shared" si="3"/>
        <v>-4.990387499999998E-2</v>
      </c>
      <c r="K31" s="35">
        <f>IF(ISNUMBER(Courier!H28),Courier!H28,0)</f>
        <v>4.8253592103719711E-2</v>
      </c>
      <c r="L31" s="36">
        <f>IF(ISNUMBER(Laboratorio!H20),Laboratorio!H20,"")</f>
        <v>0.05</v>
      </c>
      <c r="M31" s="36">
        <f t="shared" si="4"/>
        <v>1.7464078962802915E-3</v>
      </c>
      <c r="N31" s="36">
        <f t="shared" si="5"/>
        <v>1.7464078962802915E-3</v>
      </c>
      <c r="O31" s="36">
        <f t="shared" si="6"/>
        <v>3.4928157925605827</v>
      </c>
      <c r="P31" s="36">
        <f>Calculos!$J$1</f>
        <v>5.1807500000000022E-3</v>
      </c>
      <c r="Q31" s="36">
        <f t="shared" si="7"/>
        <v>-5.1807500000000022E-3</v>
      </c>
      <c r="R31" s="35">
        <f>IF(ISNUMBER(Courier!J28),Courier!J28,"")</f>
        <v>1.5686616897583008</v>
      </c>
      <c r="S31" s="36">
        <f>IF(ISNUMBER(Laboratorio!J20),Laboratorio!J20,"")</f>
        <v>1.802</v>
      </c>
      <c r="T31" s="36">
        <f t="shared" si="8"/>
        <v>0.23333831024169926</v>
      </c>
      <c r="U31" s="36">
        <f t="shared" si="9"/>
        <v>12.94885184471139</v>
      </c>
      <c r="V31" s="35">
        <f>IF(ISNUMBER(Courier!L28),Courier!L28,"")</f>
        <v>6.1332276090979576E-3</v>
      </c>
      <c r="W31" s="36">
        <f>IF(ISNUMBER(Laboratorio!L20),Laboratorio!L20,"")</f>
        <v>8.0000000000000002E-3</v>
      </c>
      <c r="X31" s="36">
        <f t="shared" si="10"/>
        <v>1.8667723909020426E-3</v>
      </c>
      <c r="Y31" s="36">
        <f t="shared" si="11"/>
        <v>23.334654886275533</v>
      </c>
      <c r="Z31" s="35" t="str">
        <f>IF(ISNUMBER(Courier!N28),Courier!N28,"")</f>
        <v/>
      </c>
      <c r="AA31" s="36" t="str">
        <f>IF(ISNUMBER(Laboratorio!N20),Laboratorio!N20,"")</f>
        <v/>
      </c>
      <c r="AB31" s="36" t="str">
        <f t="shared" si="12"/>
        <v xml:space="preserve"> </v>
      </c>
      <c r="AC31" s="36" t="str">
        <f t="shared" si="13"/>
        <v xml:space="preserve"> </v>
      </c>
      <c r="AD31" s="35">
        <f>IF(ISNUMBER(Courier!P28),Courier!P28,0)</f>
        <v>4.91303950548172E-2</v>
      </c>
      <c r="AE31" s="36">
        <f>+IF(ISNUMBER(Laboratorio!P20),Laboratorio!P20,"")</f>
        <v>4.9000000000000002E-2</v>
      </c>
      <c r="AF31" s="36">
        <f t="shared" si="14"/>
        <v>-1.3039505481719782E-4</v>
      </c>
      <c r="AG31" s="36">
        <f t="shared" si="15"/>
        <v>1.3039505481719782E-4</v>
      </c>
      <c r="AH31" s="36">
        <f t="shared" si="16"/>
        <v>0.2661123567697915</v>
      </c>
      <c r="AI31" s="36">
        <f>Calculos!$U$1</f>
        <v>8.6877272727272758E-3</v>
      </c>
      <c r="AJ31" s="36">
        <f t="shared" si="17"/>
        <v>-8.6877272727272758E-3</v>
      </c>
      <c r="AK31" s="35">
        <f>IF(ISNUMBER(Courier!R28),Courier!R28,0)</f>
        <v>7.0704706013202667E-3</v>
      </c>
      <c r="AL31" s="36">
        <f>IF(ISNUMBER(Laboratorio!R20),Laboratorio!R20,"")</f>
        <v>7.0000000000000001E-3</v>
      </c>
      <c r="AM31" s="36">
        <f t="shared" si="18"/>
        <v>-7.0470601320266578E-5</v>
      </c>
      <c r="AN31" s="36">
        <f t="shared" si="19"/>
        <v>7.0470601320266578E-5</v>
      </c>
      <c r="AO31" s="237">
        <f t="shared" si="20"/>
        <v>1.0067228760038083</v>
      </c>
      <c r="AP31" s="36">
        <f>Calculos!$V$1</f>
        <v>2.2111363636363643E-3</v>
      </c>
      <c r="AQ31" s="36">
        <f t="shared" si="21"/>
        <v>-2.2111363636363643E-3</v>
      </c>
      <c r="AR31" s="35">
        <f>IF(ISNUMBER(Courier!T28),Courier!T28,"")</f>
        <v>1.3824989795684814</v>
      </c>
      <c r="AS31" s="36">
        <f>IF(ISNUMBER(Laboratorio!T20),Laboratorio!T20,"")</f>
        <v>1.159</v>
      </c>
      <c r="AT31" s="36">
        <f t="shared" si="22"/>
        <v>-0.22349897956848142</v>
      </c>
      <c r="AU31" s="36">
        <f t="shared" si="23"/>
        <v>19.283777357073461</v>
      </c>
      <c r="AV31" s="35" t="str">
        <f>IF(ISNUMBER(Courier!V27),Courier!V27,"")</f>
        <v/>
      </c>
      <c r="AW31" s="35">
        <f>IF(ISNUMBER(Courier!X28),Courier!X28,0)</f>
        <v>23.015262603759766</v>
      </c>
      <c r="AX31" s="36">
        <f>IF(ISNUMBER(Laboratorio!V20),Laboratorio!V20,"")</f>
        <v>26.716000000000001</v>
      </c>
      <c r="AY31" s="36">
        <f t="shared" si="24"/>
        <v>3.7007373962402355</v>
      </c>
      <c r="AZ31" s="36">
        <f t="shared" si="25"/>
        <v>3.7007373962402355</v>
      </c>
      <c r="BA31" s="36">
        <f t="shared" si="26"/>
        <v>13.852138779159437</v>
      </c>
      <c r="BB31" s="36">
        <f>Calculos!$AH$1</f>
        <v>1.5575884772727273</v>
      </c>
      <c r="BC31" s="36">
        <f t="shared" si="27"/>
        <v>-1.5575884772727273</v>
      </c>
      <c r="BD31" s="35">
        <f>IF(ISNUMBER(Courier!Z28),Courier!Z28,0)</f>
        <v>1.4501559734344482</v>
      </c>
      <c r="BE31" s="36">
        <f>IF(ISNUMBER(Laboratorio!X20),Laboratorio!X20,"")</f>
        <v>1.6779999999999999</v>
      </c>
      <c r="BF31" s="36">
        <f t="shared" si="28"/>
        <v>0.22784402656555169</v>
      </c>
      <c r="BG31" s="36">
        <f t="shared" si="29"/>
        <v>0.22784402656555169</v>
      </c>
      <c r="BH31" s="36">
        <f t="shared" si="30"/>
        <v>13.578309092106778</v>
      </c>
      <c r="BI31" s="36">
        <f>Calculos!$AI$1</f>
        <v>0.18375074999999999</v>
      </c>
      <c r="BJ31" s="36">
        <f t="shared" si="31"/>
        <v>-0.18375074999999999</v>
      </c>
      <c r="BK31" s="35">
        <f>IF(ISNUMBER(Courier!AB28),Courier!AB28,"")</f>
        <v>27.289146423339844</v>
      </c>
      <c r="BL31" s="36">
        <f>IF(ISNUMBER(Laboratorio!Z20),Laboratorio!Z20,"")</f>
        <v>28.99</v>
      </c>
      <c r="BM31" s="36">
        <f t="shared" si="32"/>
        <v>1.7008535766601547</v>
      </c>
      <c r="BN31" s="36">
        <f t="shared" si="33"/>
        <v>5.867035448982941</v>
      </c>
      <c r="BO31" s="35">
        <f>IF(ISNUMBER(Courier!AD27),Courier!AD27,"")</f>
        <v>0</v>
      </c>
      <c r="BP31" s="35">
        <f>IF(ISNUMBER(Courier!AD28),Courier!AD28,"")</f>
        <v>0</v>
      </c>
      <c r="BQ31" s="36">
        <f>IF(ISNUMBER(Laboratorio!AB20),Laboratorio!AB20,"")</f>
        <v>7.86</v>
      </c>
      <c r="BR31" s="36" t="str">
        <f t="shared" si="35"/>
        <v/>
      </c>
      <c r="BS31" s="36" t="str">
        <f t="shared" si="34"/>
        <v xml:space="preserve"> </v>
      </c>
    </row>
    <row r="32" spans="1:71" ht="18" customHeight="1" x14ac:dyDescent="0.2">
      <c r="A32">
        <f>+A30+1</f>
        <v>15</v>
      </c>
      <c r="B32" s="7">
        <f>+B30+1</f>
        <v>46262</v>
      </c>
      <c r="C32" s="7" t="str">
        <f>DAY(B32) &amp; "-" &amp; MONTH(B32) &amp;"-" &amp; YEAR(B32)</f>
        <v>28-8-2026</v>
      </c>
      <c r="D32" s="35">
        <f>IF(ISNUMBER(Courier!E29),Courier!E29,0)</f>
        <v>0.52647554874420166</v>
      </c>
      <c r="E32" s="36">
        <f>IF(ISNUMBER(Laboratorio!E21),Laboratorio!E21,"")</f>
        <v>0.52</v>
      </c>
      <c r="F32" s="36">
        <f t="shared" si="0"/>
        <v>-6.4755487442016424E-3</v>
      </c>
      <c r="G32" s="36">
        <f t="shared" si="1"/>
        <v>6.4755487442016424E-3</v>
      </c>
      <c r="H32" s="36">
        <f t="shared" si="2"/>
        <v>1.2452978354233928</v>
      </c>
      <c r="I32" s="36">
        <f>Calculos!$I$1</f>
        <v>4.990387499999998E-2</v>
      </c>
      <c r="J32" s="36">
        <f t="shared" si="3"/>
        <v>-4.990387499999998E-2</v>
      </c>
      <c r="K32" s="35">
        <f>IF(ISNUMBER(Courier!G29),Courier!G29,0)</f>
        <v>4.111630842089653E-2</v>
      </c>
      <c r="L32" s="36">
        <f>IF(ISNUMBER(Laboratorio!G21),Laboratorio!G21,"")</f>
        <v>4.5999999999999999E-2</v>
      </c>
      <c r="M32" s="36">
        <f t="shared" si="4"/>
        <v>4.8836915791034691E-3</v>
      </c>
      <c r="N32" s="36">
        <f t="shared" si="5"/>
        <v>4.8836915791034691E-3</v>
      </c>
      <c r="O32" s="36">
        <f t="shared" si="6"/>
        <v>10.616720824137976</v>
      </c>
      <c r="P32" s="36">
        <f>Calculos!$J$1</f>
        <v>5.1807500000000022E-3</v>
      </c>
      <c r="Q32" s="36">
        <f t="shared" si="7"/>
        <v>-5.1807500000000022E-3</v>
      </c>
      <c r="R32" s="35">
        <f>IF(ISNUMBER(Courier!I29),Courier!I29,"")</f>
        <v>2.0942068099975586</v>
      </c>
      <c r="S32" s="36">
        <f>IF(ISNUMBER(Laboratorio!I21),Laboratorio!I21,"")</f>
        <v>2.0049999999999999</v>
      </c>
      <c r="T32" s="36">
        <f t="shared" si="8"/>
        <v>-8.92068099975587E-2</v>
      </c>
      <c r="U32" s="36">
        <f t="shared" si="9"/>
        <v>4.4492174562373421</v>
      </c>
      <c r="V32" s="35">
        <f>IF(ISNUMBER(Courier!K29),Courier!K29,"")</f>
        <v>7.9010417684912682E-3</v>
      </c>
      <c r="W32" s="36">
        <f>IF(ISNUMBER(Laboratorio!K21),Laboratorio!K21,"")</f>
        <v>8.0000000000000002E-3</v>
      </c>
      <c r="X32" s="36">
        <f t="shared" si="10"/>
        <v>9.8958231508732009E-5</v>
      </c>
      <c r="Y32" s="36">
        <f t="shared" si="11"/>
        <v>1.23697789385915</v>
      </c>
      <c r="Z32" s="35" t="str">
        <f>IF(ISNUMBER(Courier!M29),Courier!M29,"")</f>
        <v/>
      </c>
      <c r="AA32" s="36" t="str">
        <f>IF(ISNUMBER(Laboratorio!M21),Laboratorio!M21,"")</f>
        <v/>
      </c>
      <c r="AB32" s="36" t="str">
        <f t="shared" si="12"/>
        <v xml:space="preserve"> </v>
      </c>
      <c r="AC32" s="36" t="str">
        <f t="shared" si="13"/>
        <v xml:space="preserve"> </v>
      </c>
      <c r="AD32" s="35">
        <f>IF(ISNUMBER(Courier!O29),Courier!O29,0)</f>
        <v>5.4201267659664154E-2</v>
      </c>
      <c r="AE32" s="36">
        <f>IF(ISNUMBER(Laboratorio!O21),Laboratorio!O21,"")</f>
        <v>3.9E-2</v>
      </c>
      <c r="AF32" s="36">
        <f t="shared" si="14"/>
        <v>-1.5201267659664154E-2</v>
      </c>
      <c r="AG32" s="36">
        <f t="shared" si="15"/>
        <v>1.5201267659664154E-2</v>
      </c>
      <c r="AH32" s="36">
        <f t="shared" si="16"/>
        <v>38.977609383754242</v>
      </c>
      <c r="AI32" s="36">
        <f>Calculos!$U$1</f>
        <v>8.6877272727272758E-3</v>
      </c>
      <c r="AJ32" s="36">
        <f t="shared" si="17"/>
        <v>-8.6877272727272758E-3</v>
      </c>
      <c r="AK32" s="35">
        <f>IF(ISNUMBER(Courier!Q29),Courier!Q29,0)</f>
        <v>6.2847882509231567E-3</v>
      </c>
      <c r="AL32" s="36">
        <f>IF(ISNUMBER(Laboratorio!Q21),Laboratorio!Q21,"")</f>
        <v>5.0000000000000001E-3</v>
      </c>
      <c r="AM32" s="36">
        <f t="shared" si="18"/>
        <v>-1.2847882509231566E-3</v>
      </c>
      <c r="AN32" s="36">
        <f t="shared" si="19"/>
        <v>1.2847882509231566E-3</v>
      </c>
      <c r="AO32" s="237">
        <f t="shared" si="20"/>
        <v>25.695765018463135</v>
      </c>
      <c r="AP32" s="36">
        <f>Calculos!$V$1</f>
        <v>2.2111363636363643E-3</v>
      </c>
      <c r="AQ32" s="36">
        <f t="shared" si="21"/>
        <v>-2.2111363636363643E-3</v>
      </c>
      <c r="AR32" s="35">
        <f>IF(ISNUMBER(Courier!S29),Courier!S29,"")</f>
        <v>1.4072225093841553</v>
      </c>
      <c r="AS32" s="36">
        <f>IF(ISNUMBER(Laboratorio!S21),Laboratorio!S21,"")</f>
        <v>1.619</v>
      </c>
      <c r="AT32" s="36">
        <f t="shared" si="22"/>
        <v>0.21177749061584472</v>
      </c>
      <c r="AU32" s="36">
        <f t="shared" si="23"/>
        <v>13.080759148600663</v>
      </c>
      <c r="AV32" s="35" t="str">
        <f>IF(ISNUMBER(Courier!U28),Courier!U28,"")</f>
        <v/>
      </c>
      <c r="AW32" s="35">
        <f>IF(ISNUMBER(Courier!W29),Courier!W29,0)</f>
        <v>23.015262603759766</v>
      </c>
      <c r="AX32" s="36">
        <f>IF(ISNUMBER(Laboratorio!U21),Laboratorio!U21,"")</f>
        <v>21.856000000000002</v>
      </c>
      <c r="AY32" s="36">
        <f t="shared" si="24"/>
        <v>-1.159262603759764</v>
      </c>
      <c r="AZ32" s="36">
        <f t="shared" si="25"/>
        <v>1.159262603759764</v>
      </c>
      <c r="BA32" s="36">
        <f t="shared" si="26"/>
        <v>5.3040931724000906</v>
      </c>
      <c r="BB32" s="36">
        <f>Calculos!$AH$1</f>
        <v>1.5575884772727273</v>
      </c>
      <c r="BC32" s="36">
        <f t="shared" si="27"/>
        <v>-1.5575884772727273</v>
      </c>
      <c r="BD32" s="35">
        <f>IF(ISNUMBER(Courier!Y29),Courier!Y29,0)</f>
        <v>1.4501559734344482</v>
      </c>
      <c r="BE32" s="36">
        <f>IF(ISNUMBER(Laboratorio!W21),Laboratorio!W21,"")</f>
        <v>2.3109999999999999</v>
      </c>
      <c r="BF32" s="36">
        <f t="shared" si="28"/>
        <v>0.8608440265655517</v>
      </c>
      <c r="BG32" s="36">
        <f t="shared" si="29"/>
        <v>0.8608440265655517</v>
      </c>
      <c r="BH32" s="36">
        <f t="shared" si="30"/>
        <v>37.249849699937329</v>
      </c>
      <c r="BI32" s="36">
        <f>Calculos!$AI$1</f>
        <v>0.18375074999999999</v>
      </c>
      <c r="BJ32" s="36">
        <f t="shared" si="31"/>
        <v>-0.18375074999999999</v>
      </c>
      <c r="BK32" s="35">
        <f>IF(ISNUMBER(Courier!AA29),Courier!AA29,"")</f>
        <v>27.289146423339844</v>
      </c>
      <c r="BL32" s="36">
        <f>IF(ISNUMBER(Laboratorio!Y21),Laboratorio!Y21,"")</f>
        <v>29.63</v>
      </c>
      <c r="BM32" s="36">
        <f t="shared" si="32"/>
        <v>2.3408535766601553</v>
      </c>
      <c r="BN32" s="36">
        <f t="shared" si="33"/>
        <v>7.900282067702177</v>
      </c>
      <c r="BO32" s="35">
        <f>IF(ISNUMBER(Courier!AC28),Courier!AC28,"")</f>
        <v>0</v>
      </c>
      <c r="BP32" s="35">
        <f>IF(ISNUMBER(Courier!AC29),Courier!AC29,"")</f>
        <v>0</v>
      </c>
      <c r="BQ32" s="36">
        <f>IF(ISNUMBER(Laboratorio!AA21),Laboratorio!AA21,"")</f>
        <v>12.48</v>
      </c>
      <c r="BR32" s="36" t="str">
        <f t="shared" si="35"/>
        <v/>
      </c>
      <c r="BS32" s="36" t="str">
        <f t="shared" si="34"/>
        <v xml:space="preserve"> </v>
      </c>
    </row>
    <row r="33" spans="1:71" ht="18" customHeight="1" x14ac:dyDescent="0.2">
      <c r="C33" s="38" t="str">
        <f>DAY(B32) &amp; "-" &amp; MONTH(B32) &amp;"-" &amp; YEAR(B32)</f>
        <v>28-8-2026</v>
      </c>
      <c r="D33" s="35">
        <f>IF(ISNUMBER(Courier!F29),Courier!F29,0)</f>
        <v>0.48370522260665894</v>
      </c>
      <c r="E33" s="36">
        <f>IF(ISNUMBER(Laboratorio!F21),Laboratorio!F21,"")</f>
        <v>0.46200000000000002</v>
      </c>
      <c r="F33" s="36">
        <f t="shared" si="0"/>
        <v>-2.1705222606658914E-2</v>
      </c>
      <c r="G33" s="36">
        <f t="shared" si="1"/>
        <v>2.1705222606658914E-2</v>
      </c>
      <c r="H33" s="36">
        <f t="shared" si="2"/>
        <v>4.6981001313114525</v>
      </c>
      <c r="I33" s="36">
        <f>Calculos!$I$1</f>
        <v>4.990387499999998E-2</v>
      </c>
      <c r="J33" s="36">
        <f t="shared" si="3"/>
        <v>-4.990387499999998E-2</v>
      </c>
      <c r="K33" s="35">
        <f>IF(ISNUMBER(Courier!H29),Courier!H29,0)</f>
        <v>4.466625303030014E-2</v>
      </c>
      <c r="L33" s="36">
        <f>IF(ISNUMBER(Laboratorio!H21),Laboratorio!H21,"")</f>
        <v>3.5999999999999997E-2</v>
      </c>
      <c r="M33" s="36">
        <f t="shared" si="4"/>
        <v>-8.6662530303001431E-3</v>
      </c>
      <c r="N33" s="36">
        <f t="shared" si="5"/>
        <v>8.6662530303001431E-3</v>
      </c>
      <c r="O33" s="36">
        <f t="shared" si="6"/>
        <v>24.072925084167064</v>
      </c>
      <c r="P33" s="36">
        <f>Calculos!$J$1</f>
        <v>5.1807500000000022E-3</v>
      </c>
      <c r="Q33" s="36">
        <f t="shared" si="7"/>
        <v>-5.1807500000000022E-3</v>
      </c>
      <c r="R33" s="35">
        <f>IF(ISNUMBER(Courier!J29),Courier!J29,"")</f>
        <v>1.8899176120758057</v>
      </c>
      <c r="S33" s="36">
        <f>IF(ISNUMBER(Laboratorio!J21),Laboratorio!J21,"")</f>
        <v>2.266</v>
      </c>
      <c r="T33" s="36">
        <f t="shared" si="8"/>
        <v>0.37608238792419435</v>
      </c>
      <c r="U33" s="36">
        <f t="shared" si="9"/>
        <v>16.596751452965329</v>
      </c>
      <c r="V33" s="35">
        <f>IF(ISNUMBER(Courier!L29),Courier!L29,"")</f>
        <v>7.138469722121954E-3</v>
      </c>
      <c r="W33" s="36">
        <f>IF(ISNUMBER(Laboratorio!L21),Laboratorio!L21,"")</f>
        <v>8.9999999999999993E-3</v>
      </c>
      <c r="X33" s="36">
        <f t="shared" si="10"/>
        <v>1.8615302778780454E-3</v>
      </c>
      <c r="Y33" s="36">
        <f t="shared" si="11"/>
        <v>20.683669754200508</v>
      </c>
      <c r="Z33" s="35" t="str">
        <f>IF(ISNUMBER(Courier!N29),Courier!N29,"")</f>
        <v/>
      </c>
      <c r="AA33" s="36" t="str">
        <f>IF(ISNUMBER(Laboratorio!N21),Laboratorio!N21,"")</f>
        <v/>
      </c>
      <c r="AB33" s="36" t="str">
        <f t="shared" si="12"/>
        <v xml:space="preserve"> </v>
      </c>
      <c r="AC33" s="36" t="str">
        <f t="shared" si="13"/>
        <v xml:space="preserve"> </v>
      </c>
      <c r="AD33" s="35">
        <f>IF(ISNUMBER(Courier!P29),Courier!P29,0)</f>
        <v>4.2360253632068634E-2</v>
      </c>
      <c r="AE33" s="36">
        <f>+IF(ISNUMBER(Laboratorio!P21),Laboratorio!P21,"")</f>
        <v>2.7E-2</v>
      </c>
      <c r="AF33" s="36">
        <f t="shared" si="14"/>
        <v>-1.5360253632068634E-2</v>
      </c>
      <c r="AG33" s="36">
        <f t="shared" si="15"/>
        <v>1.5360253632068634E-2</v>
      </c>
      <c r="AH33" s="36">
        <f t="shared" si="16"/>
        <v>56.889828266920873</v>
      </c>
      <c r="AI33" s="36">
        <f>Calculos!$U$1</f>
        <v>8.6877272727272758E-3</v>
      </c>
      <c r="AJ33" s="36">
        <f t="shared" si="17"/>
        <v>-8.6877272727272758E-3</v>
      </c>
      <c r="AK33" s="35">
        <f>IF(ISNUMBER(Courier!R29),Courier!R29,0)</f>
        <v>5.8496575802564621E-3</v>
      </c>
      <c r="AL33" s="36">
        <f>IF(ISNUMBER(Laboratorio!R21),Laboratorio!R21,"")</f>
        <v>4.0000000000000001E-3</v>
      </c>
      <c r="AM33" s="36">
        <f t="shared" si="18"/>
        <v>-1.849657580256462E-3</v>
      </c>
      <c r="AN33" s="36">
        <f t="shared" si="19"/>
        <v>1.849657580256462E-3</v>
      </c>
      <c r="AO33" s="237">
        <f t="shared" si="20"/>
        <v>46.241439506411545</v>
      </c>
      <c r="AP33" s="36">
        <f>Calculos!$V$1</f>
        <v>2.2111363636363643E-3</v>
      </c>
      <c r="AQ33" s="36">
        <f t="shared" si="21"/>
        <v>-2.2111363636363643E-3</v>
      </c>
      <c r="AR33" s="35">
        <f>IF(ISNUMBER(Courier!T29),Courier!T29,"")</f>
        <v>1.7435058355331421</v>
      </c>
      <c r="AS33" s="36">
        <f>IF(ISNUMBER(Laboratorio!T21),Laboratorio!T21,"")</f>
        <v>1.6639999999999999</v>
      </c>
      <c r="AT33" s="36">
        <f t="shared" si="22"/>
        <v>-7.9505835533142166E-2</v>
      </c>
      <c r="AU33" s="36">
        <f t="shared" si="23"/>
        <v>4.777994923866717</v>
      </c>
      <c r="AV33" s="35" t="str">
        <f>IF(ISNUMBER(Courier!V28),Courier!V28,"")</f>
        <v/>
      </c>
      <c r="AW33" s="35">
        <f>IF(ISNUMBER(Courier!X29),Courier!X29,0)</f>
        <v>23.015262603759766</v>
      </c>
      <c r="AX33" s="36">
        <f>IF(ISNUMBER(Laboratorio!V21),Laboratorio!V21,"")</f>
        <v>23.388000000000002</v>
      </c>
      <c r="AY33" s="36">
        <f t="shared" si="24"/>
        <v>0.37273739624023605</v>
      </c>
      <c r="AZ33" s="36">
        <f t="shared" si="25"/>
        <v>0.37273739624023605</v>
      </c>
      <c r="BA33" s="36">
        <f t="shared" si="26"/>
        <v>1.5937121440064821</v>
      </c>
      <c r="BB33" s="36">
        <f>Calculos!$AH$1</f>
        <v>1.5575884772727273</v>
      </c>
      <c r="BC33" s="36">
        <f t="shared" si="27"/>
        <v>-1.5575884772727273</v>
      </c>
      <c r="BD33" s="35">
        <f>IF(ISNUMBER(Courier!Z29),Courier!Z29,0)</f>
        <v>1.4501559734344482</v>
      </c>
      <c r="BE33" s="36">
        <f>IF(ISNUMBER(Laboratorio!X21),Laboratorio!X21,"")</f>
        <v>1.841</v>
      </c>
      <c r="BF33" s="36">
        <f t="shared" si="28"/>
        <v>0.39084402656555173</v>
      </c>
      <c r="BG33" s="36">
        <f t="shared" si="29"/>
        <v>0.39084402656555173</v>
      </c>
      <c r="BH33" s="36">
        <f t="shared" si="30"/>
        <v>21.22998514750417</v>
      </c>
      <c r="BI33" s="36">
        <f>Calculos!$AI$1</f>
        <v>0.18375074999999999</v>
      </c>
      <c r="BJ33" s="36">
        <f t="shared" si="31"/>
        <v>-0.18375074999999999</v>
      </c>
      <c r="BK33" s="35">
        <f>IF(ISNUMBER(Courier!AB29),Courier!AB29,"")</f>
        <v>27.289146423339844</v>
      </c>
      <c r="BL33" s="36">
        <f>IF(ISNUMBER(Laboratorio!Z21),Laboratorio!Z21,"")</f>
        <v>28.85</v>
      </c>
      <c r="BM33" s="36">
        <f t="shared" si="32"/>
        <v>1.5608535766601577</v>
      </c>
      <c r="BN33" s="36">
        <f t="shared" si="33"/>
        <v>5.410237700728449</v>
      </c>
      <c r="BO33" s="35">
        <f>IF(ISNUMBER(Courier!AD28),Courier!AD28,"")</f>
        <v>0</v>
      </c>
      <c r="BP33" s="35">
        <f>IF(ISNUMBER(Courier!AD29),Courier!AD29,"")</f>
        <v>0</v>
      </c>
      <c r="BQ33" s="36">
        <f>IF(ISNUMBER(Laboratorio!AB21),Laboratorio!AB21,"")</f>
        <v>13.2</v>
      </c>
      <c r="BR33" s="36" t="str">
        <f t="shared" si="35"/>
        <v/>
      </c>
      <c r="BS33" s="36" t="str">
        <f t="shared" si="34"/>
        <v xml:space="preserve"> </v>
      </c>
    </row>
    <row r="34" spans="1:71" ht="18" customHeight="1" x14ac:dyDescent="0.2">
      <c r="A34">
        <f>+A32+1</f>
        <v>16</v>
      </c>
      <c r="B34" s="7">
        <f>+B32+1</f>
        <v>46263</v>
      </c>
      <c r="C34" s="7" t="str">
        <f>DAY(B34) &amp; "-" &amp; MONTH(B34) &amp;"-" &amp; YEAR(B34)</f>
        <v>29-8-2026</v>
      </c>
      <c r="D34" s="35">
        <f>IF(ISNUMBER(Courier!E30),Courier!E30,0)</f>
        <v>0.4848606288433075</v>
      </c>
      <c r="E34" s="36">
        <f>IF(ISNUMBER(Laboratorio!E22),Laboratorio!E22,"")</f>
        <v>0.41799999999999998</v>
      </c>
      <c r="F34" s="36">
        <f t="shared" si="0"/>
        <v>-6.6860628843307512E-2</v>
      </c>
      <c r="G34" s="36">
        <f t="shared" si="1"/>
        <v>6.6860628843307512E-2</v>
      </c>
      <c r="H34" s="36">
        <f t="shared" si="2"/>
        <v>15.995365751987444</v>
      </c>
      <c r="I34" s="36">
        <f>Calculos!$I$1</f>
        <v>4.990387499999998E-2</v>
      </c>
      <c r="J34" s="36">
        <f t="shared" si="3"/>
        <v>-4.990387499999998E-2</v>
      </c>
      <c r="K34" s="35">
        <f>IF(ISNUMBER(Courier!G30),Courier!G30,0)</f>
        <v>3.0782792717218399E-2</v>
      </c>
      <c r="L34" s="36">
        <f>IF(ISNUMBER(Laboratorio!G22),Laboratorio!G22,"")</f>
        <v>2.7E-2</v>
      </c>
      <c r="M34" s="36">
        <f t="shared" si="4"/>
        <v>-3.7827927172183994E-3</v>
      </c>
      <c r="N34" s="36">
        <f t="shared" si="5"/>
        <v>3.7827927172183994E-3</v>
      </c>
      <c r="O34" s="36">
        <f t="shared" si="6"/>
        <v>14.010343397105181</v>
      </c>
      <c r="P34" s="36">
        <f>Calculos!$J$1</f>
        <v>5.1807500000000022E-3</v>
      </c>
      <c r="Q34" s="36">
        <f t="shared" si="7"/>
        <v>-5.1807500000000022E-3</v>
      </c>
      <c r="R34" s="35">
        <f>IF(ISNUMBER(Courier!I30),Courier!I30,"")</f>
        <v>2.6859238147735596</v>
      </c>
      <c r="S34" s="36">
        <f>IF(ISNUMBER(Laboratorio!I22),Laboratorio!I22,"")</f>
        <v>2.5649999999999999</v>
      </c>
      <c r="T34" s="36">
        <f t="shared" si="8"/>
        <v>-0.12092381477355962</v>
      </c>
      <c r="U34" s="36">
        <f t="shared" si="9"/>
        <v>4.7143787436085622</v>
      </c>
      <c r="V34" s="35">
        <f>IF(ISNUMBER(Courier!K30),Courier!K30,"")</f>
        <v>9.220530278980732E-3</v>
      </c>
      <c r="W34" s="36">
        <f>IF(ISNUMBER(Laboratorio!K22),Laboratorio!K22,"")</f>
        <v>0.01</v>
      </c>
      <c r="X34" s="36">
        <f t="shared" si="10"/>
        <v>7.7946972101926824E-4</v>
      </c>
      <c r="Y34" s="36">
        <f t="shared" si="11"/>
        <v>7.7946972101926821</v>
      </c>
      <c r="Z34" s="35" t="str">
        <f>IF(ISNUMBER(Courier!M30),Courier!M30,"")</f>
        <v/>
      </c>
      <c r="AA34" s="36" t="str">
        <f>IF(ISNUMBER(Laboratorio!M22),Laboratorio!M22,"")</f>
        <v/>
      </c>
      <c r="AB34" s="36" t="str">
        <f t="shared" si="12"/>
        <v xml:space="preserve"> </v>
      </c>
      <c r="AC34" s="36" t="str">
        <f t="shared" si="13"/>
        <v xml:space="preserve"> </v>
      </c>
      <c r="AD34" s="35">
        <f>IF(ISNUMBER(Courier!O30),Courier!O30,0)</f>
        <v>3.6531712859869003E-2</v>
      </c>
      <c r="AE34" s="36">
        <f>IF(ISNUMBER(Laboratorio!O22),Laboratorio!O22,"")</f>
        <v>2.3E-2</v>
      </c>
      <c r="AF34" s="36">
        <f t="shared" si="14"/>
        <v>-1.3531712859869004E-2</v>
      </c>
      <c r="AG34" s="36">
        <f t="shared" si="15"/>
        <v>1.3531712859869004E-2</v>
      </c>
      <c r="AH34" s="36">
        <f t="shared" si="16"/>
        <v>58.833534173343494</v>
      </c>
      <c r="AI34" s="36">
        <f>Calculos!$U$1</f>
        <v>8.6877272727272758E-3</v>
      </c>
      <c r="AJ34" s="36">
        <f t="shared" si="17"/>
        <v>-8.6877272727272758E-3</v>
      </c>
      <c r="AK34" s="35">
        <f>IF(ISNUMBER(Courier!Q30),Courier!Q30,0)</f>
        <v>4.6094655990600586E-3</v>
      </c>
      <c r="AL34" s="36">
        <f>IF(ISNUMBER(Laboratorio!Q22),Laboratorio!Q22,"")</f>
        <v>3.0000000000000001E-3</v>
      </c>
      <c r="AM34" s="36">
        <f t="shared" si="18"/>
        <v>-1.6094655990600585E-3</v>
      </c>
      <c r="AN34" s="36">
        <f t="shared" si="19"/>
        <v>1.6094655990600585E-3</v>
      </c>
      <c r="AO34" s="237">
        <f t="shared" si="20"/>
        <v>53.648853302001953</v>
      </c>
      <c r="AP34" s="36">
        <f>Calculos!$V$1</f>
        <v>2.2111363636363643E-3</v>
      </c>
      <c r="AQ34" s="36">
        <f t="shared" si="21"/>
        <v>-2.2111363636363643E-3</v>
      </c>
      <c r="AR34" s="35">
        <f>IF(ISNUMBER(Courier!S30),Courier!S30,"")</f>
        <v>2.2167539596557617</v>
      </c>
      <c r="AS34" s="36">
        <f>IF(ISNUMBER(Laboratorio!S22),Laboratorio!S22,"")</f>
        <v>2.133</v>
      </c>
      <c r="AT34" s="36">
        <f t="shared" si="22"/>
        <v>-8.3753959655761712E-2</v>
      </c>
      <c r="AU34" s="36">
        <f t="shared" si="23"/>
        <v>3.9265803870493068</v>
      </c>
      <c r="AV34" s="35" t="str">
        <f>IF(ISNUMBER(Courier!U29),Courier!U29,"")</f>
        <v/>
      </c>
      <c r="AW34" s="35">
        <f>IF(ISNUMBER(Courier!W30),Courier!W30,0)</f>
        <v>23.015262603759766</v>
      </c>
      <c r="AX34" s="36">
        <f>IF(ISNUMBER(Laboratorio!U22),Laboratorio!U22,"")</f>
        <v>23.382999999999999</v>
      </c>
      <c r="AY34" s="36">
        <f t="shared" si="24"/>
        <v>0.36773739624023349</v>
      </c>
      <c r="AZ34" s="36">
        <f t="shared" si="25"/>
        <v>0.36773739624023349</v>
      </c>
      <c r="BA34" s="36">
        <f t="shared" si="26"/>
        <v>1.5726698723013879</v>
      </c>
      <c r="BB34" s="36">
        <f>Calculos!$AH$1</f>
        <v>1.5575884772727273</v>
      </c>
      <c r="BC34" s="36">
        <f t="shared" si="27"/>
        <v>-1.5575884772727273</v>
      </c>
      <c r="BD34" s="35">
        <f>IF(ISNUMBER(Courier!Y30),Courier!Y30,0)</f>
        <v>1.4501559734344482</v>
      </c>
      <c r="BE34" s="36">
        <f>IF(ISNUMBER(Laboratorio!W22),Laboratorio!W22,"")</f>
        <v>0.89400000000000002</v>
      </c>
      <c r="BF34" s="36">
        <f t="shared" si="28"/>
        <v>-0.55615597343444823</v>
      </c>
      <c r="BG34" s="36">
        <f t="shared" si="29"/>
        <v>0.55615597343444823</v>
      </c>
      <c r="BH34" s="36">
        <f t="shared" si="30"/>
        <v>62.209840428909189</v>
      </c>
      <c r="BI34" s="36">
        <f>Calculos!$AI$1</f>
        <v>0.18375074999999999</v>
      </c>
      <c r="BJ34" s="36">
        <f t="shared" si="31"/>
        <v>-0.18375074999999999</v>
      </c>
      <c r="BK34" s="35">
        <f>IF(ISNUMBER(Courier!AA30),Courier!AA30,"")</f>
        <v>27.289146423339844</v>
      </c>
      <c r="BL34" s="36">
        <f>IF(ISNUMBER(Laboratorio!Y22),Laboratorio!Y22,"")</f>
        <v>28.44</v>
      </c>
      <c r="BM34" s="36">
        <f t="shared" si="32"/>
        <v>1.1508535766601575</v>
      </c>
      <c r="BN34" s="36">
        <f t="shared" si="33"/>
        <v>4.0466018869907083</v>
      </c>
      <c r="BO34" s="35">
        <f>IF(ISNUMBER(Courier!AC29),Courier!AC29,"")</f>
        <v>0</v>
      </c>
      <c r="BP34" s="35">
        <f>IF(ISNUMBER(Courier!AC30),Courier!AC30,"")</f>
        <v>0</v>
      </c>
      <c r="BQ34" s="36">
        <f>IF(ISNUMBER(Laboratorio!AA22),Laboratorio!AA22,"")</f>
        <v>13.4</v>
      </c>
      <c r="BR34" s="36" t="str">
        <f t="shared" si="35"/>
        <v/>
      </c>
      <c r="BS34" s="36" t="str">
        <f t="shared" si="34"/>
        <v xml:space="preserve"> </v>
      </c>
    </row>
    <row r="35" spans="1:71" ht="18" customHeight="1" x14ac:dyDescent="0.2">
      <c r="C35" s="38" t="str">
        <f>DAY(B34) &amp; "-" &amp; MONTH(B34) &amp;"-" &amp; YEAR(B34)</f>
        <v>29-8-2026</v>
      </c>
      <c r="D35" s="35">
        <f>IF(ISNUMBER(Courier!F30),Courier!F30,0)</f>
        <v>0.54607230424880981</v>
      </c>
      <c r="E35" s="36">
        <f>IF(ISNUMBER(Laboratorio!F22),Laboratorio!F22,"")</f>
        <v>0.45700000000000002</v>
      </c>
      <c r="F35" s="36">
        <f t="shared" si="0"/>
        <v>-8.9072304248809797E-2</v>
      </c>
      <c r="G35" s="36">
        <f t="shared" si="1"/>
        <v>8.9072304248809797E-2</v>
      </c>
      <c r="H35" s="36">
        <f t="shared" si="2"/>
        <v>19.490657384859912</v>
      </c>
      <c r="I35" s="36">
        <f>Calculos!$I$1</f>
        <v>4.990387499999998E-2</v>
      </c>
      <c r="J35" s="36">
        <f t="shared" si="3"/>
        <v>-4.990387499999998E-2</v>
      </c>
      <c r="K35" s="35">
        <f>IF(ISNUMBER(Courier!H30),Courier!H30,0)</f>
        <v>2.9813330620527267E-2</v>
      </c>
      <c r="L35" s="36">
        <f>IF(ISNUMBER(Laboratorio!H22),Laboratorio!H22,"")</f>
        <v>2.5999999999999999E-2</v>
      </c>
      <c r="M35" s="36">
        <f t="shared" si="4"/>
        <v>-3.8133306205272686E-3</v>
      </c>
      <c r="N35" s="36">
        <f t="shared" si="5"/>
        <v>3.8133306205272686E-3</v>
      </c>
      <c r="O35" s="36">
        <f t="shared" si="6"/>
        <v>14.666656232797187</v>
      </c>
      <c r="P35" s="36">
        <f>Calculos!$J$1</f>
        <v>5.1807500000000022E-3</v>
      </c>
      <c r="Q35" s="36">
        <f t="shared" si="7"/>
        <v>-5.1807500000000022E-3</v>
      </c>
      <c r="R35" s="35">
        <f>IF(ISNUMBER(Courier!J30),Courier!J30,"")</f>
        <v>2.4497549533843994</v>
      </c>
      <c r="S35" s="36">
        <f>IF(ISNUMBER(Laboratorio!J22),Laboratorio!J22,"")</f>
        <v>2.3540000000000001</v>
      </c>
      <c r="T35" s="36">
        <f t="shared" si="8"/>
        <v>-9.5754953384399322E-2</v>
      </c>
      <c r="U35" s="36">
        <f t="shared" si="9"/>
        <v>4.0677550290738873</v>
      </c>
      <c r="V35" s="35">
        <f>IF(ISNUMBER(Courier!L30),Courier!L30,"")</f>
        <v>8.9092524722218513E-3</v>
      </c>
      <c r="W35" s="36">
        <f>IF(ISNUMBER(Laboratorio!L22),Laboratorio!L22,"")</f>
        <v>0.01</v>
      </c>
      <c r="X35" s="36">
        <f t="shared" si="10"/>
        <v>1.0907475277781489E-3</v>
      </c>
      <c r="Y35" s="36">
        <f t="shared" si="11"/>
        <v>10.907475277781488</v>
      </c>
      <c r="Z35" s="35" t="str">
        <f>IF(ISNUMBER(Courier!N30),Courier!N30,"")</f>
        <v/>
      </c>
      <c r="AA35" s="36" t="str">
        <f>IF(ISNUMBER(Laboratorio!N22),Laboratorio!N22,"")</f>
        <v/>
      </c>
      <c r="AB35" s="36" t="str">
        <f t="shared" si="12"/>
        <v xml:space="preserve"> </v>
      </c>
      <c r="AC35" s="36" t="str">
        <f t="shared" si="13"/>
        <v xml:space="preserve"> </v>
      </c>
      <c r="AD35" s="35">
        <f>IF(ISNUMBER(Courier!P30),Courier!P30,0)</f>
        <v>4.2536173015832901E-2</v>
      </c>
      <c r="AE35" s="36">
        <f>+IF(ISNUMBER(Laboratorio!P22),Laboratorio!P22,"")</f>
        <v>3.9E-2</v>
      </c>
      <c r="AF35" s="36">
        <f t="shared" si="14"/>
        <v>-3.5361730158329011E-3</v>
      </c>
      <c r="AG35" s="36">
        <f t="shared" si="15"/>
        <v>3.5361730158329011E-3</v>
      </c>
      <c r="AH35" s="36">
        <f t="shared" si="16"/>
        <v>9.0671102970074386</v>
      </c>
      <c r="AI35" s="36">
        <f>Calculos!$U$1</f>
        <v>8.6877272727272758E-3</v>
      </c>
      <c r="AJ35" s="36">
        <f t="shared" si="17"/>
        <v>-8.6877272727272758E-3</v>
      </c>
      <c r="AK35" s="35">
        <f>IF(ISNUMBER(Courier!R30),Courier!R30,0)</f>
        <v>4.3897973373532295E-3</v>
      </c>
      <c r="AL35" s="36">
        <f>IF(ISNUMBER(Laboratorio!R22),Laboratorio!R22,"")</f>
        <v>4.0000000000000001E-3</v>
      </c>
      <c r="AM35" s="36">
        <f t="shared" si="18"/>
        <v>-3.8979733735322944E-4</v>
      </c>
      <c r="AN35" s="36">
        <f t="shared" si="19"/>
        <v>3.8979733735322944E-4</v>
      </c>
      <c r="AO35" s="237">
        <f t="shared" si="20"/>
        <v>9.7449334338307345</v>
      </c>
      <c r="AP35" s="36">
        <f>Calculos!$V$1</f>
        <v>2.2111363636363643E-3</v>
      </c>
      <c r="AQ35" s="36">
        <f t="shared" si="21"/>
        <v>-2.2111363636363643E-3</v>
      </c>
      <c r="AR35" s="35">
        <f>IF(ISNUMBER(Courier!T30),Courier!T30,"")</f>
        <v>1.8447232246398926</v>
      </c>
      <c r="AS35" s="36">
        <f>IF(ISNUMBER(Laboratorio!T22),Laboratorio!T22,"")</f>
        <v>2.028</v>
      </c>
      <c r="AT35" s="36">
        <f t="shared" si="22"/>
        <v>0.18327677536010745</v>
      </c>
      <c r="AU35" s="36">
        <f t="shared" si="23"/>
        <v>9.0373163392557903</v>
      </c>
      <c r="AV35" s="35" t="str">
        <f>IF(ISNUMBER(Courier!V29),Courier!V29,"")</f>
        <v/>
      </c>
      <c r="AW35" s="35">
        <f>IF(ISNUMBER(Courier!X30),Courier!X30,0)</f>
        <v>23.015262603759766</v>
      </c>
      <c r="AX35" s="36">
        <f>IF(ISNUMBER(Laboratorio!V22),Laboratorio!V22,"")</f>
        <v>21.791</v>
      </c>
      <c r="AY35" s="36">
        <f t="shared" si="24"/>
        <v>-1.2242626037597653</v>
      </c>
      <c r="AZ35" s="36">
        <f t="shared" si="25"/>
        <v>1.2242626037597653</v>
      </c>
      <c r="BA35" s="36">
        <f t="shared" si="26"/>
        <v>5.6182029450679876</v>
      </c>
      <c r="BB35" s="36">
        <f>Calculos!$AH$1</f>
        <v>1.5575884772727273</v>
      </c>
      <c r="BC35" s="36">
        <f t="shared" si="27"/>
        <v>-1.5575884772727273</v>
      </c>
      <c r="BD35" s="35">
        <f>IF(ISNUMBER(Courier!Z30),Courier!Z30,0)</f>
        <v>1.4501559734344482</v>
      </c>
      <c r="BE35" s="36">
        <f>IF(ISNUMBER(Laboratorio!X22),Laboratorio!X22,"")</f>
        <v>1.2869999999999999</v>
      </c>
      <c r="BF35" s="36">
        <f t="shared" si="28"/>
        <v>-0.16315597343444832</v>
      </c>
      <c r="BG35" s="36">
        <f t="shared" si="29"/>
        <v>0.16315597343444832</v>
      </c>
      <c r="BH35" s="36">
        <f t="shared" si="30"/>
        <v>12.677231813088449</v>
      </c>
      <c r="BI35" s="36">
        <f>Calculos!$AI$1</f>
        <v>0.18375074999999999</v>
      </c>
      <c r="BJ35" s="36">
        <f t="shared" si="31"/>
        <v>-0.18375074999999999</v>
      </c>
      <c r="BK35" s="35">
        <f>IF(ISNUMBER(Courier!AB30),Courier!AB30,"")</f>
        <v>27.289146423339844</v>
      </c>
      <c r="BL35" s="36">
        <f>IF(ISNUMBER(Laboratorio!Z22),Laboratorio!Z22,"")</f>
        <v>29.95</v>
      </c>
      <c r="BM35" s="36">
        <f t="shared" si="32"/>
        <v>2.6608535766601555</v>
      </c>
      <c r="BN35" s="36">
        <f t="shared" si="33"/>
        <v>8.8843191207350785</v>
      </c>
      <c r="BO35" s="35">
        <f>IF(ISNUMBER(Courier!AD29),Courier!AD29,"")</f>
        <v>0</v>
      </c>
      <c r="BP35" s="35">
        <f>IF(ISNUMBER(Courier!AD30),Courier!AD30,"")</f>
        <v>0</v>
      </c>
      <c r="BQ35" s="36">
        <f>IF(ISNUMBER(Laboratorio!AB22),Laboratorio!AB22,"")</f>
        <v>12.78</v>
      </c>
      <c r="BR35" s="36" t="str">
        <f t="shared" si="35"/>
        <v/>
      </c>
      <c r="BS35" s="36" t="str">
        <f t="shared" si="34"/>
        <v xml:space="preserve"> </v>
      </c>
    </row>
    <row r="36" spans="1:71" ht="18" customHeight="1" x14ac:dyDescent="0.2">
      <c r="A36">
        <f>+A34+1</f>
        <v>17</v>
      </c>
      <c r="B36" s="7">
        <f>+B34+1</f>
        <v>46264</v>
      </c>
      <c r="C36" s="7" t="str">
        <f>DAY(B36) &amp; "-" &amp; MONTH(B36) &amp;"-" &amp; YEAR(B36)</f>
        <v>30-8-2026</v>
      </c>
      <c r="D36" s="35">
        <f>IF(ISNUMBER(Courier!E31),Courier!E31,0)</f>
        <v>0.59998983144760132</v>
      </c>
      <c r="E36" s="36">
        <f>IF(ISNUMBER(Laboratorio!E23),Laboratorio!E23,"")</f>
        <v>0.56200000000000006</v>
      </c>
      <c r="F36" s="36">
        <f t="shared" ref="F36:F65" si="36">IF(ISNUMBER(E36-D36),IF(D36&lt;0.2,"",E36-D36)," ")</f>
        <v>-3.7989831447601263E-2</v>
      </c>
      <c r="G36" s="36">
        <f t="shared" ref="G36:G64" si="37">ABS(F36)</f>
        <v>3.7989831447601263E-2</v>
      </c>
      <c r="H36" s="36">
        <f t="shared" ref="H36:H65" si="38">IF(ISNUMBER(ABS(F36)/E36*100),ABS(F36)/E36*100," ")</f>
        <v>6.7597564853383032</v>
      </c>
      <c r="I36" s="36">
        <f>Calculos!$I$1</f>
        <v>4.990387499999998E-2</v>
      </c>
      <c r="J36" s="36">
        <f t="shared" ref="J36:J65" si="39">I36*-1</f>
        <v>-4.990387499999998E-2</v>
      </c>
      <c r="K36" s="35">
        <f>IF(ISNUMBER(Courier!G31),Courier!G31,0)</f>
        <v>3.8391932845115662E-2</v>
      </c>
      <c r="L36" s="36">
        <f>IF(ISNUMBER(Laboratorio!G23),Laboratorio!G23,"")</f>
        <v>3.2000000000000001E-2</v>
      </c>
      <c r="M36" s="36">
        <f t="shared" ref="M36:M65" si="40">IF(ISNUMBER(L36-K36),IF(K36&lt;0.004,"",L36-K36)," ")</f>
        <v>-6.391932845115661E-3</v>
      </c>
      <c r="N36" s="36">
        <f t="shared" ref="N36:N64" si="41">ABS(M36)</f>
        <v>6.391932845115661E-3</v>
      </c>
      <c r="O36" s="36">
        <f t="shared" ref="O36:O65" si="42">IF(ISNUMBER(ABS(M36)/L36*100),ABS(M36)/L36*100," ")</f>
        <v>19.974790140986439</v>
      </c>
      <c r="P36" s="36">
        <f>Calculos!$J$1</f>
        <v>5.1807500000000022E-3</v>
      </c>
      <c r="Q36" s="36">
        <f t="shared" ref="Q36:Q65" si="43">P36*-1</f>
        <v>-5.1807500000000022E-3</v>
      </c>
      <c r="R36" s="35">
        <f>IF(ISNUMBER(Courier!I31),Courier!I31,"")</f>
        <v>2.0410492420196533</v>
      </c>
      <c r="S36" s="36">
        <f>IF(ISNUMBER(Laboratorio!I23),Laboratorio!I23,"")</f>
        <v>2.2050000000000001</v>
      </c>
      <c r="T36" s="36">
        <f t="shared" ref="T36:T65" si="44">IF(ISNUMBER(S36-R36),IF(R36&lt;1,"",S36-R36)," ")</f>
        <v>0.16395075798034675</v>
      </c>
      <c r="U36" s="36">
        <f t="shared" ref="U36:U65" si="45">IF(ISNUMBER(ABS(T36)/S36*100),ABS(T36)/S36*100," ")</f>
        <v>7.4354085251857942</v>
      </c>
      <c r="V36" s="35">
        <f>IF(ISNUMBER(Courier!K31),Courier!K31,"")</f>
        <v>7.3290285654366016E-3</v>
      </c>
      <c r="W36" s="36">
        <f>IF(ISNUMBER(Laboratorio!K23),Laboratorio!K23,"")</f>
        <v>1.0999999999999999E-2</v>
      </c>
      <c r="X36" s="36">
        <f t="shared" ref="X36:X65" si="46">IF(ISNUMBER(W36-V36),IF(V36&lt;0.001,"",W36-V36)," ")</f>
        <v>3.6709714345633977E-3</v>
      </c>
      <c r="Y36" s="36">
        <f t="shared" ref="Y36:Y65" si="47">IF(ISNUMBER(ABS(X36)/W36*100),ABS(X36)/W36*100," ")</f>
        <v>33.372467586939983</v>
      </c>
      <c r="Z36" s="35" t="str">
        <f>IF(ISNUMBER(Courier!M31),Courier!M31,"")</f>
        <v/>
      </c>
      <c r="AA36" s="36" t="str">
        <f>IF(ISNUMBER(Laboratorio!M23),Laboratorio!M23,"")</f>
        <v/>
      </c>
      <c r="AB36" s="36" t="str">
        <f t="shared" ref="AB36:AB65" si="48">IF(ISNUMBER(AA36-Z36),AA36-Z36," ")</f>
        <v xml:space="preserve"> </v>
      </c>
      <c r="AC36" s="36" t="str">
        <f t="shared" ref="AC36:AC65" si="49">IF(ISNUMBER(ABS(AB36)/AA36*100),ABS(AB36)/AA36*100," ")</f>
        <v xml:space="preserve"> </v>
      </c>
      <c r="AD36" s="35">
        <f>IF(ISNUMBER(Courier!O31),Courier!O31,0)</f>
        <v>5.7420451194047928E-2</v>
      </c>
      <c r="AE36" s="36">
        <f>IF(ISNUMBER(Laboratorio!O23),Laboratorio!O23,"")</f>
        <v>4.4999999999999998E-2</v>
      </c>
      <c r="AF36" s="36">
        <f t="shared" ref="AF36:AF65" si="50">IF(ISNUMBER(AE36-AD36),IF(AD36&lt;0.02,"",AE36-AD36)," ")</f>
        <v>-1.242045119404793E-2</v>
      </c>
      <c r="AG36" s="36">
        <f t="shared" ref="AG36:AG64" si="51">ABS(AF36)</f>
        <v>1.242045119404793E-2</v>
      </c>
      <c r="AH36" s="36">
        <f t="shared" ref="AH36:AH65" si="52">IF(ISNUMBER(ABS(AF36)/AE36*100),ABS(AF36)/AE36*100," ")</f>
        <v>27.601002653439842</v>
      </c>
      <c r="AI36" s="36">
        <f>Calculos!$U$1</f>
        <v>8.6877272727272758E-3</v>
      </c>
      <c r="AJ36" s="36">
        <f t="shared" ref="AJ36:AJ65" si="53">AI36*-1</f>
        <v>-8.6877272727272758E-3</v>
      </c>
      <c r="AK36" s="35">
        <f>IF(ISNUMBER(Courier!Q31),Courier!Q31,0)</f>
        <v>5.1697702147066593E-3</v>
      </c>
      <c r="AL36" s="36">
        <f>IF(ISNUMBER(Laboratorio!Q23),Laboratorio!Q23,"")</f>
        <v>4.0000000000000001E-3</v>
      </c>
      <c r="AM36" s="36">
        <f t="shared" ref="AM36:AM65" si="54">IF(ISNUMBER(AL36-AK36),IF(AK36&lt;0.001,"",AL36-AK36)," ")</f>
        <v>-1.1697702147066592E-3</v>
      </c>
      <c r="AN36" s="36">
        <f t="shared" ref="AN36:AN64" si="55">ABS(AM36)</f>
        <v>1.1697702147066592E-3</v>
      </c>
      <c r="AO36" s="237">
        <f t="shared" ref="AO36:AO65" si="56">IF(ISNUMBER(ABS(AM36)/AL36*100),ABS(AM36)/AL36*100," ")</f>
        <v>29.244255367666483</v>
      </c>
      <c r="AP36" s="36">
        <f>Calculos!$V$1</f>
        <v>2.2111363636363643E-3</v>
      </c>
      <c r="AQ36" s="36">
        <f t="shared" ref="AQ36:AQ65" si="57">-1*AP36</f>
        <v>-2.2111363636363643E-3</v>
      </c>
      <c r="AR36" s="35">
        <f>IF(ISNUMBER(Courier!S31),Courier!S31,"")</f>
        <v>1.3106778860092163</v>
      </c>
      <c r="AS36" s="36">
        <f>IF(ISNUMBER(Laboratorio!S23),Laboratorio!S23,"")</f>
        <v>1.48</v>
      </c>
      <c r="AT36" s="36">
        <f t="shared" ref="AT36:AT65" si="58">IF(ISNUMBER(AS36-AR36),IF(AR36&lt;0.9,"",AS36-AR36)," ")</f>
        <v>0.16932211399078367</v>
      </c>
      <c r="AU36" s="36">
        <f t="shared" ref="AU36:AU65" si="59">IF(ISNUMBER(ABS(AT36)/AS36*100),ABS(AT36)/AS36*100," ")</f>
        <v>11.440683377755652</v>
      </c>
      <c r="AV36" s="35" t="str">
        <f>IF(ISNUMBER(Courier!U30),Courier!U30,"")</f>
        <v/>
      </c>
      <c r="AW36" s="35">
        <f>IF(ISNUMBER(Courier!W31),Courier!W31,0)</f>
        <v>23.015262603759766</v>
      </c>
      <c r="AX36" s="36">
        <f>IF(ISNUMBER(Laboratorio!U23),Laboratorio!U23,"")</f>
        <v>24.725999999999999</v>
      </c>
      <c r="AY36" s="36">
        <f t="shared" ref="AY36:AY65" si="60">IF(ISNUMBER(AX36-AW36),IF(AW36&lt;18,"",AX36-AW36)," ")</f>
        <v>1.7107373962402335</v>
      </c>
      <c r="AZ36" s="36">
        <f t="shared" ref="AZ36:AZ64" si="61">ABS(AY36)</f>
        <v>1.7107373962402335</v>
      </c>
      <c r="BA36" s="36">
        <f t="shared" ref="BA36:BA65" si="62">IF(ISNUMBER(ABS(AY36)/AX36*100),ABS(AY36)/AX36*100," ")</f>
        <v>6.9187794072645543</v>
      </c>
      <c r="BB36" s="36">
        <f>Calculos!$AH$1</f>
        <v>1.5575884772727273</v>
      </c>
      <c r="BC36" s="36">
        <f t="shared" ref="BC36:BC65" si="63">BB36*-1</f>
        <v>-1.5575884772727273</v>
      </c>
      <c r="BD36" s="35">
        <f>IF(ISNUMBER(Courier!Y31),Courier!Y31,0)</f>
        <v>1.4501559734344482</v>
      </c>
      <c r="BE36" s="36">
        <f>IF(ISNUMBER(Laboratorio!W23),Laboratorio!W23,"")</f>
        <v>1.101</v>
      </c>
      <c r="BF36" s="36">
        <f t="shared" ref="BF36:BF65" si="64">IF(ISNUMBER(BE36-BD36),IF(BD36&lt;0.3,"",BE36-BD36)," ")</f>
        <v>-0.34915597343444826</v>
      </c>
      <c r="BG36" s="36">
        <f t="shared" ref="BG36:BG64" si="65">ABS(BF36)</f>
        <v>0.34915597343444826</v>
      </c>
      <c r="BH36" s="36">
        <f t="shared" ref="BH36:BH65" si="66">IF(ISNUMBER(ABS(BF36)/BE36*100),ABS(BF36)/BE36*100," ")</f>
        <v>31.712622473610196</v>
      </c>
      <c r="BI36" s="36">
        <f>Calculos!$AI$1</f>
        <v>0.18375074999999999</v>
      </c>
      <c r="BJ36" s="36">
        <f t="shared" ref="BJ36:BJ65" si="67">BI36*-1</f>
        <v>-0.18375074999999999</v>
      </c>
      <c r="BK36" s="35">
        <f>IF(ISNUMBER(Courier!AA31),Courier!AA31,"")</f>
        <v>27.289146423339844</v>
      </c>
      <c r="BL36" s="36">
        <f>IF(ISNUMBER(Laboratorio!Y23),Laboratorio!Y23,"")</f>
        <v>29.75</v>
      </c>
      <c r="BM36" s="36">
        <f t="shared" ref="BM36:BM65" si="68">IF(ISNUMBER(BL36-BK36),IF(BK36&lt;22,"",BL36-BK36)," ")</f>
        <v>2.4608535766601563</v>
      </c>
      <c r="BN36" s="36">
        <f t="shared" ref="BN36:BN65" si="69">IF(ISNUMBER(ABS(BM36)/BL36*100),ABS(BM36)/BL36*100," ")</f>
        <v>8.2717767282694332</v>
      </c>
      <c r="BO36" s="35">
        <f>IF(ISNUMBER(Courier!AC30),Courier!AC30,"")</f>
        <v>0</v>
      </c>
      <c r="BP36" s="35">
        <f>IF(ISNUMBER(Courier!AC31),Courier!AC31,"")</f>
        <v>1.3933911206131449</v>
      </c>
      <c r="BQ36" s="36">
        <f>IF(ISNUMBER(Laboratorio!AA23),Laboratorio!AA23,"")</f>
        <v>9.48</v>
      </c>
      <c r="BR36" s="36" t="str">
        <f t="shared" si="35"/>
        <v/>
      </c>
      <c r="BS36" s="36" t="str">
        <f t="shared" si="34"/>
        <v xml:space="preserve"> </v>
      </c>
    </row>
    <row r="37" spans="1:71" ht="18" customHeight="1" x14ac:dyDescent="0.2">
      <c r="C37" s="38" t="str">
        <f>DAY(B36) &amp; "-" &amp; MONTH(B36) &amp;"-" &amp; YEAR(B36)</f>
        <v>30-8-2026</v>
      </c>
      <c r="D37" s="35">
        <f>IF(ISNUMBER(Courier!F31),Courier!F31,0)</f>
        <v>0.50283354520797729</v>
      </c>
      <c r="E37" s="36">
        <f>IF(ISNUMBER(Laboratorio!F23),Laboratorio!F23,"")</f>
        <v>0.46200000000000002</v>
      </c>
      <c r="F37" s="36">
        <f t="shared" si="36"/>
        <v>-4.0833545207977273E-2</v>
      </c>
      <c r="G37" s="36">
        <f t="shared" si="37"/>
        <v>4.0833545207977273E-2</v>
      </c>
      <c r="H37" s="36">
        <f t="shared" si="38"/>
        <v>8.8384296986963786</v>
      </c>
      <c r="I37" s="36">
        <f>Calculos!$I$1</f>
        <v>4.990387499999998E-2</v>
      </c>
      <c r="J37" s="36">
        <f t="shared" si="39"/>
        <v>-4.990387499999998E-2</v>
      </c>
      <c r="K37" s="35">
        <f>IF(ISNUMBER(Courier!H31),Courier!H31,0)</f>
        <v>3.5930391401052475E-2</v>
      </c>
      <c r="L37" s="36">
        <f>IF(ISNUMBER(Laboratorio!H23),Laboratorio!H23,"")</f>
        <v>4.2000000000000003E-2</v>
      </c>
      <c r="M37" s="36">
        <f t="shared" si="40"/>
        <v>6.0696085989475276E-3</v>
      </c>
      <c r="N37" s="36">
        <f t="shared" si="41"/>
        <v>6.0696085989475276E-3</v>
      </c>
      <c r="O37" s="36">
        <f t="shared" si="42"/>
        <v>14.45144904511316</v>
      </c>
      <c r="P37" s="36">
        <f>Calculos!$J$1</f>
        <v>5.1807500000000022E-3</v>
      </c>
      <c r="Q37" s="36">
        <f t="shared" si="43"/>
        <v>-5.1807500000000022E-3</v>
      </c>
      <c r="R37" s="35">
        <f>IF(ISNUMBER(Courier!J31),Courier!J31,"")</f>
        <v>1.8280590772628784</v>
      </c>
      <c r="S37" s="36">
        <f>IF(ISNUMBER(Laboratorio!J23),Laboratorio!J23,"")</f>
        <v>1.863</v>
      </c>
      <c r="T37" s="36">
        <f t="shared" si="44"/>
        <v>3.4940922737121571E-2</v>
      </c>
      <c r="U37" s="36">
        <f t="shared" si="45"/>
        <v>1.8755192022072771</v>
      </c>
      <c r="V37" s="35">
        <f>IF(ISNUMBER(Courier!L31),Courier!L31,"")</f>
        <v>7.2602988220751286E-3</v>
      </c>
      <c r="W37" s="36">
        <f>IF(ISNUMBER(Laboratorio!L23),Laboratorio!L23,"")</f>
        <v>8.0000000000000002E-3</v>
      </c>
      <c r="X37" s="36">
        <f t="shared" si="46"/>
        <v>7.3970117792487161E-4</v>
      </c>
      <c r="Y37" s="36">
        <f t="shared" si="47"/>
        <v>9.2462647240608948</v>
      </c>
      <c r="Z37" s="35" t="str">
        <f>IF(ISNUMBER(Courier!N31),Courier!N31,"")</f>
        <v/>
      </c>
      <c r="AA37" s="36" t="str">
        <f>IF(ISNUMBER(Laboratorio!N23),Laboratorio!N23,"")</f>
        <v/>
      </c>
      <c r="AB37" s="36" t="str">
        <f t="shared" si="48"/>
        <v xml:space="preserve"> </v>
      </c>
      <c r="AC37" s="36" t="str">
        <f t="shared" si="49"/>
        <v xml:space="preserve"> </v>
      </c>
      <c r="AD37" s="35">
        <f>IF(ISNUMBER(Courier!P31),Courier!P31,0)</f>
        <v>5.4978996515274048E-2</v>
      </c>
      <c r="AE37" s="36">
        <f>+IF(ISNUMBER(Laboratorio!P23),Laboratorio!P23,"")</f>
        <v>4.9000000000000002E-2</v>
      </c>
      <c r="AF37" s="36">
        <f t="shared" si="50"/>
        <v>-5.978996515274046E-3</v>
      </c>
      <c r="AG37" s="36">
        <f t="shared" si="51"/>
        <v>5.978996515274046E-3</v>
      </c>
      <c r="AH37" s="36">
        <f t="shared" si="52"/>
        <v>12.202033704640909</v>
      </c>
      <c r="AI37" s="36">
        <f>Calculos!$U$1</f>
        <v>8.6877272727272758E-3</v>
      </c>
      <c r="AJ37" s="36">
        <f t="shared" si="53"/>
        <v>-8.6877272727272758E-3</v>
      </c>
      <c r="AK37" s="35">
        <f>IF(ISNUMBER(Courier!R31),Courier!R31,0)</f>
        <v>5.4571120999753475E-3</v>
      </c>
      <c r="AL37" s="36">
        <f>IF(ISNUMBER(Laboratorio!R23),Laboratorio!R23,"")</f>
        <v>7.0000000000000001E-3</v>
      </c>
      <c r="AM37" s="36">
        <f t="shared" si="54"/>
        <v>1.5428879000246526E-3</v>
      </c>
      <c r="AN37" s="36">
        <f t="shared" si="55"/>
        <v>1.5428879000246526E-3</v>
      </c>
      <c r="AO37" s="237">
        <f t="shared" si="56"/>
        <v>22.041255714637895</v>
      </c>
      <c r="AP37" s="36">
        <f>Calculos!$V$1</f>
        <v>2.2111363636363643E-3</v>
      </c>
      <c r="AQ37" s="36">
        <f t="shared" si="57"/>
        <v>-2.2111363636363643E-3</v>
      </c>
      <c r="AR37" s="35">
        <f>IF(ISNUMBER(Courier!T31),Courier!T31,"")</f>
        <v>1.2757508754730225</v>
      </c>
      <c r="AS37" s="36">
        <f>IF(ISNUMBER(Laboratorio!T23),Laboratorio!T23,"")</f>
        <v>1.321</v>
      </c>
      <c r="AT37" s="36">
        <f t="shared" si="58"/>
        <v>4.5249124526977491E-2</v>
      </c>
      <c r="AU37" s="36">
        <f t="shared" si="59"/>
        <v>3.4253690027992043</v>
      </c>
      <c r="AV37" s="35" t="str">
        <f>IF(ISNUMBER(Courier!V30),Courier!V30,"")</f>
        <v/>
      </c>
      <c r="AW37" s="35">
        <f>IF(ISNUMBER(Courier!X31),Courier!X31,0)</f>
        <v>26.153593063354492</v>
      </c>
      <c r="AX37" s="36">
        <f>IF(ISNUMBER(Laboratorio!V23),Laboratorio!V23,"")</f>
        <v>23.681000000000001</v>
      </c>
      <c r="AY37" s="36">
        <f t="shared" si="60"/>
        <v>-2.4725930633544912</v>
      </c>
      <c r="AZ37" s="36">
        <f t="shared" si="61"/>
        <v>2.4725930633544912</v>
      </c>
      <c r="BA37" s="36">
        <f t="shared" si="62"/>
        <v>10.44125274842486</v>
      </c>
      <c r="BB37" s="36">
        <f>Calculos!$AH$1</f>
        <v>1.5575884772727273</v>
      </c>
      <c r="BC37" s="36">
        <f t="shared" si="63"/>
        <v>-1.5575884772727273</v>
      </c>
      <c r="BD37" s="35">
        <f>IF(ISNUMBER(Courier!Z31),Courier!Z31,0)</f>
        <v>1.8572525978088379</v>
      </c>
      <c r="BE37" s="36">
        <f>IF(ISNUMBER(Laboratorio!X23),Laboratorio!X23,"")</f>
        <v>1.9059999999999999</v>
      </c>
      <c r="BF37" s="36">
        <f t="shared" si="64"/>
        <v>4.8747402191162026E-2</v>
      </c>
      <c r="BG37" s="36">
        <f t="shared" si="65"/>
        <v>4.8747402191162026E-2</v>
      </c>
      <c r="BH37" s="36">
        <f t="shared" si="66"/>
        <v>2.5575761905121737</v>
      </c>
      <c r="BI37" s="36">
        <f>Calculos!$AI$1</f>
        <v>0.18375074999999999</v>
      </c>
      <c r="BJ37" s="36">
        <f t="shared" si="67"/>
        <v>-0.18375074999999999</v>
      </c>
      <c r="BK37" s="35">
        <f>IF(ISNUMBER(Courier!AB31),Courier!AB31,"")</f>
        <v>27.661218643188477</v>
      </c>
      <c r="BL37" s="36">
        <f>IF(ISNUMBER(Laboratorio!Z23),Laboratorio!Z23,"")</f>
        <v>29.28</v>
      </c>
      <c r="BM37" s="36">
        <f t="shared" si="68"/>
        <v>1.6187813568115246</v>
      </c>
      <c r="BN37" s="36">
        <f t="shared" si="69"/>
        <v>5.5286248524983765</v>
      </c>
      <c r="BO37" s="35">
        <f>IF(ISNUMBER(Courier!AD30),Courier!AD30,"")</f>
        <v>0</v>
      </c>
      <c r="BP37" s="35">
        <f>IF(ISNUMBER(Courier!AD31),Courier!AD31,"")</f>
        <v>10.76077013589121</v>
      </c>
      <c r="BQ37" s="36">
        <f>IF(ISNUMBER(Laboratorio!AB23),Laboratorio!AB23,"")</f>
        <v>10.76</v>
      </c>
      <c r="BR37" s="36">
        <f t="shared" si="35"/>
        <v>-7.701358912104439E-4</v>
      </c>
      <c r="BS37" s="36">
        <f t="shared" si="34"/>
        <v>7.1573967584613752E-3</v>
      </c>
    </row>
    <row r="38" spans="1:71" ht="18" customHeight="1" x14ac:dyDescent="0.2">
      <c r="A38">
        <f>+A36+1</f>
        <v>18</v>
      </c>
      <c r="B38" s="7">
        <f>+B36+1</f>
        <v>46265</v>
      </c>
      <c r="C38" s="7" t="str">
        <f>DAY(B38) &amp; "-" &amp; MONTH(B38) &amp;"-" &amp; YEAR(B38)</f>
        <v>31-8-2026</v>
      </c>
      <c r="D38" s="35">
        <f>IF(ISNUMBER(Courier!E32),Courier!E32,0)</f>
        <v>0.50231575965881348</v>
      </c>
      <c r="E38" s="36">
        <f>IF(ISNUMBER(Laboratorio!E24),Laboratorio!E24,"")</f>
        <v>0.55000000000000004</v>
      </c>
      <c r="F38" s="36">
        <f t="shared" si="36"/>
        <v>4.7684240341186568E-2</v>
      </c>
      <c r="G38" s="36">
        <f t="shared" si="37"/>
        <v>4.7684240341186568E-2</v>
      </c>
      <c r="H38" s="36">
        <f t="shared" si="38"/>
        <v>8.6698618802157394</v>
      </c>
      <c r="I38" s="36">
        <f>Calculos!$I$1</f>
        <v>4.990387499999998E-2</v>
      </c>
      <c r="J38" s="36">
        <f t="shared" si="39"/>
        <v>-4.990387499999998E-2</v>
      </c>
      <c r="K38" s="35">
        <f>IF(ISNUMBER(Courier!G32),Courier!G32,0)</f>
        <v>3.7116792052984238E-2</v>
      </c>
      <c r="L38" s="36">
        <f>IF(ISNUMBER(Laboratorio!G24),Laboratorio!G24,"")</f>
        <v>3.5999999999999997E-2</v>
      </c>
      <c r="M38" s="36">
        <f t="shared" si="40"/>
        <v>-1.1167920529842404E-3</v>
      </c>
      <c r="N38" s="36">
        <f t="shared" si="41"/>
        <v>1.1167920529842404E-3</v>
      </c>
      <c r="O38" s="36">
        <f t="shared" si="42"/>
        <v>3.1022001471784457</v>
      </c>
      <c r="P38" s="36">
        <f>Calculos!$J$1</f>
        <v>5.1807500000000022E-3</v>
      </c>
      <c r="Q38" s="36">
        <f t="shared" si="43"/>
        <v>-5.1807500000000022E-3</v>
      </c>
      <c r="R38" s="35">
        <f>IF(ISNUMBER(Courier!I32),Courier!I32,"")</f>
        <v>1.9858081340789795</v>
      </c>
      <c r="S38" s="36">
        <f>IF(ISNUMBER(Laboratorio!I24),Laboratorio!I24,"")</f>
        <v>2.4929999999999999</v>
      </c>
      <c r="T38" s="36">
        <f t="shared" si="44"/>
        <v>0.50719186592102039</v>
      </c>
      <c r="U38" s="36">
        <f t="shared" si="45"/>
        <v>20.344639627798653</v>
      </c>
      <c r="V38" s="35">
        <f>IF(ISNUMBER(Courier!K32),Courier!K32,"")</f>
        <v>9.1845616698265076E-3</v>
      </c>
      <c r="W38" s="36">
        <f>IF(ISNUMBER(Laboratorio!K24),Laboratorio!K24,"")</f>
        <v>1.0999999999999999E-2</v>
      </c>
      <c r="X38" s="36">
        <f t="shared" si="46"/>
        <v>1.8154383301734918E-3</v>
      </c>
      <c r="Y38" s="36">
        <f t="shared" si="47"/>
        <v>16.503984819759019</v>
      </c>
      <c r="Z38" s="35" t="str">
        <f>IF(ISNUMBER(Courier!M32),Courier!M32,"")</f>
        <v/>
      </c>
      <c r="AA38" s="36" t="str">
        <f>IF(ISNUMBER(Laboratorio!M24),Laboratorio!M24,"")</f>
        <v/>
      </c>
      <c r="AB38" s="36" t="str">
        <f t="shared" si="48"/>
        <v xml:space="preserve"> </v>
      </c>
      <c r="AC38" s="36" t="str">
        <f t="shared" si="49"/>
        <v xml:space="preserve"> </v>
      </c>
      <c r="AD38" s="35">
        <f>IF(ISNUMBER(Courier!O32),Courier!O32,0)</f>
        <v>5.5254612118005753E-2</v>
      </c>
      <c r="AE38" s="36">
        <f>IF(ISNUMBER(Laboratorio!O24),Laboratorio!O24,"")</f>
        <v>0.04</v>
      </c>
      <c r="AF38" s="36">
        <f t="shared" si="50"/>
        <v>-1.5254612118005752E-2</v>
      </c>
      <c r="AG38" s="36">
        <f t="shared" si="51"/>
        <v>1.5254612118005752E-2</v>
      </c>
      <c r="AH38" s="36">
        <f t="shared" si="52"/>
        <v>38.136530295014374</v>
      </c>
      <c r="AI38" s="36">
        <f>Calculos!$U$1</f>
        <v>8.6877272727272758E-3</v>
      </c>
      <c r="AJ38" s="36">
        <f t="shared" si="53"/>
        <v>-8.6877272727272758E-3</v>
      </c>
      <c r="AK38" s="35">
        <f>IF(ISNUMBER(Courier!Q32),Courier!Q32,0)</f>
        <v>5.1274113357067108E-3</v>
      </c>
      <c r="AL38" s="36">
        <f>IF(ISNUMBER(Laboratorio!Q24),Laboratorio!Q24,"")</f>
        <v>6.0000000000000001E-3</v>
      </c>
      <c r="AM38" s="36">
        <f t="shared" si="54"/>
        <v>8.7258866429328931E-4</v>
      </c>
      <c r="AN38" s="36">
        <f t="shared" si="55"/>
        <v>8.7258866429328931E-4</v>
      </c>
      <c r="AO38" s="237">
        <f t="shared" si="56"/>
        <v>14.543144404888157</v>
      </c>
      <c r="AP38" s="36">
        <f>Calculos!$V$1</f>
        <v>2.2111363636363643E-3</v>
      </c>
      <c r="AQ38" s="36">
        <f t="shared" si="57"/>
        <v>-2.2111363636363643E-3</v>
      </c>
      <c r="AR38" s="35">
        <f>IF(ISNUMBER(Courier!S32),Courier!S32,"")</f>
        <v>1.3762176036834717</v>
      </c>
      <c r="AS38" s="36">
        <f>IF(ISNUMBER(Laboratorio!S24),Laboratorio!S24,"")</f>
        <v>1.99</v>
      </c>
      <c r="AT38" s="36">
        <f t="shared" si="58"/>
        <v>0.61378239631652831</v>
      </c>
      <c r="AU38" s="36">
        <f t="shared" si="59"/>
        <v>30.84333649831801</v>
      </c>
      <c r="AV38" s="35" t="str">
        <f>IF(ISNUMBER(Courier!U31),Courier!U31,"")</f>
        <v/>
      </c>
      <c r="AW38" s="35">
        <f>IF(ISNUMBER(Courier!W32),Courier!W32,0)</f>
        <v>25.166622161865234</v>
      </c>
      <c r="AX38" s="36">
        <f>IF(ISNUMBER(Laboratorio!U24),Laboratorio!U24,"")</f>
        <v>23.864000000000001</v>
      </c>
      <c r="AY38" s="36">
        <f t="shared" si="60"/>
        <v>-1.3026221618652336</v>
      </c>
      <c r="AZ38" s="36">
        <f t="shared" si="61"/>
        <v>1.3026221618652336</v>
      </c>
      <c r="BA38" s="36">
        <f t="shared" si="62"/>
        <v>5.4585239769746625</v>
      </c>
      <c r="BB38" s="36">
        <f>Calculos!$AH$1</f>
        <v>1.5575884772727273</v>
      </c>
      <c r="BC38" s="36">
        <f t="shared" si="63"/>
        <v>-1.5575884772727273</v>
      </c>
      <c r="BD38" s="35">
        <f>IF(ISNUMBER(Courier!Y32),Courier!Y32,0)</f>
        <v>1.893884539604187</v>
      </c>
      <c r="BE38" s="36">
        <f>IF(ISNUMBER(Laboratorio!W24),Laboratorio!W24,"")</f>
        <v>1.8069999999999999</v>
      </c>
      <c r="BF38" s="36">
        <f t="shared" si="64"/>
        <v>-8.6884539604187072E-2</v>
      </c>
      <c r="BG38" s="36">
        <f t="shared" si="65"/>
        <v>8.6884539604187072E-2</v>
      </c>
      <c r="BH38" s="36">
        <f t="shared" si="66"/>
        <v>4.8082202326611556</v>
      </c>
      <c r="BI38" s="36">
        <f>Calculos!$AI$1</f>
        <v>0.18375074999999999</v>
      </c>
      <c r="BJ38" s="36">
        <f t="shared" si="67"/>
        <v>-0.18375074999999999</v>
      </c>
      <c r="BK38" s="35">
        <f>IF(ISNUMBER(Courier!AA32),Courier!AA32,"")</f>
        <v>26.856437683105469</v>
      </c>
      <c r="BL38" s="36">
        <f>IF(ISNUMBER(Laboratorio!Y24),Laboratorio!Y24,"")</f>
        <v>27.82</v>
      </c>
      <c r="BM38" s="36">
        <f t="shared" si="68"/>
        <v>0.96356231689453153</v>
      </c>
      <c r="BN38" s="36">
        <f t="shared" si="69"/>
        <v>3.4635597300306666</v>
      </c>
      <c r="BO38" s="35">
        <f>IF(ISNUMBER(Courier!AC31),Courier!AC31,"")</f>
        <v>1.3933911206131449</v>
      </c>
      <c r="BP38" s="35">
        <f>IF(ISNUMBER(Courier!AC32),Courier!AC32,"")</f>
        <v>10.869453034432286</v>
      </c>
      <c r="BQ38" s="36">
        <f>IF(ISNUMBER(Laboratorio!AA24),Laboratorio!AA24,"")</f>
        <v>10.82</v>
      </c>
      <c r="BR38" s="36">
        <f t="shared" si="35"/>
        <v>-4.9453034432286103E-2</v>
      </c>
      <c r="BS38" s="36">
        <f t="shared" si="34"/>
        <v>0.45705207423554622</v>
      </c>
    </row>
    <row r="39" spans="1:71" ht="18" customHeight="1" x14ac:dyDescent="0.2">
      <c r="C39" s="38" t="str">
        <f>DAY(B38) &amp; "-" &amp; MONTH(B38) &amp;"-" &amp; YEAR(B38)</f>
        <v>31-8-2026</v>
      </c>
      <c r="D39" s="35">
        <f>IF(ISNUMBER(Courier!F32),Courier!F32,0)</f>
        <v>0.40348759293556213</v>
      </c>
      <c r="E39" s="36" t="str">
        <f>IF(ISNUMBER(Laboratorio!F24),Laboratorio!F24,"")</f>
        <v/>
      </c>
      <c r="F39" s="36" t="str">
        <f t="shared" si="36"/>
        <v xml:space="preserve"> </v>
      </c>
      <c r="G39" s="36" t="e">
        <f t="shared" si="37"/>
        <v>#VALUE!</v>
      </c>
      <c r="H39" s="36" t="str">
        <f t="shared" si="38"/>
        <v xml:space="preserve"> </v>
      </c>
      <c r="I39" s="36">
        <f>Calculos!$I$1</f>
        <v>4.990387499999998E-2</v>
      </c>
      <c r="J39" s="36">
        <f t="shared" si="39"/>
        <v>-4.990387499999998E-2</v>
      </c>
      <c r="K39" s="35">
        <f>IF(ISNUMBER(Courier!H32),Courier!H32,0)</f>
        <v>3.650277853012085E-2</v>
      </c>
      <c r="L39" s="36" t="str">
        <f>IF(ISNUMBER(Laboratorio!H24),Laboratorio!H24,"")</f>
        <v/>
      </c>
      <c r="M39" s="36" t="str">
        <f t="shared" si="40"/>
        <v xml:space="preserve"> </v>
      </c>
      <c r="N39" s="36" t="e">
        <f t="shared" si="41"/>
        <v>#VALUE!</v>
      </c>
      <c r="O39" s="36" t="str">
        <f t="shared" si="42"/>
        <v xml:space="preserve"> </v>
      </c>
      <c r="P39" s="36">
        <f>Calculos!$J$1</f>
        <v>5.1807500000000022E-3</v>
      </c>
      <c r="Q39" s="36">
        <f t="shared" si="43"/>
        <v>-5.1807500000000022E-3</v>
      </c>
      <c r="R39" s="35">
        <f>IF(ISNUMBER(Courier!J32),Courier!J32,"")</f>
        <v>2.5345699787139893</v>
      </c>
      <c r="S39" s="36" t="str">
        <f>IF(ISNUMBER(Laboratorio!J24),Laboratorio!J24,"")</f>
        <v/>
      </c>
      <c r="T39" s="36" t="str">
        <f t="shared" si="44"/>
        <v xml:space="preserve"> </v>
      </c>
      <c r="U39" s="36" t="str">
        <f t="shared" si="45"/>
        <v xml:space="preserve"> </v>
      </c>
      <c r="V39" s="35">
        <f>IF(ISNUMBER(Courier!L32),Courier!L32,"")</f>
        <v>8.9148255065083504E-3</v>
      </c>
      <c r="W39" s="36" t="str">
        <f>IF(ISNUMBER(Laboratorio!L24),Laboratorio!L24,"")</f>
        <v/>
      </c>
      <c r="X39" s="36" t="str">
        <f t="shared" si="46"/>
        <v xml:space="preserve"> </v>
      </c>
      <c r="Y39" s="36" t="str">
        <f t="shared" si="47"/>
        <v xml:space="preserve"> </v>
      </c>
      <c r="Z39" s="35" t="str">
        <f>IF(ISNUMBER(Courier!N32),Courier!N32,"")</f>
        <v/>
      </c>
      <c r="AA39" s="36" t="str">
        <f>IF(ISNUMBER(Laboratorio!N24),Laboratorio!N24,"")</f>
        <v/>
      </c>
      <c r="AB39" s="36" t="str">
        <f t="shared" si="48"/>
        <v xml:space="preserve"> </v>
      </c>
      <c r="AC39" s="36" t="str">
        <f t="shared" si="49"/>
        <v xml:space="preserve"> </v>
      </c>
      <c r="AD39" s="35">
        <f>IF(ISNUMBER(Courier!P32),Courier!P32,0)</f>
        <v>4.4345006346702576E-2</v>
      </c>
      <c r="AE39" s="36" t="str">
        <f>+IF(ISNUMBER(Laboratorio!P24),Laboratorio!P24,"")</f>
        <v/>
      </c>
      <c r="AF39" s="36" t="str">
        <f t="shared" si="50"/>
        <v xml:space="preserve"> </v>
      </c>
      <c r="AG39" s="36" t="e">
        <f t="shared" si="51"/>
        <v>#VALUE!</v>
      </c>
      <c r="AH39" s="36" t="str">
        <f t="shared" si="52"/>
        <v xml:space="preserve"> </v>
      </c>
      <c r="AI39" s="36">
        <f>Calculos!$U$1</f>
        <v>8.6877272727272758E-3</v>
      </c>
      <c r="AJ39" s="36">
        <f t="shared" si="53"/>
        <v>-8.6877272727272758E-3</v>
      </c>
      <c r="AK39" s="35">
        <f>IF(ISNUMBER(Courier!R32),Courier!R32,0)</f>
        <v>4.8520802520215511E-3</v>
      </c>
      <c r="AL39" s="36" t="str">
        <f>IF(ISNUMBER(Laboratorio!R24),Laboratorio!R24,"")</f>
        <v/>
      </c>
      <c r="AM39" s="36" t="str">
        <f t="shared" si="54"/>
        <v xml:space="preserve"> </v>
      </c>
      <c r="AN39" s="36" t="e">
        <f t="shared" si="55"/>
        <v>#VALUE!</v>
      </c>
      <c r="AO39" s="237" t="str">
        <f t="shared" si="56"/>
        <v xml:space="preserve"> </v>
      </c>
      <c r="AP39" s="36">
        <f>Calculos!$V$1</f>
        <v>2.2111363636363643E-3</v>
      </c>
      <c r="AQ39" s="36">
        <f t="shared" si="57"/>
        <v>-2.2111363636363643E-3</v>
      </c>
      <c r="AR39" s="35">
        <f>IF(ISNUMBER(Courier!T32),Courier!T32,"")</f>
        <v>1.9142037630081177</v>
      </c>
      <c r="AS39" s="36" t="str">
        <f>IF(ISNUMBER(Laboratorio!T24),Laboratorio!T24,"")</f>
        <v/>
      </c>
      <c r="AT39" s="36" t="str">
        <f t="shared" si="58"/>
        <v xml:space="preserve"> </v>
      </c>
      <c r="AU39" s="36" t="str">
        <f t="shared" si="59"/>
        <v xml:space="preserve"> </v>
      </c>
      <c r="AV39" s="35" t="str">
        <f>IF(ISNUMBER(Courier!V31),Courier!V31,"")</f>
        <v/>
      </c>
      <c r="AW39" s="35">
        <f>IF(ISNUMBER(Courier!X32),Courier!X32,0)</f>
        <v>23.135202407836914</v>
      </c>
      <c r="AX39" s="36" t="str">
        <f>IF(ISNUMBER(Laboratorio!V24),Laboratorio!V24,"")</f>
        <v/>
      </c>
      <c r="AY39" s="36" t="str">
        <f t="shared" si="60"/>
        <v xml:space="preserve"> </v>
      </c>
      <c r="AZ39" s="36" t="e">
        <f t="shared" si="61"/>
        <v>#VALUE!</v>
      </c>
      <c r="BA39" s="36" t="str">
        <f t="shared" si="62"/>
        <v xml:space="preserve"> </v>
      </c>
      <c r="BB39" s="36">
        <f>Calculos!$AH$1</f>
        <v>1.5575884772727273</v>
      </c>
      <c r="BC39" s="36">
        <f t="shared" si="63"/>
        <v>-1.5575884772727273</v>
      </c>
      <c r="BD39" s="35">
        <f>IF(ISNUMBER(Courier!Z32),Courier!Z32,0)</f>
        <v>1.7489078044891357</v>
      </c>
      <c r="BE39" s="36" t="str">
        <f>IF(ISNUMBER(Laboratorio!X24),Laboratorio!X24,"")</f>
        <v/>
      </c>
      <c r="BF39" s="36" t="str">
        <f t="shared" si="64"/>
        <v xml:space="preserve"> </v>
      </c>
      <c r="BG39" s="36" t="e">
        <f t="shared" si="65"/>
        <v>#VALUE!</v>
      </c>
      <c r="BH39" s="36" t="str">
        <f t="shared" si="66"/>
        <v xml:space="preserve"> </v>
      </c>
      <c r="BI39" s="36">
        <f>Calculos!$AI$1</f>
        <v>0.18375074999999999</v>
      </c>
      <c r="BJ39" s="36">
        <f t="shared" si="67"/>
        <v>-0.18375074999999999</v>
      </c>
      <c r="BK39" s="35">
        <f>IF(ISNUMBER(Courier!AB32),Courier!AB32,"")</f>
        <v>27.473276138305664</v>
      </c>
      <c r="BL39" s="36" t="str">
        <f>IF(ISNUMBER(Laboratorio!Z24),Laboratorio!Z24,"")</f>
        <v/>
      </c>
      <c r="BM39" s="36" t="str">
        <f t="shared" si="68"/>
        <v xml:space="preserve"> </v>
      </c>
      <c r="BN39" s="36" t="str">
        <f t="shared" si="69"/>
        <v xml:space="preserve"> </v>
      </c>
      <c r="BO39" s="35">
        <f>IF(ISNUMBER(Courier!AD31),Courier!AD31,"")</f>
        <v>10.76077013589121</v>
      </c>
      <c r="BP39" s="35">
        <f>IF(ISNUMBER(Courier!AD32),Courier!AD32,"")</f>
        <v>11.474225041392119</v>
      </c>
      <c r="BQ39" s="36" t="str">
        <f>IF(ISNUMBER(Laboratorio!AB24),Laboratorio!AB24,"")</f>
        <v/>
      </c>
      <c r="BR39" s="36" t="str">
        <f t="shared" si="35"/>
        <v xml:space="preserve"> </v>
      </c>
      <c r="BS39" s="36" t="str">
        <f t="shared" si="34"/>
        <v xml:space="preserve"> </v>
      </c>
    </row>
    <row r="40" spans="1:71" ht="18" customHeight="1" x14ac:dyDescent="0.2">
      <c r="A40">
        <f>+A38+1</f>
        <v>19</v>
      </c>
      <c r="B40" s="7">
        <f>+B38+1</f>
        <v>46266</v>
      </c>
      <c r="C40" s="7" t="str">
        <f>DAY(B40) &amp; "-" &amp; MONTH(B40) &amp;"-" &amp; YEAR(B40)</f>
        <v>1-9-2026</v>
      </c>
      <c r="D40" s="35">
        <f>IF(ISNUMBER(Courier!E33),Courier!E33,0)</f>
        <v>0.3736254870891571</v>
      </c>
      <c r="E40" s="36">
        <f>IF(ISNUMBER(Laboratorio!E25),Laboratorio!E25,"")</f>
        <v>0.441</v>
      </c>
      <c r="F40" s="36">
        <f t="shared" si="36"/>
        <v>6.7374512910842899E-2</v>
      </c>
      <c r="G40" s="36">
        <f t="shared" si="37"/>
        <v>6.7374512910842899E-2</v>
      </c>
      <c r="H40" s="36">
        <f t="shared" si="38"/>
        <v>15.277667326721744</v>
      </c>
      <c r="I40" s="36">
        <f>Calculos!$I$1</f>
        <v>4.990387499999998E-2</v>
      </c>
      <c r="J40" s="36">
        <f t="shared" si="39"/>
        <v>-4.990387499999998E-2</v>
      </c>
      <c r="K40" s="35">
        <f>IF(ISNUMBER(Courier!G33),Courier!G33,0)</f>
        <v>4.6092774718999863E-2</v>
      </c>
      <c r="L40" s="36">
        <f>IF(ISNUMBER(Laboratorio!G25),Laboratorio!G25,"")</f>
        <v>0.05</v>
      </c>
      <c r="M40" s="36">
        <f t="shared" si="40"/>
        <v>3.9072252810001401E-3</v>
      </c>
      <c r="N40" s="36">
        <f t="shared" si="41"/>
        <v>3.9072252810001401E-3</v>
      </c>
      <c r="O40" s="36">
        <f t="shared" si="42"/>
        <v>7.81445056200028</v>
      </c>
      <c r="P40" s="36">
        <f>Calculos!$J$1</f>
        <v>5.1807500000000022E-3</v>
      </c>
      <c r="Q40" s="36">
        <f t="shared" si="43"/>
        <v>-5.1807500000000022E-3</v>
      </c>
      <c r="R40" s="35">
        <f>IF(ISNUMBER(Courier!I33),Courier!I33,"")</f>
        <v>2.6145422458648682</v>
      </c>
      <c r="S40" s="36">
        <f>IF(ISNUMBER(Laboratorio!I25),Laboratorio!I25,"")</f>
        <v>2.6320000000000001</v>
      </c>
      <c r="T40" s="36">
        <f t="shared" si="44"/>
        <v>1.7457754135131953E-2</v>
      </c>
      <c r="U40" s="36">
        <f t="shared" si="45"/>
        <v>0.66328853097005891</v>
      </c>
      <c r="V40" s="35">
        <f>IF(ISNUMBER(Courier!K33),Courier!K33,"")</f>
        <v>7.4626179412007332E-3</v>
      </c>
      <c r="W40" s="36">
        <f>IF(ISNUMBER(Laboratorio!K25),Laboratorio!K25,"")</f>
        <v>5.0000000000000001E-3</v>
      </c>
      <c r="X40" s="36">
        <f t="shared" si="46"/>
        <v>-2.4626179412007331E-3</v>
      </c>
      <c r="Y40" s="36">
        <f t="shared" si="47"/>
        <v>49.252358824014657</v>
      </c>
      <c r="Z40" s="35" t="str">
        <f>IF(ISNUMBER(Courier!M33),Courier!M33,"")</f>
        <v/>
      </c>
      <c r="AA40" s="36" t="str">
        <f>IF(ISNUMBER(Laboratorio!M25),Laboratorio!M25,"")</f>
        <v/>
      </c>
      <c r="AB40" s="36" t="str">
        <f t="shared" si="48"/>
        <v xml:space="preserve"> </v>
      </c>
      <c r="AC40" s="36" t="str">
        <f t="shared" si="49"/>
        <v xml:space="preserve"> </v>
      </c>
      <c r="AD40" s="35">
        <f>IF(ISNUMBER(Courier!O33),Courier!O33,0)</f>
        <v>4.000009223818779E-2</v>
      </c>
      <c r="AE40" s="36">
        <f>IF(ISNUMBER(Laboratorio!O25),Laboratorio!O25,"")</f>
        <v>5.5E-2</v>
      </c>
      <c r="AF40" s="36">
        <f t="shared" si="50"/>
        <v>1.499990776181221E-2</v>
      </c>
      <c r="AG40" s="36">
        <f t="shared" si="51"/>
        <v>1.499990776181221E-2</v>
      </c>
      <c r="AH40" s="36">
        <f t="shared" si="52"/>
        <v>27.272559566931292</v>
      </c>
      <c r="AI40" s="36">
        <f>Calculos!$U$1</f>
        <v>8.6877272727272758E-3</v>
      </c>
      <c r="AJ40" s="36">
        <f t="shared" si="53"/>
        <v>-8.6877272727272758E-3</v>
      </c>
      <c r="AK40" s="35">
        <f>IF(ISNUMBER(Courier!Q33),Courier!Q33,0)</f>
        <v>4.4990410096943378E-3</v>
      </c>
      <c r="AL40" s="36">
        <f>IF(ISNUMBER(Laboratorio!Q25),Laboratorio!Q25,"")</f>
        <v>8.0000000000000002E-3</v>
      </c>
      <c r="AM40" s="36">
        <f t="shared" si="54"/>
        <v>3.5009589903056623E-3</v>
      </c>
      <c r="AN40" s="36">
        <f t="shared" si="55"/>
        <v>3.5009589903056623E-3</v>
      </c>
      <c r="AO40" s="237">
        <f t="shared" si="56"/>
        <v>43.761987378820777</v>
      </c>
      <c r="AP40" s="36">
        <f>Calculos!$V$1</f>
        <v>2.2111363636363643E-3</v>
      </c>
      <c r="AQ40" s="36">
        <f t="shared" si="57"/>
        <v>-2.2111363636363643E-3</v>
      </c>
      <c r="AR40" s="35">
        <f>IF(ISNUMBER(Courier!S33),Courier!S33,"")</f>
        <v>2.1051921844482422</v>
      </c>
      <c r="AS40" s="36">
        <f>IF(ISNUMBER(Laboratorio!S25),Laboratorio!S25,"")</f>
        <v>2.5619999999999998</v>
      </c>
      <c r="AT40" s="36">
        <f t="shared" si="58"/>
        <v>0.45680781555175765</v>
      </c>
      <c r="AU40" s="36">
        <f t="shared" si="59"/>
        <v>17.830125509436286</v>
      </c>
      <c r="AV40" s="35" t="str">
        <f>IF(ISNUMBER(Courier!U32),Courier!U32,"")</f>
        <v/>
      </c>
      <c r="AW40" s="35">
        <f>IF(ISNUMBER(Courier!W33),Courier!W33,0)</f>
        <v>23.102602005004883</v>
      </c>
      <c r="AX40" s="36">
        <f>IF(ISNUMBER(Laboratorio!U25),Laboratorio!U25,"")</f>
        <v>23.084</v>
      </c>
      <c r="AY40" s="36">
        <f t="shared" si="60"/>
        <v>-1.8602005004883182E-2</v>
      </c>
      <c r="AZ40" s="36">
        <f t="shared" si="61"/>
        <v>1.8602005004883182E-2</v>
      </c>
      <c r="BA40" s="36">
        <f t="shared" si="62"/>
        <v>8.0583975935206997E-2</v>
      </c>
      <c r="BB40" s="36">
        <f>Calculos!$AH$1</f>
        <v>1.5575884772727273</v>
      </c>
      <c r="BC40" s="36">
        <f t="shared" si="63"/>
        <v>-1.5575884772727273</v>
      </c>
      <c r="BD40" s="35">
        <f>IF(ISNUMBER(Courier!Y33),Courier!Y33,0)</f>
        <v>2.3694190979003906</v>
      </c>
      <c r="BE40" s="36">
        <f>IF(ISNUMBER(Laboratorio!W25),Laboratorio!W25,"")</f>
        <v>1.97</v>
      </c>
      <c r="BF40" s="36">
        <f t="shared" si="64"/>
        <v>-0.39941909790039065</v>
      </c>
      <c r="BG40" s="36">
        <f t="shared" si="65"/>
        <v>0.39941909790039065</v>
      </c>
      <c r="BH40" s="36">
        <f t="shared" si="66"/>
        <v>20.275081111694956</v>
      </c>
      <c r="BI40" s="36">
        <f>Calculos!$AI$1</f>
        <v>0.18375074999999999</v>
      </c>
      <c r="BJ40" s="36">
        <f t="shared" si="67"/>
        <v>-0.18375074999999999</v>
      </c>
      <c r="BK40" s="35">
        <f>IF(ISNUMBER(Courier!AA33),Courier!AA33,"")</f>
        <v>27.367341995239258</v>
      </c>
      <c r="BL40" s="36">
        <f>IF(ISNUMBER(Laboratorio!Y25),Laboratorio!Y25,"")</f>
        <v>26.2</v>
      </c>
      <c r="BM40" s="36">
        <f t="shared" si="68"/>
        <v>-1.1673419952392585</v>
      </c>
      <c r="BN40" s="36">
        <f t="shared" si="69"/>
        <v>4.4555037986231243</v>
      </c>
      <c r="BO40" s="35">
        <f>IF(ISNUMBER(Courier!AC32),Courier!AC32,"")</f>
        <v>10.869453034432286</v>
      </c>
      <c r="BP40" s="35">
        <f>IF(ISNUMBER(Courier!AC33),Courier!AC33,"")</f>
        <v>11.845024185985896</v>
      </c>
      <c r="BQ40" s="36">
        <f>IF(ISNUMBER(Laboratorio!AA25),Laboratorio!AA25,"")</f>
        <v>11.68</v>
      </c>
      <c r="BR40" s="36">
        <f t="shared" si="35"/>
        <v>-0.16502418598589585</v>
      </c>
      <c r="BS40" s="36">
        <f t="shared" si="34"/>
        <v>1.4128783046737659</v>
      </c>
    </row>
    <row r="41" spans="1:71" ht="18" customHeight="1" x14ac:dyDescent="0.2">
      <c r="C41" s="38" t="str">
        <f>DAY(B40) &amp; "-" &amp; MONTH(B40) &amp;"-" &amp; YEAR(B40)</f>
        <v>1-9-2026</v>
      </c>
      <c r="D41" s="35">
        <f>IF(ISNUMBER(Courier!F33),Courier!F33,0)</f>
        <v>0.44212466478347778</v>
      </c>
      <c r="E41" s="36">
        <f>IF(ISNUMBER(Laboratorio!F25),Laboratorio!F25,"")</f>
        <v>0.48299999999999998</v>
      </c>
      <c r="F41" s="36">
        <f t="shared" si="36"/>
        <v>4.0875335216522202E-2</v>
      </c>
      <c r="G41" s="36">
        <f t="shared" si="37"/>
        <v>4.0875335216522202E-2</v>
      </c>
      <c r="H41" s="36">
        <f t="shared" si="38"/>
        <v>8.4628023222613251</v>
      </c>
      <c r="I41" s="36">
        <f>Calculos!$I$1</f>
        <v>4.990387499999998E-2</v>
      </c>
      <c r="J41" s="36">
        <f t="shared" si="39"/>
        <v>-4.990387499999998E-2</v>
      </c>
      <c r="K41" s="35">
        <f>IF(ISNUMBER(Courier!H33),Courier!H33,0)</f>
        <v>5.0596009939908981E-2</v>
      </c>
      <c r="L41" s="36">
        <f>IF(ISNUMBER(Laboratorio!H25),Laboratorio!H25,"")</f>
        <v>5.7000000000000002E-2</v>
      </c>
      <c r="M41" s="36">
        <f t="shared" si="40"/>
        <v>6.4039900600910207E-3</v>
      </c>
      <c r="N41" s="36">
        <f t="shared" si="41"/>
        <v>6.4039900600910207E-3</v>
      </c>
      <c r="O41" s="36">
        <f t="shared" si="42"/>
        <v>11.235070280861439</v>
      </c>
      <c r="P41" s="36">
        <f>Calculos!$J$1</f>
        <v>5.1807500000000022E-3</v>
      </c>
      <c r="Q41" s="36">
        <f t="shared" si="43"/>
        <v>-5.1807500000000022E-3</v>
      </c>
      <c r="R41" s="35">
        <f>IF(ISNUMBER(Courier!J33),Courier!J33,"")</f>
        <v>2.7508416175842285</v>
      </c>
      <c r="S41" s="36">
        <f>IF(ISNUMBER(Laboratorio!J25),Laboratorio!J25,"")</f>
        <v>3.0009999999999999</v>
      </c>
      <c r="T41" s="36">
        <f t="shared" si="44"/>
        <v>0.25015838241577137</v>
      </c>
      <c r="U41" s="36">
        <f t="shared" si="45"/>
        <v>8.3358341358137746</v>
      </c>
      <c r="V41" s="35">
        <f>IF(ISNUMBER(Courier!L33),Courier!L33,"")</f>
        <v>7.635544054210186E-3</v>
      </c>
      <c r="W41" s="36">
        <f>IF(ISNUMBER(Laboratorio!L25),Laboratorio!L25,"")</f>
        <v>6.0000000000000001E-3</v>
      </c>
      <c r="X41" s="36">
        <f t="shared" si="46"/>
        <v>-1.6355440542101859E-3</v>
      </c>
      <c r="Y41" s="36">
        <f t="shared" si="47"/>
        <v>27.259067570169766</v>
      </c>
      <c r="Z41" s="35" t="str">
        <f>IF(ISNUMBER(Courier!N33),Courier!N33,"")</f>
        <v/>
      </c>
      <c r="AA41" s="36" t="str">
        <f>IF(ISNUMBER(Laboratorio!N25),Laboratorio!N25,"")</f>
        <v/>
      </c>
      <c r="AB41" s="36" t="str">
        <f t="shared" si="48"/>
        <v xml:space="preserve"> </v>
      </c>
      <c r="AC41" s="36" t="str">
        <f t="shared" si="49"/>
        <v xml:space="preserve"> </v>
      </c>
      <c r="AD41" s="35">
        <f>IF(ISNUMBER(Courier!P33),Courier!P33,0)</f>
        <v>4.8696577548980713E-2</v>
      </c>
      <c r="AE41" s="36">
        <f>+IF(ISNUMBER(Laboratorio!P25),Laboratorio!P25,"")</f>
        <v>5.8999999999999997E-2</v>
      </c>
      <c r="AF41" s="36">
        <f t="shared" si="50"/>
        <v>1.0303422451019284E-2</v>
      </c>
      <c r="AG41" s="36">
        <f t="shared" si="51"/>
        <v>1.0303422451019284E-2</v>
      </c>
      <c r="AH41" s="36">
        <f t="shared" si="52"/>
        <v>17.463427883083533</v>
      </c>
      <c r="AI41" s="36">
        <f>Calculos!$U$1</f>
        <v>8.6877272727272758E-3</v>
      </c>
      <c r="AJ41" s="36">
        <f t="shared" si="53"/>
        <v>-8.6877272727272758E-3</v>
      </c>
      <c r="AK41" s="35">
        <f>IF(ISNUMBER(Courier!R33),Courier!R33,0)</f>
        <v>5.2151018753647804E-3</v>
      </c>
      <c r="AL41" s="36">
        <f>IF(ISNUMBER(Laboratorio!R25),Laboratorio!R25,"")</f>
        <v>1.2E-2</v>
      </c>
      <c r="AM41" s="36">
        <f t="shared" si="54"/>
        <v>6.7848981246352198E-3</v>
      </c>
      <c r="AN41" s="36">
        <f t="shared" si="55"/>
        <v>6.7848981246352198E-3</v>
      </c>
      <c r="AO41" s="237">
        <f t="shared" si="56"/>
        <v>56.540817705293499</v>
      </c>
      <c r="AP41" s="36">
        <f>Calculos!$V$1</f>
        <v>2.2111363636363643E-3</v>
      </c>
      <c r="AQ41" s="36">
        <f t="shared" si="57"/>
        <v>-2.2111363636363643E-3</v>
      </c>
      <c r="AR41" s="35">
        <f>IF(ISNUMBER(Courier!T33),Courier!T33,"")</f>
        <v>1.8737521171569824</v>
      </c>
      <c r="AS41" s="36">
        <f>IF(ISNUMBER(Laboratorio!T25),Laboratorio!T25,"")</f>
        <v>2.6139999999999999</v>
      </c>
      <c r="AT41" s="36">
        <f t="shared" si="58"/>
        <v>0.74024788284301746</v>
      </c>
      <c r="AU41" s="36">
        <f t="shared" si="59"/>
        <v>28.318587713963943</v>
      </c>
      <c r="AV41" s="35" t="str">
        <f>IF(ISNUMBER(Courier!V32),Courier!V32,"")</f>
        <v/>
      </c>
      <c r="AW41" s="35">
        <f>IF(ISNUMBER(Courier!X33),Courier!X33,0)</f>
        <v>24.377904891967773</v>
      </c>
      <c r="AX41" s="36">
        <f>IF(ISNUMBER(Laboratorio!V25),Laboratorio!V25,"")</f>
        <v>24.762</v>
      </c>
      <c r="AY41" s="36">
        <f t="shared" si="60"/>
        <v>0.38409510803222702</v>
      </c>
      <c r="AZ41" s="36">
        <f t="shared" si="61"/>
        <v>0.38409510803222702</v>
      </c>
      <c r="BA41" s="36">
        <f t="shared" si="62"/>
        <v>1.551147354948013</v>
      </c>
      <c r="BB41" s="36">
        <f>Calculos!$AH$1</f>
        <v>1.5575884772727273</v>
      </c>
      <c r="BC41" s="36">
        <f t="shared" si="63"/>
        <v>-1.5575884772727273</v>
      </c>
      <c r="BD41" s="35">
        <f>IF(ISNUMBER(Courier!Z33),Courier!Z33,0)</f>
        <v>2.65802001953125</v>
      </c>
      <c r="BE41" s="36">
        <f>IF(ISNUMBER(Laboratorio!X25),Laboratorio!X25,"")</f>
        <v>2.9470000000000001</v>
      </c>
      <c r="BF41" s="36">
        <f t="shared" si="64"/>
        <v>0.28897998046875006</v>
      </c>
      <c r="BG41" s="36">
        <f t="shared" si="65"/>
        <v>0.28897998046875006</v>
      </c>
      <c r="BH41" s="36">
        <f t="shared" si="66"/>
        <v>9.8059036467170024</v>
      </c>
      <c r="BI41" s="36">
        <f>Calculos!$AI$1</f>
        <v>0.18375074999999999</v>
      </c>
      <c r="BJ41" s="36">
        <f t="shared" si="67"/>
        <v>-0.18375074999999999</v>
      </c>
      <c r="BK41" s="35">
        <f>IF(ISNUMBER(Courier!AB33),Courier!AB33,"")</f>
        <v>26.602724075317383</v>
      </c>
      <c r="BL41" s="36">
        <f>IF(ISNUMBER(Laboratorio!Z25),Laboratorio!Z25,"")</f>
        <v>28.28</v>
      </c>
      <c r="BM41" s="36">
        <f t="shared" si="68"/>
        <v>1.6772759246826183</v>
      </c>
      <c r="BN41" s="36">
        <f t="shared" si="69"/>
        <v>5.9309615441393859</v>
      </c>
      <c r="BO41" s="35">
        <f>IF(ISNUMBER(Courier!AD32),Courier!AD32,"")</f>
        <v>11.474225041392119</v>
      </c>
      <c r="BP41" s="35">
        <f>IF(ISNUMBER(Courier!AD33),Courier!AD33,"")</f>
        <v>10.015300016674759</v>
      </c>
      <c r="BQ41" s="36">
        <f>IF(ISNUMBER(Laboratorio!AB25),Laboratorio!AB25,"")</f>
        <v>9.9600000000000009</v>
      </c>
      <c r="BR41" s="36">
        <f t="shared" si="35"/>
        <v>-5.5300016674758368E-2</v>
      </c>
      <c r="BS41" s="36">
        <f t="shared" si="34"/>
        <v>0.55522105095138918</v>
      </c>
    </row>
    <row r="42" spans="1:71" ht="18" customHeight="1" x14ac:dyDescent="0.2">
      <c r="A42">
        <f>+A40+1</f>
        <v>20</v>
      </c>
      <c r="B42" s="7">
        <f>+B40+1</f>
        <v>46267</v>
      </c>
      <c r="C42" s="7" t="str">
        <f>DAY(B42) &amp; "-" &amp; MONTH(B42) &amp;"-" &amp; YEAR(B42)</f>
        <v>2-9-2026</v>
      </c>
      <c r="D42" s="35">
        <f>IF(ISNUMBER(Courier!E34),Courier!E34,0)</f>
        <v>0.39033800363540649</v>
      </c>
      <c r="E42" s="36">
        <f>IF(ISNUMBER(Laboratorio!E26),Laboratorio!E26,"")</f>
        <v>0.47599999999999998</v>
      </c>
      <c r="F42" s="36">
        <f t="shared" si="36"/>
        <v>8.5661996364593485E-2</v>
      </c>
      <c r="G42" s="36">
        <f t="shared" si="37"/>
        <v>8.5661996364593485E-2</v>
      </c>
      <c r="H42" s="36">
        <f t="shared" si="38"/>
        <v>17.996217723654095</v>
      </c>
      <c r="I42" s="36">
        <f>Calculos!$I$1</f>
        <v>4.990387499999998E-2</v>
      </c>
      <c r="J42" s="36">
        <f t="shared" si="39"/>
        <v>-4.990387499999998E-2</v>
      </c>
      <c r="K42" s="35">
        <f>IF(ISNUMBER(Courier!G34),Courier!G34,0)</f>
        <v>3.931552916765213E-2</v>
      </c>
      <c r="L42" s="36">
        <f>IF(ISNUMBER(Laboratorio!G26),Laboratorio!G26,"")</f>
        <v>4.3999999999999997E-2</v>
      </c>
      <c r="M42" s="36">
        <f t="shared" si="40"/>
        <v>4.6844708323478673E-3</v>
      </c>
      <c r="N42" s="36">
        <f t="shared" si="41"/>
        <v>4.6844708323478673E-3</v>
      </c>
      <c r="O42" s="36">
        <f t="shared" si="42"/>
        <v>10.646524618972427</v>
      </c>
      <c r="P42" s="36">
        <f>Calculos!$J$1</f>
        <v>5.1807500000000022E-3</v>
      </c>
      <c r="Q42" s="36">
        <f t="shared" si="43"/>
        <v>-5.1807500000000022E-3</v>
      </c>
      <c r="R42" s="35">
        <f>IF(ISNUMBER(Courier!I34),Courier!I34,"")</f>
        <v>2.567657470703125</v>
      </c>
      <c r="S42" s="36">
        <f>IF(ISNUMBER(Laboratorio!I26),Laboratorio!I26,"")</f>
        <v>2.4169999999999998</v>
      </c>
      <c r="T42" s="36">
        <f t="shared" si="44"/>
        <v>-0.15065747070312518</v>
      </c>
      <c r="U42" s="36">
        <f t="shared" si="45"/>
        <v>6.233242478408159</v>
      </c>
      <c r="V42" s="35">
        <f>IF(ISNUMBER(Courier!K34),Courier!K34,"")</f>
        <v>7.0276269689202309E-3</v>
      </c>
      <c r="W42" s="36">
        <f>IF(ISNUMBER(Laboratorio!K26),Laboratorio!K26,"")</f>
        <v>5.0000000000000001E-3</v>
      </c>
      <c r="X42" s="36">
        <f t="shared" si="46"/>
        <v>-2.0276269689202308E-3</v>
      </c>
      <c r="Y42" s="36">
        <f t="shared" si="47"/>
        <v>40.55253937840461</v>
      </c>
      <c r="Z42" s="35" t="str">
        <f>IF(ISNUMBER(Courier!M34),Courier!M34,"")</f>
        <v/>
      </c>
      <c r="AA42" s="36" t="str">
        <f>IF(ISNUMBER(Laboratorio!M26),Laboratorio!M26,"")</f>
        <v/>
      </c>
      <c r="AB42" s="36" t="str">
        <f t="shared" si="48"/>
        <v xml:space="preserve"> </v>
      </c>
      <c r="AC42" s="36" t="str">
        <f t="shared" si="49"/>
        <v xml:space="preserve"> </v>
      </c>
      <c r="AD42" s="35">
        <f>IF(ISNUMBER(Courier!O34),Courier!O34,0)</f>
        <v>4.5061357319355011E-2</v>
      </c>
      <c r="AE42" s="36">
        <f>IF(ISNUMBER(Laboratorio!O26),Laboratorio!O26,"")</f>
        <v>5.0999999999999997E-2</v>
      </c>
      <c r="AF42" s="36">
        <f t="shared" si="50"/>
        <v>5.9386426806449857E-3</v>
      </c>
      <c r="AG42" s="36">
        <f t="shared" si="51"/>
        <v>5.9386426806449857E-3</v>
      </c>
      <c r="AH42" s="36">
        <f t="shared" si="52"/>
        <v>11.644397413029385</v>
      </c>
      <c r="AI42" s="36">
        <f>Calculos!$U$1</f>
        <v>8.6877272727272758E-3</v>
      </c>
      <c r="AJ42" s="36">
        <f t="shared" si="53"/>
        <v>-8.6877272727272758E-3</v>
      </c>
      <c r="AK42" s="35">
        <f>IF(ISNUMBER(Courier!Q34),Courier!Q34,0)</f>
        <v>5.0686276517808437E-3</v>
      </c>
      <c r="AL42" s="36">
        <f>IF(ISNUMBER(Laboratorio!Q26),Laboratorio!Q26,"")</f>
        <v>8.0000000000000002E-3</v>
      </c>
      <c r="AM42" s="36">
        <f t="shared" si="54"/>
        <v>2.9313723482191564E-3</v>
      </c>
      <c r="AN42" s="36">
        <f t="shared" si="55"/>
        <v>2.9313723482191564E-3</v>
      </c>
      <c r="AO42" s="237">
        <f t="shared" si="56"/>
        <v>36.642154352739453</v>
      </c>
      <c r="AP42" s="36">
        <f>Calculos!$V$1</f>
        <v>2.2111363636363643E-3</v>
      </c>
      <c r="AQ42" s="36">
        <f t="shared" si="57"/>
        <v>-2.2111363636363643E-3</v>
      </c>
      <c r="AR42" s="35">
        <f>IF(ISNUMBER(Courier!S34),Courier!S34,"")</f>
        <v>1.8178185224533081</v>
      </c>
      <c r="AS42" s="36">
        <f>IF(ISNUMBER(Laboratorio!S26),Laboratorio!S26,"")</f>
        <v>2.17</v>
      </c>
      <c r="AT42" s="36">
        <f t="shared" si="58"/>
        <v>0.35218147754669182</v>
      </c>
      <c r="AU42" s="36">
        <f t="shared" si="59"/>
        <v>16.229561177266906</v>
      </c>
      <c r="AV42" s="35" t="str">
        <f>IF(ISNUMBER(Courier!U33),Courier!U33,"")</f>
        <v/>
      </c>
      <c r="AW42" s="35">
        <f>IF(ISNUMBER(Courier!W34),Courier!W34,0)</f>
        <v>25.557792663574219</v>
      </c>
      <c r="AX42" s="36">
        <f>IF(ISNUMBER(Laboratorio!U26),Laboratorio!U26,"")</f>
        <v>24.184999999999999</v>
      </c>
      <c r="AY42" s="36">
        <f t="shared" si="60"/>
        <v>-1.37279266357422</v>
      </c>
      <c r="AZ42" s="36">
        <f t="shared" si="61"/>
        <v>1.37279266357422</v>
      </c>
      <c r="BA42" s="36">
        <f t="shared" si="62"/>
        <v>5.6762152721696095</v>
      </c>
      <c r="BB42" s="36">
        <f>Calculos!$AH$1</f>
        <v>1.5575884772727273</v>
      </c>
      <c r="BC42" s="36">
        <f t="shared" si="63"/>
        <v>-1.5575884772727273</v>
      </c>
      <c r="BD42" s="35">
        <f>IF(ISNUMBER(Courier!Y34),Courier!Y34,0)</f>
        <v>2.3231534957885742</v>
      </c>
      <c r="BE42" s="36">
        <f>IF(ISNUMBER(Laboratorio!W26),Laboratorio!W26,"")</f>
        <v>2.61</v>
      </c>
      <c r="BF42" s="36">
        <f t="shared" si="64"/>
        <v>0.28684650421142566</v>
      </c>
      <c r="BG42" s="36">
        <f t="shared" si="65"/>
        <v>0.28684650421142566</v>
      </c>
      <c r="BH42" s="36">
        <f t="shared" si="66"/>
        <v>10.990287517679144</v>
      </c>
      <c r="BI42" s="36">
        <f>Calculos!$AI$1</f>
        <v>0.18375074999999999</v>
      </c>
      <c r="BJ42" s="36">
        <f t="shared" si="67"/>
        <v>-0.18375074999999999</v>
      </c>
      <c r="BK42" s="35">
        <f>IF(ISNUMBER(Courier!AA34),Courier!AA34,"")</f>
        <v>26.955389022827148</v>
      </c>
      <c r="BL42" s="36">
        <f>IF(ISNUMBER(Laboratorio!Y26),Laboratorio!Y26,"")</f>
        <v>27.42</v>
      </c>
      <c r="BM42" s="36">
        <f t="shared" si="68"/>
        <v>0.46461097717285327</v>
      </c>
      <c r="BN42" s="36">
        <f t="shared" si="69"/>
        <v>1.6944236950140528</v>
      </c>
      <c r="BO42" s="35">
        <f>IF(ISNUMBER(Courier!AC33),Courier!AC33,"")</f>
        <v>11.845024185985896</v>
      </c>
      <c r="BP42" s="35">
        <f>IF(ISNUMBER(Courier!AC34),Courier!AC34,"")</f>
        <v>10.328913108135177</v>
      </c>
      <c r="BQ42" s="36">
        <f>IF(ISNUMBER(Laboratorio!AA26),Laboratorio!AA26,"")</f>
        <v>10.32</v>
      </c>
      <c r="BR42" s="36">
        <f t="shared" si="35"/>
        <v>-8.9131081351769836E-3</v>
      </c>
      <c r="BS42" s="36">
        <f t="shared" si="34"/>
        <v>8.6367326891249846E-2</v>
      </c>
    </row>
    <row r="43" spans="1:71" ht="18" customHeight="1" x14ac:dyDescent="0.2">
      <c r="C43" s="38" t="str">
        <f>DAY(B42) &amp; "-" &amp; MONTH(B42) &amp;"-" &amp; YEAR(B42)</f>
        <v>2-9-2026</v>
      </c>
      <c r="D43" s="35">
        <f>IF(ISNUMBER(Courier!F34),Courier!F34,0)</f>
        <v>0.40830069780349731</v>
      </c>
      <c r="E43" s="36">
        <f>IF(ISNUMBER(Laboratorio!F26),Laboratorio!F26,"")</f>
        <v>0.46500000000000002</v>
      </c>
      <c r="F43" s="36">
        <f t="shared" si="36"/>
        <v>5.669930219650271E-2</v>
      </c>
      <c r="G43" s="36">
        <f t="shared" si="37"/>
        <v>5.669930219650271E-2</v>
      </c>
      <c r="H43" s="36">
        <f t="shared" si="38"/>
        <v>12.193398321828539</v>
      </c>
      <c r="I43" s="36">
        <f>Calculos!$I$1</f>
        <v>4.990387499999998E-2</v>
      </c>
      <c r="J43" s="36">
        <f t="shared" si="39"/>
        <v>-4.990387499999998E-2</v>
      </c>
      <c r="K43" s="35">
        <f>IF(ISNUMBER(Courier!H34),Courier!H34,0)</f>
        <v>3.9904758334159851E-2</v>
      </c>
      <c r="L43" s="36">
        <f>IF(ISNUMBER(Laboratorio!H26),Laboratorio!H26,"")</f>
        <v>3.6999999999999998E-2</v>
      </c>
      <c r="M43" s="36">
        <f t="shared" si="40"/>
        <v>-2.9047583341598529E-3</v>
      </c>
      <c r="N43" s="36">
        <f t="shared" si="41"/>
        <v>2.9047583341598529E-3</v>
      </c>
      <c r="O43" s="36">
        <f t="shared" si="42"/>
        <v>7.8506982004320349</v>
      </c>
      <c r="P43" s="36">
        <f>Calculos!$J$1</f>
        <v>5.1807500000000022E-3</v>
      </c>
      <c r="Q43" s="36">
        <f t="shared" si="43"/>
        <v>-5.1807500000000022E-3</v>
      </c>
      <c r="R43" s="35">
        <f>IF(ISNUMBER(Courier!J34),Courier!J34,"")</f>
        <v>2.6255476474761963</v>
      </c>
      <c r="S43" s="36">
        <f>IF(ISNUMBER(Laboratorio!J26),Laboratorio!J26,"")</f>
        <v>3.1869999999999998</v>
      </c>
      <c r="T43" s="36">
        <f t="shared" si="44"/>
        <v>0.56145235252380354</v>
      </c>
      <c r="U43" s="36">
        <f t="shared" si="45"/>
        <v>17.616954895632368</v>
      </c>
      <c r="V43" s="35">
        <f>IF(ISNUMBER(Courier!L34),Courier!L34,"")</f>
        <v>7.2544845752418041E-3</v>
      </c>
      <c r="W43" s="36">
        <f>IF(ISNUMBER(Laboratorio!L26),Laboratorio!L26,"")</f>
        <v>7.0000000000000001E-3</v>
      </c>
      <c r="X43" s="36">
        <f t="shared" si="46"/>
        <v>-2.5448457524180398E-4</v>
      </c>
      <c r="Y43" s="36">
        <f t="shared" si="47"/>
        <v>3.6354939320257711</v>
      </c>
      <c r="Z43" s="35" t="str">
        <f>IF(ISNUMBER(Courier!N34),Courier!N34,"")</f>
        <v/>
      </c>
      <c r="AA43" s="36" t="str">
        <f>IF(ISNUMBER(Laboratorio!N26),Laboratorio!N26,"")</f>
        <v/>
      </c>
      <c r="AB43" s="36" t="str">
        <f t="shared" si="48"/>
        <v xml:space="preserve"> </v>
      </c>
      <c r="AC43" s="36" t="str">
        <f t="shared" si="49"/>
        <v xml:space="preserve"> </v>
      </c>
      <c r="AD43" s="35">
        <f>IF(ISNUMBER(Courier!P34),Courier!P34,0)</f>
        <v>3.5695921629667282E-2</v>
      </c>
      <c r="AE43" s="36">
        <f>+IF(ISNUMBER(Laboratorio!P26),Laboratorio!P26,"")</f>
        <v>3.1E-2</v>
      </c>
      <c r="AF43" s="36">
        <f t="shared" si="50"/>
        <v>-4.6959216296672823E-3</v>
      </c>
      <c r="AG43" s="36">
        <f t="shared" si="51"/>
        <v>4.6959216296672823E-3</v>
      </c>
      <c r="AH43" s="36">
        <f t="shared" si="52"/>
        <v>15.148134289249299</v>
      </c>
      <c r="AI43" s="36">
        <f>Calculos!$U$1</f>
        <v>8.6877272727272758E-3</v>
      </c>
      <c r="AJ43" s="36">
        <f t="shared" si="53"/>
        <v>-8.6877272727272758E-3</v>
      </c>
      <c r="AK43" s="35">
        <f>IF(ISNUMBER(Courier!R34),Courier!R34,0)</f>
        <v>4.6232151798903942E-3</v>
      </c>
      <c r="AL43" s="36">
        <f>IF(ISNUMBER(Laboratorio!R26),Laboratorio!R26,"")</f>
        <v>5.0000000000000001E-3</v>
      </c>
      <c r="AM43" s="36">
        <f t="shared" si="54"/>
        <v>3.7678482010960589E-4</v>
      </c>
      <c r="AN43" s="36">
        <f t="shared" si="55"/>
        <v>3.7678482010960589E-4</v>
      </c>
      <c r="AO43" s="237">
        <f t="shared" si="56"/>
        <v>7.5356964021921176</v>
      </c>
      <c r="AP43" s="36">
        <f>Calculos!$V$1</f>
        <v>2.2111363636363643E-3</v>
      </c>
      <c r="AQ43" s="36">
        <f t="shared" si="57"/>
        <v>-2.2111363636363643E-3</v>
      </c>
      <c r="AR43" s="35">
        <f>IF(ISNUMBER(Courier!T34),Courier!T34,"")</f>
        <v>2.1222233772277832</v>
      </c>
      <c r="AS43" s="36">
        <f>IF(ISNUMBER(Laboratorio!T26),Laboratorio!T26,"")</f>
        <v>2.1040000000000001</v>
      </c>
      <c r="AT43" s="36">
        <f t="shared" si="58"/>
        <v>-1.8223377227783111E-2</v>
      </c>
      <c r="AU43" s="36">
        <f t="shared" si="59"/>
        <v>0.86613009637752425</v>
      </c>
      <c r="AV43" s="35" t="str">
        <f>IF(ISNUMBER(Courier!V33),Courier!V33,"")</f>
        <v/>
      </c>
      <c r="AW43" s="35">
        <f>IF(ISNUMBER(Courier!X34),Courier!X34,0)</f>
        <v>23.321441650390625</v>
      </c>
      <c r="AX43" s="36">
        <f>IF(ISNUMBER(Laboratorio!V26),Laboratorio!V26,"")</f>
        <v>25.35</v>
      </c>
      <c r="AY43" s="36">
        <f t="shared" si="60"/>
        <v>2.0285583496093764</v>
      </c>
      <c r="AZ43" s="36">
        <f t="shared" si="61"/>
        <v>2.0285583496093764</v>
      </c>
      <c r="BA43" s="36">
        <f t="shared" si="62"/>
        <v>8.0022025625616422</v>
      </c>
      <c r="BB43" s="36">
        <f>Calculos!$AH$1</f>
        <v>1.5575884772727273</v>
      </c>
      <c r="BC43" s="36">
        <f t="shared" si="63"/>
        <v>-1.5575884772727273</v>
      </c>
      <c r="BD43" s="35">
        <f>IF(ISNUMBER(Courier!Z34),Courier!Z34,0)</f>
        <v>1.7807154655456543</v>
      </c>
      <c r="BE43" s="36">
        <f>IF(ISNUMBER(Laboratorio!X26),Laboratorio!X26,"")</f>
        <v>1.585</v>
      </c>
      <c r="BF43" s="36">
        <f t="shared" si="64"/>
        <v>-0.19571546554565433</v>
      </c>
      <c r="BG43" s="36">
        <f t="shared" si="65"/>
        <v>0.19571546554565433</v>
      </c>
      <c r="BH43" s="36">
        <f t="shared" si="66"/>
        <v>12.347978898779454</v>
      </c>
      <c r="BI43" s="36">
        <f>Calculos!$AI$1</f>
        <v>0.18375074999999999</v>
      </c>
      <c r="BJ43" s="36">
        <f t="shared" si="67"/>
        <v>-0.18375074999999999</v>
      </c>
      <c r="BK43" s="35">
        <f>IF(ISNUMBER(Courier!AB34),Courier!AB34,"")</f>
        <v>28.53587532043457</v>
      </c>
      <c r="BL43" s="36">
        <f>IF(ISNUMBER(Laboratorio!Z26),Laboratorio!Z26,"")</f>
        <v>31.25</v>
      </c>
      <c r="BM43" s="36">
        <f t="shared" si="68"/>
        <v>2.7141246795654297</v>
      </c>
      <c r="BN43" s="36">
        <f t="shared" si="69"/>
        <v>8.6851989746093743</v>
      </c>
      <c r="BO43" s="35">
        <f>IF(ISNUMBER(Courier!AD33),Courier!AD33,"")</f>
        <v>10.015300016674759</v>
      </c>
      <c r="BP43" s="35">
        <f>IF(ISNUMBER(Courier!AD34),Courier!AD34,"")</f>
        <v>10.5249248013073</v>
      </c>
      <c r="BQ43" s="36">
        <f>IF(ISNUMBER(Laboratorio!AB26),Laboratorio!AB26,"")</f>
        <v>6.88</v>
      </c>
      <c r="BR43" s="36">
        <f t="shared" si="35"/>
        <v>-3.6449248013073001</v>
      </c>
      <c r="BS43" s="36">
        <f t="shared" si="34"/>
        <v>52.978558158536337</v>
      </c>
    </row>
    <row r="44" spans="1:71" ht="18" customHeight="1" x14ac:dyDescent="0.2">
      <c r="A44">
        <f>+A42+1</f>
        <v>21</v>
      </c>
      <c r="B44" s="7">
        <f>+B42+1</f>
        <v>46268</v>
      </c>
      <c r="C44" s="7" t="str">
        <f>DAY(B44) &amp; "-" &amp; MONTH(B44) &amp;"-" &amp; YEAR(B44)</f>
        <v>3-9-2026</v>
      </c>
      <c r="D44" s="35">
        <f>IF(ISNUMBER(Courier!E35),Courier!E35,0)</f>
        <v>0.31929829716682434</v>
      </c>
      <c r="E44" s="36">
        <f>IF(ISNUMBER(Laboratorio!E27),Laboratorio!E27,"")</f>
        <v>0.44400000000000001</v>
      </c>
      <c r="F44" s="36">
        <f t="shared" si="36"/>
        <v>0.12470170283317566</v>
      </c>
      <c r="G44" s="36">
        <f t="shared" si="37"/>
        <v>0.12470170283317566</v>
      </c>
      <c r="H44" s="36">
        <f t="shared" si="38"/>
        <v>28.085969106571095</v>
      </c>
      <c r="I44" s="36">
        <f>Calculos!$I$1</f>
        <v>4.990387499999998E-2</v>
      </c>
      <c r="J44" s="36">
        <f t="shared" si="39"/>
        <v>-4.990387499999998E-2</v>
      </c>
      <c r="K44" s="35">
        <f>IF(ISNUMBER(Courier!G35),Courier!G35,0)</f>
        <v>4.4588696211576462E-2</v>
      </c>
      <c r="L44" s="36">
        <f>IF(ISNUMBER(Laboratorio!G27),Laboratorio!G27,"")</f>
        <v>3.5999999999999997E-2</v>
      </c>
      <c r="M44" s="36">
        <f t="shared" si="40"/>
        <v>-8.5886962115764645E-3</v>
      </c>
      <c r="N44" s="36">
        <f t="shared" si="41"/>
        <v>8.5886962115764645E-3</v>
      </c>
      <c r="O44" s="36">
        <f t="shared" si="42"/>
        <v>23.857489476601295</v>
      </c>
      <c r="P44" s="36">
        <f>Calculos!$J$1</f>
        <v>5.1807500000000022E-3</v>
      </c>
      <c r="Q44" s="36">
        <f t="shared" si="43"/>
        <v>-5.1807500000000022E-3</v>
      </c>
      <c r="R44" s="35">
        <f>IF(ISNUMBER(Courier!I35),Courier!I35,"")</f>
        <v>2.2746589183807373</v>
      </c>
      <c r="S44" s="36">
        <f>IF(ISNUMBER(Laboratorio!I27),Laboratorio!I27,"")</f>
        <v>2.9660000000000002</v>
      </c>
      <c r="T44" s="36">
        <f t="shared" si="44"/>
        <v>0.69134108161926289</v>
      </c>
      <c r="U44" s="36">
        <f t="shared" si="45"/>
        <v>23.308869912989309</v>
      </c>
      <c r="V44" s="35">
        <f>IF(ISNUMBER(Courier!K35),Courier!K35,"")</f>
        <v>5.736964289098978E-3</v>
      </c>
      <c r="W44" s="36">
        <f>IF(ISNUMBER(Laboratorio!K27),Laboratorio!K27,"")</f>
        <v>7.0000000000000001E-3</v>
      </c>
      <c r="X44" s="36">
        <f t="shared" si="46"/>
        <v>1.2630357109010221E-3</v>
      </c>
      <c r="Y44" s="36">
        <f t="shared" si="47"/>
        <v>18.043367298586031</v>
      </c>
      <c r="Z44" s="35" t="str">
        <f>IF(ISNUMBER(Courier!M35),Courier!M35,"")</f>
        <v/>
      </c>
      <c r="AA44" s="36" t="str">
        <f>IF(ISNUMBER(Laboratorio!M27),Laboratorio!M27,"")</f>
        <v/>
      </c>
      <c r="AB44" s="36" t="str">
        <f t="shared" si="48"/>
        <v xml:space="preserve"> </v>
      </c>
      <c r="AC44" s="36" t="str">
        <f t="shared" si="49"/>
        <v xml:space="preserve"> </v>
      </c>
      <c r="AD44" s="35">
        <f>IF(ISNUMBER(Courier!O35),Courier!O35,0)</f>
        <v>4.8773180693387985E-2</v>
      </c>
      <c r="AE44" s="36">
        <f>IF(ISNUMBER(Laboratorio!O27),Laboratorio!O27,"")</f>
        <v>0.05</v>
      </c>
      <c r="AF44" s="36">
        <f t="shared" si="50"/>
        <v>1.2268193066120175E-3</v>
      </c>
      <c r="AG44" s="36">
        <f t="shared" si="51"/>
        <v>1.2268193066120175E-3</v>
      </c>
      <c r="AH44" s="36">
        <f t="shared" si="52"/>
        <v>2.4536386132240349</v>
      </c>
      <c r="AI44" s="36">
        <f>Calculos!$U$1</f>
        <v>8.6877272727272758E-3</v>
      </c>
      <c r="AJ44" s="36">
        <f t="shared" si="53"/>
        <v>-8.6877272727272758E-3</v>
      </c>
      <c r="AK44" s="35">
        <f>IF(ISNUMBER(Courier!Q35),Courier!Q35,0)</f>
        <v>4.381291102617979E-3</v>
      </c>
      <c r="AL44" s="36">
        <f>IF(ISNUMBER(Laboratorio!Q27),Laboratorio!Q27,"")</f>
        <v>6.0000000000000001E-3</v>
      </c>
      <c r="AM44" s="36">
        <f t="shared" si="54"/>
        <v>1.6187088973820211E-3</v>
      </c>
      <c r="AN44" s="36">
        <f t="shared" si="55"/>
        <v>1.6187088973820211E-3</v>
      </c>
      <c r="AO44" s="237">
        <f t="shared" si="56"/>
        <v>26.978481623033684</v>
      </c>
      <c r="AP44" s="36">
        <f>Calculos!$V$1</f>
        <v>2.2111363636363643E-3</v>
      </c>
      <c r="AQ44" s="36">
        <f t="shared" si="57"/>
        <v>-2.2111363636363643E-3</v>
      </c>
      <c r="AR44" s="35">
        <f>IF(ISNUMBER(Courier!S35),Courier!S35,"")</f>
        <v>2.018911600112915</v>
      </c>
      <c r="AS44" s="36">
        <f>IF(ISNUMBER(Laboratorio!S27),Laboratorio!S27,"")</f>
        <v>2.6819999999999999</v>
      </c>
      <c r="AT44" s="36">
        <f t="shared" si="58"/>
        <v>0.6630883998870849</v>
      </c>
      <c r="AU44" s="36">
        <f t="shared" si="59"/>
        <v>24.723653985349923</v>
      </c>
      <c r="AV44" s="35" t="str">
        <f>IF(ISNUMBER(Courier!U34),Courier!U34,"")</f>
        <v/>
      </c>
      <c r="AW44" s="35">
        <f>IF(ISNUMBER(Courier!W35),Courier!W35,0)</f>
        <v>21.977792739868164</v>
      </c>
      <c r="AX44" s="36">
        <f>IF(ISNUMBER(Laboratorio!U27),Laboratorio!U27,"")</f>
        <v>25.373000000000001</v>
      </c>
      <c r="AY44" s="36">
        <f t="shared" si="60"/>
        <v>3.395207260131837</v>
      </c>
      <c r="AZ44" s="36">
        <f t="shared" si="61"/>
        <v>3.395207260131837</v>
      </c>
      <c r="BA44" s="36">
        <f t="shared" si="62"/>
        <v>13.381181807952695</v>
      </c>
      <c r="BB44" s="36">
        <f>Calculos!$AH$1</f>
        <v>1.5575884772727273</v>
      </c>
      <c r="BC44" s="36">
        <f t="shared" si="63"/>
        <v>-1.5575884772727273</v>
      </c>
      <c r="BD44" s="35">
        <f>IF(ISNUMBER(Courier!Y35),Courier!Y35,0)</f>
        <v>1.8171306848526001</v>
      </c>
      <c r="BE44" s="36">
        <f>IF(ISNUMBER(Laboratorio!W27),Laboratorio!W27,"")</f>
        <v>1.788</v>
      </c>
      <c r="BF44" s="36">
        <f t="shared" si="64"/>
        <v>-2.9130684852600064E-2</v>
      </c>
      <c r="BG44" s="36">
        <f t="shared" si="65"/>
        <v>2.9130684852600064E-2</v>
      </c>
      <c r="BH44" s="36">
        <f t="shared" si="66"/>
        <v>1.6292329335906075</v>
      </c>
      <c r="BI44" s="36">
        <f>Calculos!$AI$1</f>
        <v>0.18375074999999999</v>
      </c>
      <c r="BJ44" s="36">
        <f t="shared" si="67"/>
        <v>-0.18375074999999999</v>
      </c>
      <c r="BK44" s="35">
        <f>IF(ISNUMBER(Courier!AA35),Courier!AA35,"")</f>
        <v>25.195009231567383</v>
      </c>
      <c r="BL44" s="36">
        <f>IF(ISNUMBER(Laboratorio!Y27),Laboratorio!Y27,"")</f>
        <v>29.95</v>
      </c>
      <c r="BM44" s="36">
        <f t="shared" si="68"/>
        <v>4.7549907684326165</v>
      </c>
      <c r="BN44" s="36">
        <f t="shared" si="69"/>
        <v>15.876429944683194</v>
      </c>
      <c r="BO44" s="35">
        <f>IF(ISNUMBER(Courier!AC34),Courier!AC34,"")</f>
        <v>10.328913108135177</v>
      </c>
      <c r="BP44" s="35">
        <f>IF(ISNUMBER(Courier!AC35),Courier!AC35,"")</f>
        <v>1.4765931786707653</v>
      </c>
      <c r="BQ44" s="36">
        <f>IF(ISNUMBER(Laboratorio!AA27),Laboratorio!AA27,"")</f>
        <v>7.4</v>
      </c>
      <c r="BR44" s="36" t="str">
        <f t="shared" si="35"/>
        <v/>
      </c>
      <c r="BS44" s="36" t="str">
        <f t="shared" si="34"/>
        <v xml:space="preserve"> </v>
      </c>
    </row>
    <row r="45" spans="1:71" ht="18" customHeight="1" x14ac:dyDescent="0.2">
      <c r="C45" s="38" t="str">
        <f>DAY(B44) &amp; "-" &amp; MONTH(B44) &amp;"-" &amp; YEAR(B44)</f>
        <v>3-9-2026</v>
      </c>
      <c r="D45" s="35">
        <f>IF(ISNUMBER(Courier!F35),Courier!F35,0)</f>
        <v>0.43038392066955566</v>
      </c>
      <c r="E45" s="36">
        <f>IF(ISNUMBER(Laboratorio!F27),Laboratorio!F27,"")</f>
        <v>0.48099999999999998</v>
      </c>
      <c r="F45" s="36">
        <f t="shared" si="36"/>
        <v>5.0616079330444319E-2</v>
      </c>
      <c r="G45" s="36">
        <f t="shared" si="37"/>
        <v>5.0616079330444319E-2</v>
      </c>
      <c r="H45" s="36">
        <f t="shared" si="38"/>
        <v>10.52309341589279</v>
      </c>
      <c r="I45" s="36">
        <f>Calculos!$I$1</f>
        <v>4.990387499999998E-2</v>
      </c>
      <c r="J45" s="36">
        <f t="shared" si="39"/>
        <v>-4.990387499999998E-2</v>
      </c>
      <c r="K45" s="35">
        <f>IF(ISNUMBER(Courier!H35),Courier!H35,0)</f>
        <v>2.9418226331472397E-2</v>
      </c>
      <c r="L45" s="36">
        <f>IF(ISNUMBER(Laboratorio!H27),Laboratorio!H27,"")</f>
        <v>3.5000000000000003E-2</v>
      </c>
      <c r="M45" s="36">
        <f t="shared" si="40"/>
        <v>5.5817736685276065E-3</v>
      </c>
      <c r="N45" s="36">
        <f t="shared" si="41"/>
        <v>5.5817736685276065E-3</v>
      </c>
      <c r="O45" s="36">
        <f t="shared" si="42"/>
        <v>15.94792476722173</v>
      </c>
      <c r="P45" s="36">
        <f>Calculos!$J$1</f>
        <v>5.1807500000000022E-3</v>
      </c>
      <c r="Q45" s="36">
        <f t="shared" si="43"/>
        <v>-5.1807500000000022E-3</v>
      </c>
      <c r="R45" s="35">
        <f>IF(ISNUMBER(Courier!J35),Courier!J35,"")</f>
        <v>2.8858299255371094</v>
      </c>
      <c r="S45" s="36">
        <f>IF(ISNUMBER(Laboratorio!J27),Laboratorio!J27,"")</f>
        <v>3.2549999999999999</v>
      </c>
      <c r="T45" s="36">
        <f t="shared" si="44"/>
        <v>0.36917007446289052</v>
      </c>
      <c r="U45" s="36">
        <f t="shared" si="45"/>
        <v>11.341630551855316</v>
      </c>
      <c r="V45" s="35">
        <f>IF(ISNUMBER(Courier!L35),Courier!L35,"")</f>
        <v>8.6402837187051773E-3</v>
      </c>
      <c r="W45" s="36">
        <f>IF(ISNUMBER(Laboratorio!L27),Laboratorio!L27,"")</f>
        <v>8.0000000000000002E-3</v>
      </c>
      <c r="X45" s="36">
        <f t="shared" si="46"/>
        <v>-6.4028371870517714E-4</v>
      </c>
      <c r="Y45" s="36">
        <f t="shared" si="47"/>
        <v>8.0035464838147128</v>
      </c>
      <c r="Z45" s="35" t="str">
        <f>IF(ISNUMBER(Courier!N35),Courier!N35,"")</f>
        <v/>
      </c>
      <c r="AA45" s="36" t="str">
        <f>IF(ISNUMBER(Laboratorio!N27),Laboratorio!N27,"")</f>
        <v/>
      </c>
      <c r="AB45" s="36" t="str">
        <f t="shared" si="48"/>
        <v xml:space="preserve"> </v>
      </c>
      <c r="AC45" s="36" t="str">
        <f t="shared" si="49"/>
        <v xml:space="preserve"> </v>
      </c>
      <c r="AD45" s="35">
        <f>IF(ISNUMBER(Courier!P35),Courier!P35,0)</f>
        <v>5.5096399039030075E-2</v>
      </c>
      <c r="AE45" s="36">
        <f>+IF(ISNUMBER(Laboratorio!P27),Laboratorio!P27,"")</f>
        <v>5.5E-2</v>
      </c>
      <c r="AF45" s="36">
        <f t="shared" si="50"/>
        <v>-9.6399039030074796E-5</v>
      </c>
      <c r="AG45" s="36">
        <f t="shared" si="51"/>
        <v>9.6399039030074796E-5</v>
      </c>
      <c r="AH45" s="36">
        <f t="shared" si="52"/>
        <v>0.17527098005468145</v>
      </c>
      <c r="AI45" s="36">
        <f>Calculos!$U$1</f>
        <v>8.6877272727272758E-3</v>
      </c>
      <c r="AJ45" s="36">
        <f t="shared" si="53"/>
        <v>-8.6877272727272758E-3</v>
      </c>
      <c r="AK45" s="35">
        <f>IF(ISNUMBER(Courier!R35),Courier!R35,0)</f>
        <v>4.7700437717139721E-3</v>
      </c>
      <c r="AL45" s="36">
        <f>IF(ISNUMBER(Laboratorio!R27),Laboratorio!R27,"")</f>
        <v>7.0000000000000001E-3</v>
      </c>
      <c r="AM45" s="36">
        <f t="shared" si="54"/>
        <v>2.2299562282860281E-3</v>
      </c>
      <c r="AN45" s="36">
        <f t="shared" si="55"/>
        <v>2.2299562282860281E-3</v>
      </c>
      <c r="AO45" s="237">
        <f t="shared" si="56"/>
        <v>31.856517546943259</v>
      </c>
      <c r="AP45" s="36">
        <f>Calculos!$V$1</f>
        <v>2.2111363636363643E-3</v>
      </c>
      <c r="AQ45" s="36">
        <f t="shared" si="57"/>
        <v>-2.2111363636363643E-3</v>
      </c>
      <c r="AR45" s="35">
        <f>IF(ISNUMBER(Courier!T35),Courier!T35,"")</f>
        <v>1.786179780960083</v>
      </c>
      <c r="AS45" s="36">
        <f>IF(ISNUMBER(Laboratorio!T27),Laboratorio!T27,"")</f>
        <v>2.6440000000000001</v>
      </c>
      <c r="AT45" s="36">
        <f t="shared" si="58"/>
        <v>0.85782021903991712</v>
      </c>
      <c r="AU45" s="36">
        <f t="shared" si="59"/>
        <v>32.444032490163281</v>
      </c>
      <c r="AV45" s="35" t="str">
        <f>IF(ISNUMBER(Courier!V34),Courier!V34,"")</f>
        <v/>
      </c>
      <c r="AW45" s="35">
        <f>IF(ISNUMBER(Courier!X35),Courier!X35,0)</f>
        <v>23.486249923706055</v>
      </c>
      <c r="AX45" s="36">
        <f>IF(ISNUMBER(Laboratorio!V27),Laboratorio!V27,"")</f>
        <v>19.899999999999999</v>
      </c>
      <c r="AY45" s="36">
        <f t="shared" si="60"/>
        <v>-3.5862499237060561</v>
      </c>
      <c r="AZ45" s="36">
        <f t="shared" si="61"/>
        <v>3.5862499237060561</v>
      </c>
      <c r="BA45" s="36">
        <f t="shared" si="62"/>
        <v>18.021356400532945</v>
      </c>
      <c r="BB45" s="36">
        <f>Calculos!$AH$1</f>
        <v>1.5575884772727273</v>
      </c>
      <c r="BC45" s="36">
        <f t="shared" si="63"/>
        <v>-1.5575884772727273</v>
      </c>
      <c r="BD45" s="35">
        <f>IF(ISNUMBER(Courier!Z35),Courier!Z35,0)</f>
        <v>1.6388206481933594</v>
      </c>
      <c r="BE45" s="36">
        <f>IF(ISNUMBER(Laboratorio!X27),Laboratorio!X27,"")</f>
        <v>1.83</v>
      </c>
      <c r="BF45" s="36">
        <f t="shared" si="64"/>
        <v>0.1911793518066407</v>
      </c>
      <c r="BG45" s="36">
        <f t="shared" si="65"/>
        <v>0.1911793518066407</v>
      </c>
      <c r="BH45" s="36">
        <f t="shared" si="66"/>
        <v>10.446959115116977</v>
      </c>
      <c r="BI45" s="36">
        <f>Calculos!$AI$1</f>
        <v>0.18375074999999999</v>
      </c>
      <c r="BJ45" s="36">
        <f t="shared" si="67"/>
        <v>-0.18375074999999999</v>
      </c>
      <c r="BK45" s="35">
        <f>IF(ISNUMBER(Courier!AB35),Courier!AB35,"")</f>
        <v>28.608669281005859</v>
      </c>
      <c r="BL45" s="36">
        <f>IF(ISNUMBER(Laboratorio!Z27),Laboratorio!Z27,"")</f>
        <v>29.25</v>
      </c>
      <c r="BM45" s="36">
        <f t="shared" si="68"/>
        <v>0.64133071899414063</v>
      </c>
      <c r="BN45" s="36">
        <f t="shared" si="69"/>
        <v>2.1925836546808228</v>
      </c>
      <c r="BO45" s="35">
        <f>IF(ISNUMBER(Courier!AD34),Courier!AD34,"")</f>
        <v>10.5249248013073</v>
      </c>
      <c r="BP45" s="35">
        <f>IF(ISNUMBER(Courier!AD35),Courier!AD35,"")</f>
        <v>6.2524286098652588</v>
      </c>
      <c r="BQ45" s="36">
        <f>IF(ISNUMBER(Laboratorio!AB27),Laboratorio!AB27,"")</f>
        <v>15.88</v>
      </c>
      <c r="BR45" s="36">
        <f t="shared" si="35"/>
        <v>9.6275713901347419</v>
      </c>
      <c r="BS45" s="36">
        <f t="shared" si="34"/>
        <v>60.627023867347241</v>
      </c>
    </row>
    <row r="46" spans="1:71" ht="18" customHeight="1" x14ac:dyDescent="0.2">
      <c r="A46">
        <f>+A44+1</f>
        <v>22</v>
      </c>
      <c r="B46" s="7">
        <f>+B44+1</f>
        <v>46269</v>
      </c>
      <c r="C46" s="7" t="str">
        <f>DAY(B46) &amp; "-" &amp; MONTH(B46) &amp;"-" &amp; YEAR(B46)</f>
        <v>4-9-2026</v>
      </c>
      <c r="D46" s="35">
        <f>IF(ISNUMBER(Courier!E36),Courier!E36,0)</f>
        <v>0.37649604678153992</v>
      </c>
      <c r="E46" s="36">
        <f>IF(ISNUMBER(Laboratorio!E28),Laboratorio!E28,"")</f>
        <v>0.44600000000000001</v>
      </c>
      <c r="F46" s="36">
        <f t="shared" si="36"/>
        <v>6.9503953218460091E-2</v>
      </c>
      <c r="G46" s="36">
        <f t="shared" si="37"/>
        <v>6.9503953218460091E-2</v>
      </c>
      <c r="H46" s="36">
        <f t="shared" si="38"/>
        <v>15.583846013107644</v>
      </c>
      <c r="I46" s="36">
        <f>Calculos!$I$1</f>
        <v>4.990387499999998E-2</v>
      </c>
      <c r="J46" s="36">
        <f t="shared" si="39"/>
        <v>-4.990387499999998E-2</v>
      </c>
      <c r="K46" s="35">
        <f>IF(ISNUMBER(Courier!G36),Courier!G36,0)</f>
        <v>2.215956337749958E-2</v>
      </c>
      <c r="L46" s="36">
        <f>IF(ISNUMBER(Laboratorio!G28),Laboratorio!G28,"")</f>
        <v>2.7E-2</v>
      </c>
      <c r="M46" s="36">
        <f t="shared" si="40"/>
        <v>4.8404366225004193E-3</v>
      </c>
      <c r="N46" s="36">
        <f t="shared" si="41"/>
        <v>4.8404366225004193E-3</v>
      </c>
      <c r="O46" s="36">
        <f t="shared" si="42"/>
        <v>17.927543046297849</v>
      </c>
      <c r="P46" s="36">
        <f>Calculos!$J$1</f>
        <v>5.1807500000000022E-3</v>
      </c>
      <c r="Q46" s="36">
        <f t="shared" si="43"/>
        <v>-5.1807500000000022E-3</v>
      </c>
      <c r="R46" s="35">
        <f>IF(ISNUMBER(Courier!I36),Courier!I36,"")</f>
        <v>3.2246012687683105</v>
      </c>
      <c r="S46" s="36">
        <f>IF(ISNUMBER(Laboratorio!I28),Laboratorio!I28,"")</f>
        <v>3.7250000000000001</v>
      </c>
      <c r="T46" s="36">
        <f t="shared" si="44"/>
        <v>0.50039873123168954</v>
      </c>
      <c r="U46" s="36">
        <f t="shared" si="45"/>
        <v>13.433522986085626</v>
      </c>
      <c r="V46" s="35">
        <f>IF(ISNUMBER(Courier!K36),Courier!K36,"")</f>
        <v>8.5093574598431587E-3</v>
      </c>
      <c r="W46" s="36">
        <f>IF(ISNUMBER(Laboratorio!K28),Laboratorio!K28,"")</f>
        <v>7.0000000000000001E-3</v>
      </c>
      <c r="X46" s="36">
        <f t="shared" si="46"/>
        <v>-1.5093574598431586E-3</v>
      </c>
      <c r="Y46" s="36">
        <f t="shared" si="47"/>
        <v>21.562249426330837</v>
      </c>
      <c r="Z46" s="35" t="str">
        <f>IF(ISNUMBER(Courier!M36),Courier!M36,"")</f>
        <v/>
      </c>
      <c r="AA46" s="36" t="str">
        <f>IF(ISNUMBER(Laboratorio!M28),Laboratorio!M28,"")</f>
        <v/>
      </c>
      <c r="AB46" s="36" t="str">
        <f t="shared" si="48"/>
        <v xml:space="preserve"> </v>
      </c>
      <c r="AC46" s="36" t="str">
        <f t="shared" si="49"/>
        <v xml:space="preserve"> </v>
      </c>
      <c r="AD46" s="35">
        <f>IF(ISNUMBER(Courier!O36),Courier!O36,0)</f>
        <v>4.8279803246259689E-2</v>
      </c>
      <c r="AE46" s="36">
        <f>IF(ISNUMBER(Laboratorio!O28),Laboratorio!O28,"")</f>
        <v>4.5999999999999999E-2</v>
      </c>
      <c r="AF46" s="36">
        <f t="shared" si="50"/>
        <v>-2.2798032462596901E-3</v>
      </c>
      <c r="AG46" s="36">
        <f t="shared" si="51"/>
        <v>2.2798032462596901E-3</v>
      </c>
      <c r="AH46" s="36">
        <f t="shared" si="52"/>
        <v>4.9560940136080225</v>
      </c>
      <c r="AI46" s="36">
        <f>Calculos!$U$1</f>
        <v>8.6877272727272758E-3</v>
      </c>
      <c r="AJ46" s="36">
        <f t="shared" si="53"/>
        <v>-8.6877272727272758E-3</v>
      </c>
      <c r="AK46" s="35">
        <f>IF(ISNUMBER(Courier!Q36),Courier!Q36,0)</f>
        <v>3.8191855419427156E-3</v>
      </c>
      <c r="AL46" s="36">
        <f>IF(ISNUMBER(Laboratorio!Q28),Laboratorio!Q28,"")</f>
        <v>5.0000000000000001E-3</v>
      </c>
      <c r="AM46" s="36">
        <f t="shared" si="54"/>
        <v>1.1808144580572845E-3</v>
      </c>
      <c r="AN46" s="36">
        <f t="shared" si="55"/>
        <v>1.1808144580572845E-3</v>
      </c>
      <c r="AO46" s="237">
        <f t="shared" si="56"/>
        <v>23.616289161145691</v>
      </c>
      <c r="AP46" s="36">
        <f>Calculos!$V$1</f>
        <v>2.2111363636363643E-3</v>
      </c>
      <c r="AQ46" s="36">
        <f t="shared" si="57"/>
        <v>-2.2111363636363643E-3</v>
      </c>
      <c r="AR46" s="35">
        <f>IF(ISNUMBER(Courier!S36),Courier!S36,"")</f>
        <v>2.1955306529998779</v>
      </c>
      <c r="AS46" s="36">
        <f>IF(ISNUMBER(Laboratorio!S28),Laboratorio!S28,"")</f>
        <v>3.1059999999999999</v>
      </c>
      <c r="AT46" s="36">
        <f t="shared" si="58"/>
        <v>0.91046934700012194</v>
      </c>
      <c r="AU46" s="36">
        <f t="shared" si="59"/>
        <v>29.313243625245395</v>
      </c>
      <c r="AV46" s="35" t="str">
        <f>IF(ISNUMBER(Courier!U35),Courier!U35,"")</f>
        <v/>
      </c>
      <c r="AW46" s="35">
        <f>IF(ISNUMBER(Courier!W36),Courier!W36,0)</f>
        <v>20.749732971191406</v>
      </c>
      <c r="AX46" s="36">
        <f>IF(ISNUMBER(Laboratorio!U28),Laboratorio!U28,"")</f>
        <v>20.795999999999999</v>
      </c>
      <c r="AY46" s="36">
        <f t="shared" si="60"/>
        <v>4.6267028808593125E-2</v>
      </c>
      <c r="AZ46" s="36">
        <f t="shared" si="61"/>
        <v>4.6267028808593125E-2</v>
      </c>
      <c r="BA46" s="36">
        <f t="shared" si="62"/>
        <v>0.22248042319962075</v>
      </c>
      <c r="BB46" s="36">
        <f>Calculos!$AH$1</f>
        <v>1.5575884772727273</v>
      </c>
      <c r="BC46" s="36">
        <f t="shared" si="63"/>
        <v>-1.5575884772727273</v>
      </c>
      <c r="BD46" s="35">
        <f>IF(ISNUMBER(Courier!Y36),Courier!Y36,0)</f>
        <v>1.2933531999588013</v>
      </c>
      <c r="BE46" s="36">
        <f>IF(ISNUMBER(Laboratorio!W28),Laboratorio!W28,"")</f>
        <v>1.59</v>
      </c>
      <c r="BF46" s="36">
        <f t="shared" si="64"/>
        <v>0.29664680004119881</v>
      </c>
      <c r="BG46" s="36">
        <f t="shared" si="65"/>
        <v>0.29664680004119881</v>
      </c>
      <c r="BH46" s="36">
        <f t="shared" si="66"/>
        <v>18.657031449131999</v>
      </c>
      <c r="BI46" s="36">
        <f>Calculos!$AI$1</f>
        <v>0.18375074999999999</v>
      </c>
      <c r="BJ46" s="36">
        <f t="shared" si="67"/>
        <v>-0.18375074999999999</v>
      </c>
      <c r="BK46" s="35">
        <f>IF(ISNUMBER(Courier!AA36),Courier!AA36,"")</f>
        <v>28.197538375854492</v>
      </c>
      <c r="BL46" s="36">
        <f>IF(ISNUMBER(Laboratorio!Y28),Laboratorio!Y28,"")</f>
        <v>29.53</v>
      </c>
      <c r="BM46" s="36">
        <f t="shared" si="68"/>
        <v>1.3324616241455089</v>
      </c>
      <c r="BN46" s="36">
        <f t="shared" si="69"/>
        <v>4.5122303560633554</v>
      </c>
      <c r="BO46" s="35">
        <f>IF(ISNUMBER(Courier!AC35),Courier!AC35,"")</f>
        <v>1.4765931786707653</v>
      </c>
      <c r="BP46" s="35">
        <f>IF(ISNUMBER(Courier!AC36),Courier!AC36,"")</f>
        <v>13.251995987462379</v>
      </c>
      <c r="BQ46" s="36">
        <f>IF(ISNUMBER(Laboratorio!AA28),Laboratorio!AA28,"")</f>
        <v>11.44</v>
      </c>
      <c r="BR46" s="36">
        <f t="shared" si="35"/>
        <v>-1.8119959874623799</v>
      </c>
      <c r="BS46" s="36">
        <f t="shared" si="34"/>
        <v>15.839125764531293</v>
      </c>
    </row>
    <row r="47" spans="1:71" ht="18" customHeight="1" x14ac:dyDescent="0.2">
      <c r="C47" s="38" t="str">
        <f>DAY(B46) &amp; "-" &amp; MONTH(B46) &amp;"-" &amp; YEAR(B46)</f>
        <v>4-9-2026</v>
      </c>
      <c r="D47" s="35">
        <f>IF(ISNUMBER(Courier!F36),Courier!F36,0)</f>
        <v>0.37649604678153992</v>
      </c>
      <c r="E47" s="36">
        <f>IF(ISNUMBER(Laboratorio!F28),Laboratorio!F28,"")</f>
        <v>0.40699999999999997</v>
      </c>
      <c r="F47" s="36">
        <f t="shared" si="36"/>
        <v>3.0503953218460056E-2</v>
      </c>
      <c r="G47" s="36">
        <f t="shared" si="37"/>
        <v>3.0503953218460056E-2</v>
      </c>
      <c r="H47" s="36">
        <f t="shared" si="38"/>
        <v>7.4948288006044379</v>
      </c>
      <c r="I47" s="36">
        <f>Calculos!$I$1</f>
        <v>4.990387499999998E-2</v>
      </c>
      <c r="J47" s="36">
        <f t="shared" si="39"/>
        <v>-4.990387499999998E-2</v>
      </c>
      <c r="K47" s="35">
        <f>IF(ISNUMBER(Courier!H36),Courier!H36,0)</f>
        <v>2.215956337749958E-2</v>
      </c>
      <c r="L47" s="36">
        <f>IF(ISNUMBER(Laboratorio!H28),Laboratorio!H28,"")</f>
        <v>3.5999999999999997E-2</v>
      </c>
      <c r="M47" s="36">
        <f t="shared" si="40"/>
        <v>1.3840436622500417E-2</v>
      </c>
      <c r="N47" s="36">
        <f t="shared" si="41"/>
        <v>1.3840436622500417E-2</v>
      </c>
      <c r="O47" s="36">
        <f t="shared" si="42"/>
        <v>38.445657284723382</v>
      </c>
      <c r="P47" s="36">
        <f>Calculos!$J$1</f>
        <v>5.1807500000000022E-3</v>
      </c>
      <c r="Q47" s="36">
        <f t="shared" si="43"/>
        <v>-5.1807500000000022E-3</v>
      </c>
      <c r="R47" s="35">
        <f>IF(ISNUMBER(Courier!J36),Courier!J36,"")</f>
        <v>3.2246012687683105</v>
      </c>
      <c r="S47" s="36">
        <f>IF(ISNUMBER(Laboratorio!J28),Laboratorio!J28,"")</f>
        <v>3.2170000000000001</v>
      </c>
      <c r="T47" s="36">
        <f t="shared" si="44"/>
        <v>-7.6012687683104652E-3</v>
      </c>
      <c r="U47" s="36">
        <f t="shared" si="45"/>
        <v>0.23628438819740333</v>
      </c>
      <c r="V47" s="35">
        <f>IF(ISNUMBER(Courier!L36),Courier!L36,"")</f>
        <v>8.5093574598431587E-3</v>
      </c>
      <c r="W47" s="36">
        <f>IF(ISNUMBER(Laboratorio!L28),Laboratorio!L28,"")</f>
        <v>8.0000000000000002E-3</v>
      </c>
      <c r="X47" s="36">
        <f t="shared" si="46"/>
        <v>-5.0935745984315856E-4</v>
      </c>
      <c r="Y47" s="36">
        <f t="shared" si="47"/>
        <v>6.3669682480394814</v>
      </c>
      <c r="Z47" s="35" t="str">
        <f>IF(ISNUMBER(Courier!N36),Courier!N36,"")</f>
        <v/>
      </c>
      <c r="AA47" s="36" t="str">
        <f>IF(ISNUMBER(Laboratorio!N28),Laboratorio!N28,"")</f>
        <v/>
      </c>
      <c r="AB47" s="36" t="str">
        <f t="shared" si="48"/>
        <v xml:space="preserve"> </v>
      </c>
      <c r="AC47" s="36" t="str">
        <f t="shared" si="49"/>
        <v xml:space="preserve"> </v>
      </c>
      <c r="AD47" s="35">
        <f>IF(ISNUMBER(Courier!P36),Courier!P36,0)</f>
        <v>4.8279803246259689E-2</v>
      </c>
      <c r="AE47" s="36">
        <f>+IF(ISNUMBER(Laboratorio!P28),Laboratorio!P28,"")</f>
        <v>3.9E-2</v>
      </c>
      <c r="AF47" s="36">
        <f t="shared" si="50"/>
        <v>-9.2798032462596894E-3</v>
      </c>
      <c r="AG47" s="36">
        <f t="shared" si="51"/>
        <v>9.2798032462596894E-3</v>
      </c>
      <c r="AH47" s="36">
        <f t="shared" si="52"/>
        <v>23.794367298101768</v>
      </c>
      <c r="AI47" s="36">
        <f>Calculos!$U$1</f>
        <v>8.6877272727272758E-3</v>
      </c>
      <c r="AJ47" s="36">
        <f t="shared" si="53"/>
        <v>-8.6877272727272758E-3</v>
      </c>
      <c r="AK47" s="35">
        <f>IF(ISNUMBER(Courier!R36),Courier!R36,0)</f>
        <v>3.8191855419427156E-3</v>
      </c>
      <c r="AL47" s="36">
        <f>IF(ISNUMBER(Laboratorio!R28),Laboratorio!R28,"")</f>
        <v>7.0000000000000001E-3</v>
      </c>
      <c r="AM47" s="36">
        <f t="shared" si="54"/>
        <v>3.1808144580572845E-3</v>
      </c>
      <c r="AN47" s="36">
        <f t="shared" si="55"/>
        <v>3.1808144580572845E-3</v>
      </c>
      <c r="AO47" s="237">
        <f t="shared" si="56"/>
        <v>45.440206543675494</v>
      </c>
      <c r="AP47" s="36">
        <f>Calculos!$V$1</f>
        <v>2.2111363636363643E-3</v>
      </c>
      <c r="AQ47" s="36">
        <f t="shared" si="57"/>
        <v>-2.2111363636363643E-3</v>
      </c>
      <c r="AR47" s="35">
        <f>IF(ISNUMBER(Courier!T36),Courier!T36,"")</f>
        <v>2.1955306529998779</v>
      </c>
      <c r="AS47" s="36">
        <f>IF(ISNUMBER(Laboratorio!T28),Laboratorio!T28,"")</f>
        <v>2.758</v>
      </c>
      <c r="AT47" s="36">
        <f t="shared" si="58"/>
        <v>0.56246934700012208</v>
      </c>
      <c r="AU47" s="36">
        <f t="shared" si="59"/>
        <v>20.394102501817336</v>
      </c>
      <c r="AV47" s="35" t="str">
        <f>IF(ISNUMBER(Courier!V35),Courier!V35,"")</f>
        <v/>
      </c>
      <c r="AW47" s="35">
        <f>IF(ISNUMBER(Courier!X36),Courier!X36,0)</f>
        <v>20.749732971191406</v>
      </c>
      <c r="AX47" s="36">
        <f>IF(ISNUMBER(Laboratorio!V28),Laboratorio!V28,"")</f>
        <v>20.297999999999998</v>
      </c>
      <c r="AY47" s="36">
        <f t="shared" si="60"/>
        <v>-0.45173297119140798</v>
      </c>
      <c r="AZ47" s="36">
        <f t="shared" si="61"/>
        <v>0.45173297119140798</v>
      </c>
      <c r="BA47" s="36">
        <f t="shared" si="62"/>
        <v>2.2255048339314616</v>
      </c>
      <c r="BB47" s="36">
        <f>Calculos!$AH$1</f>
        <v>1.5575884772727273</v>
      </c>
      <c r="BC47" s="36">
        <f t="shared" si="63"/>
        <v>-1.5575884772727273</v>
      </c>
      <c r="BD47" s="35">
        <f>IF(ISNUMBER(Courier!Z36),Courier!Z36,0)</f>
        <v>1.2933531999588013</v>
      </c>
      <c r="BE47" s="36">
        <f>IF(ISNUMBER(Laboratorio!X28),Laboratorio!X28,"")</f>
        <v>1.8759999999999999</v>
      </c>
      <c r="BF47" s="36">
        <f t="shared" si="64"/>
        <v>0.58264680004119862</v>
      </c>
      <c r="BG47" s="36">
        <f t="shared" si="65"/>
        <v>0.58264680004119862</v>
      </c>
      <c r="BH47" s="36">
        <f t="shared" si="66"/>
        <v>31.057931771918906</v>
      </c>
      <c r="BI47" s="36">
        <f>Calculos!$AI$1</f>
        <v>0.18375074999999999</v>
      </c>
      <c r="BJ47" s="36">
        <f t="shared" si="67"/>
        <v>-0.18375074999999999</v>
      </c>
      <c r="BK47" s="35">
        <f>IF(ISNUMBER(Courier!AB36),Courier!AB36,"")</f>
        <v>28.197538375854492</v>
      </c>
      <c r="BL47" s="36">
        <f>IF(ISNUMBER(Laboratorio!Z28),Laboratorio!Z28,"")</f>
        <v>29.3</v>
      </c>
      <c r="BM47" s="36">
        <f t="shared" si="68"/>
        <v>1.1024616241455085</v>
      </c>
      <c r="BN47" s="36">
        <f t="shared" si="69"/>
        <v>3.7626676591996882</v>
      </c>
      <c r="BO47" s="35">
        <f>IF(ISNUMBER(Courier!AD35),Courier!AD35,"")</f>
        <v>6.2524286098652588</v>
      </c>
      <c r="BP47" s="35">
        <f>IF(ISNUMBER(Courier!AD36),Courier!AD36,"")</f>
        <v>13.809171136638502</v>
      </c>
      <c r="BQ47" s="36">
        <f>IF(ISNUMBER(Laboratorio!AB28),Laboratorio!AB28,"")</f>
        <v>14.46</v>
      </c>
      <c r="BR47" s="36">
        <f t="shared" si="35"/>
        <v>0.65082886336149848</v>
      </c>
      <c r="BS47" s="36">
        <f t="shared" si="34"/>
        <v>4.5008911712413449</v>
      </c>
    </row>
    <row r="48" spans="1:71" ht="18" customHeight="1" x14ac:dyDescent="0.2">
      <c r="A48">
        <f>+A46+1</f>
        <v>23</v>
      </c>
      <c r="B48" s="7">
        <f>+B46+1</f>
        <v>46270</v>
      </c>
      <c r="C48" s="7" t="str">
        <f>DAY(B48) &amp; "-" &amp; MONTH(B48) &amp;"-" &amp; YEAR(B48)</f>
        <v>5-9-2026</v>
      </c>
      <c r="D48" s="35">
        <f>IF(ISNUMBER(Courier!E37),Courier!E37,0)</f>
        <v>0.39491033554077148</v>
      </c>
      <c r="E48" s="36">
        <f>IF(ISNUMBER(Laboratorio!E29),Laboratorio!E29,"")</f>
        <v>0.40600000000000003</v>
      </c>
      <c r="F48" s="36">
        <f t="shared" si="36"/>
        <v>1.1089664459228543E-2</v>
      </c>
      <c r="G48" s="36">
        <f t="shared" si="37"/>
        <v>1.1089664459228543E-2</v>
      </c>
      <c r="H48" s="36">
        <f t="shared" si="38"/>
        <v>2.7314444480858477</v>
      </c>
      <c r="I48" s="36">
        <f>Calculos!$I$1</f>
        <v>4.990387499999998E-2</v>
      </c>
      <c r="J48" s="36">
        <f t="shared" si="39"/>
        <v>-4.990387499999998E-2</v>
      </c>
      <c r="K48" s="35">
        <f>IF(ISNUMBER(Courier!G37),Courier!G37,0)</f>
        <v>2.992715872824192E-2</v>
      </c>
      <c r="L48" s="36">
        <f>IF(ISNUMBER(Laboratorio!G29),Laboratorio!G29,"")</f>
        <v>3.3000000000000002E-2</v>
      </c>
      <c r="M48" s="36">
        <f t="shared" si="40"/>
        <v>3.0728412717580811E-3</v>
      </c>
      <c r="N48" s="36">
        <f t="shared" si="41"/>
        <v>3.0728412717580811E-3</v>
      </c>
      <c r="O48" s="36">
        <f t="shared" si="42"/>
        <v>9.3116402174487298</v>
      </c>
      <c r="P48" s="36">
        <f>Calculos!$J$1</f>
        <v>5.1807500000000022E-3</v>
      </c>
      <c r="Q48" s="36">
        <f t="shared" si="43"/>
        <v>-5.1807500000000022E-3</v>
      </c>
      <c r="R48" s="35">
        <f>IF(ISNUMBER(Courier!I37),Courier!I37,"")</f>
        <v>2.9478087425231934</v>
      </c>
      <c r="S48" s="36">
        <f>IF(ISNUMBER(Laboratorio!I29),Laboratorio!I29,"")</f>
        <v>3.31</v>
      </c>
      <c r="T48" s="36">
        <f t="shared" si="44"/>
        <v>0.36219125747680669</v>
      </c>
      <c r="U48" s="36">
        <f t="shared" si="45"/>
        <v>10.942334062743404</v>
      </c>
      <c r="V48" s="35">
        <f>IF(ISNUMBER(Courier!K37),Courier!K37,"")</f>
        <v>8.7617700919508934E-3</v>
      </c>
      <c r="W48" s="36">
        <f>IF(ISNUMBER(Laboratorio!K29),Laboratorio!K29,"")</f>
        <v>8.9999999999999993E-3</v>
      </c>
      <c r="X48" s="36">
        <f t="shared" si="46"/>
        <v>2.3822990804910592E-4</v>
      </c>
      <c r="Y48" s="36">
        <f t="shared" si="47"/>
        <v>2.6469989783233996</v>
      </c>
      <c r="Z48" s="35" t="str">
        <f>IF(ISNUMBER(Courier!M37),Courier!M37,"")</f>
        <v/>
      </c>
      <c r="AA48" s="36" t="str">
        <f>IF(ISNUMBER(Laboratorio!M29),Laboratorio!M29,"")</f>
        <v/>
      </c>
      <c r="AB48" s="36" t="str">
        <f t="shared" si="48"/>
        <v xml:space="preserve"> </v>
      </c>
      <c r="AC48" s="36" t="str">
        <f t="shared" si="49"/>
        <v xml:space="preserve"> </v>
      </c>
      <c r="AD48" s="35">
        <f>IF(ISNUMBER(Courier!O37),Courier!O37,0)</f>
        <v>4.9260232597589493E-2</v>
      </c>
      <c r="AE48" s="36">
        <f>IF(ISNUMBER(Laboratorio!O29),Laboratorio!O29,"")</f>
        <v>3.6999999999999998E-2</v>
      </c>
      <c r="AF48" s="36">
        <f t="shared" si="50"/>
        <v>-1.2260232597589495E-2</v>
      </c>
      <c r="AG48" s="36">
        <f t="shared" si="51"/>
        <v>1.2260232597589495E-2</v>
      </c>
      <c r="AH48" s="36">
        <f t="shared" si="52"/>
        <v>33.135763777268906</v>
      </c>
      <c r="AI48" s="36">
        <f>Calculos!$U$1</f>
        <v>8.6877272727272758E-3</v>
      </c>
      <c r="AJ48" s="36">
        <f t="shared" si="53"/>
        <v>-8.6877272727272758E-3</v>
      </c>
      <c r="AK48" s="35">
        <f>IF(ISNUMBER(Courier!Q37),Courier!Q37,0)</f>
        <v>4.5977793633937836E-3</v>
      </c>
      <c r="AL48" s="36">
        <f>IF(ISNUMBER(Laboratorio!Q29),Laboratorio!Q29,"")</f>
        <v>4.0000000000000001E-3</v>
      </c>
      <c r="AM48" s="36">
        <f t="shared" si="54"/>
        <v>-5.9777936339378349E-4</v>
      </c>
      <c r="AN48" s="36">
        <f t="shared" si="55"/>
        <v>5.9777936339378349E-4</v>
      </c>
      <c r="AO48" s="237">
        <f t="shared" si="56"/>
        <v>14.944484084844586</v>
      </c>
      <c r="AP48" s="36">
        <f>Calculos!$V$1</f>
        <v>2.2111363636363643E-3</v>
      </c>
      <c r="AQ48" s="36">
        <f t="shared" si="57"/>
        <v>-2.2111363636363643E-3</v>
      </c>
      <c r="AR48" s="35">
        <f>IF(ISNUMBER(Courier!S37),Courier!S37,"")</f>
        <v>2.0325229167938232</v>
      </c>
      <c r="AS48" s="36">
        <f>IF(ISNUMBER(Laboratorio!S29),Laboratorio!S29,"")</f>
        <v>3.202</v>
      </c>
      <c r="AT48" s="36">
        <f t="shared" si="58"/>
        <v>1.1694770832061767</v>
      </c>
      <c r="AU48" s="36">
        <f t="shared" si="59"/>
        <v>36.523331767838123</v>
      </c>
      <c r="AV48" s="35" t="str">
        <f>IF(ISNUMBER(Courier!U36),Courier!U36,"")</f>
        <v/>
      </c>
      <c r="AW48" s="35">
        <f>IF(ISNUMBER(Courier!W37),Courier!W37,0)</f>
        <v>19.81092643737793</v>
      </c>
      <c r="AX48" s="36">
        <f>IF(ISNUMBER(Laboratorio!U29),Laboratorio!U29,"")</f>
        <v>22.686</v>
      </c>
      <c r="AY48" s="36">
        <f t="shared" si="60"/>
        <v>2.8750735626220703</v>
      </c>
      <c r="AZ48" s="36">
        <f t="shared" si="61"/>
        <v>2.8750735626220703</v>
      </c>
      <c r="BA48" s="36">
        <f t="shared" si="62"/>
        <v>12.673338458177158</v>
      </c>
      <c r="BB48" s="36">
        <f>Calculos!$AH$1</f>
        <v>1.5575884772727273</v>
      </c>
      <c r="BC48" s="36">
        <f t="shared" si="63"/>
        <v>-1.5575884772727273</v>
      </c>
      <c r="BD48" s="35">
        <f>IF(ISNUMBER(Courier!Y37),Courier!Y37,0)</f>
        <v>1.9880478382110596</v>
      </c>
      <c r="BE48" s="36">
        <f>IF(ISNUMBER(Laboratorio!W29),Laboratorio!W29,"")</f>
        <v>1.7490000000000001</v>
      </c>
      <c r="BF48" s="36">
        <f t="shared" si="64"/>
        <v>-0.23904783821105946</v>
      </c>
      <c r="BG48" s="36">
        <f t="shared" si="65"/>
        <v>0.23904783821105946</v>
      </c>
      <c r="BH48" s="36">
        <f t="shared" si="66"/>
        <v>13.66768657581815</v>
      </c>
      <c r="BI48" s="36">
        <f>Calculos!$AI$1</f>
        <v>0.18375074999999999</v>
      </c>
      <c r="BJ48" s="36">
        <f t="shared" si="67"/>
        <v>-0.18375074999999999</v>
      </c>
      <c r="BK48" s="35">
        <f>IF(ISNUMBER(Courier!AA37),Courier!AA37,"")</f>
        <v>27.451713562011719</v>
      </c>
      <c r="BL48" s="36">
        <f>IF(ISNUMBER(Laboratorio!Y29),Laboratorio!Y29,"")</f>
        <v>29.94</v>
      </c>
      <c r="BM48" s="36">
        <f t="shared" si="68"/>
        <v>2.4882864379882825</v>
      </c>
      <c r="BN48" s="36">
        <f t="shared" si="69"/>
        <v>8.3109099465206491</v>
      </c>
      <c r="BO48" s="35">
        <f>IF(ISNUMBER(Courier!AC36),Courier!AC36,"")</f>
        <v>13.251995987462379</v>
      </c>
      <c r="BP48" s="35">
        <f>IF(ISNUMBER(Courier!AC37),Courier!AC37,"")</f>
        <v>15.252508018099373</v>
      </c>
      <c r="BQ48" s="36">
        <f>IF(ISNUMBER(Laboratorio!AA29),Laboratorio!AA29,"")</f>
        <v>8.8000000000000007</v>
      </c>
      <c r="BR48" s="36">
        <f t="shared" si="35"/>
        <v>-6.4525080180993726</v>
      </c>
      <c r="BS48" s="36">
        <f t="shared" si="34"/>
        <v>73.323954751129222</v>
      </c>
    </row>
    <row r="49" spans="1:71" ht="18" customHeight="1" x14ac:dyDescent="0.2">
      <c r="C49" s="38" t="str">
        <f>DAY(B48) &amp; "-" &amp; MONTH(B48) &amp;"-" &amp; YEAR(B48)</f>
        <v>5-9-2026</v>
      </c>
      <c r="D49" s="35">
        <f>IF(ISNUMBER(Courier!F37),Courier!F37,0)</f>
        <v>0.39302888512611389</v>
      </c>
      <c r="E49" s="36">
        <f>IF(ISNUMBER(Laboratorio!F29),Laboratorio!F29,"")</f>
        <v>0.441</v>
      </c>
      <c r="F49" s="36">
        <f t="shared" si="36"/>
        <v>4.7971114873886112E-2</v>
      </c>
      <c r="G49" s="36">
        <f t="shared" si="37"/>
        <v>4.7971114873886112E-2</v>
      </c>
      <c r="H49" s="36">
        <f t="shared" si="38"/>
        <v>10.877803826278029</v>
      </c>
      <c r="I49" s="36">
        <f>Calculos!$I$1</f>
        <v>4.990387499999998E-2</v>
      </c>
      <c r="J49" s="36">
        <f t="shared" si="39"/>
        <v>-4.990387499999998E-2</v>
      </c>
      <c r="K49" s="35">
        <f>IF(ISNUMBER(Courier!H37),Courier!H37,0)</f>
        <v>2.2792842239141464E-2</v>
      </c>
      <c r="L49" s="36">
        <f>IF(ISNUMBER(Laboratorio!H29),Laboratorio!H29,"")</f>
        <v>4.2000000000000003E-2</v>
      </c>
      <c r="M49" s="36">
        <f t="shared" si="40"/>
        <v>1.9207157760858538E-2</v>
      </c>
      <c r="N49" s="36">
        <f t="shared" si="41"/>
        <v>1.9207157760858538E-2</v>
      </c>
      <c r="O49" s="36">
        <f t="shared" si="42"/>
        <v>45.731328002044137</v>
      </c>
      <c r="P49" s="36">
        <f>Calculos!$J$1</f>
        <v>5.1807500000000022E-3</v>
      </c>
      <c r="Q49" s="36">
        <f t="shared" si="43"/>
        <v>-5.1807500000000022E-3</v>
      </c>
      <c r="R49" s="35">
        <f>IF(ISNUMBER(Courier!J37),Courier!J37,"")</f>
        <v>3.1660964488983154</v>
      </c>
      <c r="S49" s="36">
        <f>IF(ISNUMBER(Laboratorio!J29),Laboratorio!J29,"")</f>
        <v>2.99</v>
      </c>
      <c r="T49" s="36">
        <f t="shared" si="44"/>
        <v>-0.17609644889831522</v>
      </c>
      <c r="U49" s="36">
        <f t="shared" si="45"/>
        <v>5.8895133410807761</v>
      </c>
      <c r="V49" s="35">
        <f>IF(ISNUMBER(Courier!L37),Courier!L37,"")</f>
        <v>9.3513708561658859E-3</v>
      </c>
      <c r="W49" s="36">
        <f>IF(ISNUMBER(Laboratorio!L29),Laboratorio!L29,"")</f>
        <v>8.9999999999999993E-3</v>
      </c>
      <c r="X49" s="36">
        <f t="shared" si="46"/>
        <v>-3.5137085616588661E-4</v>
      </c>
      <c r="Y49" s="36">
        <f t="shared" si="47"/>
        <v>3.9041206240654067</v>
      </c>
      <c r="Z49" s="35" t="str">
        <f>IF(ISNUMBER(Courier!N37),Courier!N37,"")</f>
        <v/>
      </c>
      <c r="AA49" s="36" t="str">
        <f>IF(ISNUMBER(Laboratorio!N29),Laboratorio!N29,"")</f>
        <v/>
      </c>
      <c r="AB49" s="36" t="str">
        <f t="shared" si="48"/>
        <v xml:space="preserve"> </v>
      </c>
      <c r="AC49" s="36" t="str">
        <f t="shared" si="49"/>
        <v xml:space="preserve"> </v>
      </c>
      <c r="AD49" s="35">
        <f>IF(ISNUMBER(Courier!P37),Courier!P37,0)</f>
        <v>4.7958869487047195E-2</v>
      </c>
      <c r="AE49" s="36">
        <f>+IF(ISNUMBER(Laboratorio!P29),Laboratorio!P29,"")</f>
        <v>5.3999999999999999E-2</v>
      </c>
      <c r="AF49" s="36">
        <f t="shared" si="50"/>
        <v>6.041130512952804E-3</v>
      </c>
      <c r="AG49" s="36">
        <f t="shared" si="51"/>
        <v>6.041130512952804E-3</v>
      </c>
      <c r="AH49" s="36">
        <f t="shared" si="52"/>
        <v>11.187278727690378</v>
      </c>
      <c r="AI49" s="36">
        <f>Calculos!$U$1</f>
        <v>8.6877272727272758E-3</v>
      </c>
      <c r="AJ49" s="36">
        <f t="shared" si="53"/>
        <v>-8.6877272727272758E-3</v>
      </c>
      <c r="AK49" s="35">
        <f>IF(ISNUMBER(Courier!R37),Courier!R37,0)</f>
        <v>6.5962597727775574E-3</v>
      </c>
      <c r="AL49" s="36">
        <f>IF(ISNUMBER(Laboratorio!R29),Laboratorio!R29,"")</f>
        <v>1.0999999999999999E-2</v>
      </c>
      <c r="AM49" s="36">
        <f t="shared" si="54"/>
        <v>4.403740227222442E-3</v>
      </c>
      <c r="AN49" s="36">
        <f t="shared" si="55"/>
        <v>4.403740227222442E-3</v>
      </c>
      <c r="AO49" s="237">
        <f t="shared" si="56"/>
        <v>40.034002065658562</v>
      </c>
      <c r="AP49" s="36">
        <f>Calculos!$V$1</f>
        <v>2.2111363636363643E-3</v>
      </c>
      <c r="AQ49" s="36">
        <f t="shared" si="57"/>
        <v>-2.2111363636363643E-3</v>
      </c>
      <c r="AR49" s="35">
        <f>IF(ISNUMBER(Courier!T37),Courier!T37,"")</f>
        <v>2.4309391975402832</v>
      </c>
      <c r="AS49" s="36">
        <f>IF(ISNUMBER(Laboratorio!T29),Laboratorio!T29,"")</f>
        <v>2.5859999999999999</v>
      </c>
      <c r="AT49" s="36">
        <f t="shared" si="58"/>
        <v>0.15506080245971665</v>
      </c>
      <c r="AU49" s="36">
        <f t="shared" si="59"/>
        <v>5.9961640549001025</v>
      </c>
      <c r="AV49" s="35" t="str">
        <f>IF(ISNUMBER(Courier!V36),Courier!V36,"")</f>
        <v/>
      </c>
      <c r="AW49" s="35">
        <f>IF(ISNUMBER(Courier!X37),Courier!X37,0)</f>
        <v>22.557380676269531</v>
      </c>
      <c r="AX49" s="36">
        <f>IF(ISNUMBER(Laboratorio!V29),Laboratorio!V29,"")</f>
        <v>21.774000000000001</v>
      </c>
      <c r="AY49" s="36">
        <f t="shared" si="60"/>
        <v>-0.78338067626953034</v>
      </c>
      <c r="AZ49" s="36">
        <f t="shared" si="61"/>
        <v>0.78338067626953034</v>
      </c>
      <c r="BA49" s="36">
        <f t="shared" si="62"/>
        <v>3.5977802712846985</v>
      </c>
      <c r="BB49" s="36">
        <f>Calculos!$AH$1</f>
        <v>1.5575884772727273</v>
      </c>
      <c r="BC49" s="36">
        <f t="shared" si="63"/>
        <v>-1.5575884772727273</v>
      </c>
      <c r="BD49" s="35">
        <f>IF(ISNUMBER(Courier!Z37),Courier!Z37,0)</f>
        <v>1.7497682571411133</v>
      </c>
      <c r="BE49" s="36">
        <f>IF(ISNUMBER(Laboratorio!X29),Laboratorio!X29,"")</f>
        <v>2.16</v>
      </c>
      <c r="BF49" s="36">
        <f t="shared" si="64"/>
        <v>0.41023174285888686</v>
      </c>
      <c r="BG49" s="36">
        <f t="shared" si="65"/>
        <v>0.41023174285888686</v>
      </c>
      <c r="BH49" s="36">
        <f t="shared" si="66"/>
        <v>18.992210317541058</v>
      </c>
      <c r="BI49" s="36">
        <f>Calculos!$AI$1</f>
        <v>0.18375074999999999</v>
      </c>
      <c r="BJ49" s="36">
        <f t="shared" si="67"/>
        <v>-0.18375074999999999</v>
      </c>
      <c r="BK49" s="35">
        <f>IF(ISNUMBER(Courier!AB37),Courier!AB37,"")</f>
        <v>27.47108268737793</v>
      </c>
      <c r="BL49" s="36">
        <f>IF(ISNUMBER(Laboratorio!Z29),Laboratorio!Z29,"")</f>
        <v>29.49</v>
      </c>
      <c r="BM49" s="36">
        <f t="shared" si="68"/>
        <v>2.0189173126220687</v>
      </c>
      <c r="BN49" s="36">
        <f t="shared" si="69"/>
        <v>6.8461082150629666</v>
      </c>
      <c r="BO49" s="35">
        <f>IF(ISNUMBER(Courier!AD36),Courier!AD36,"")</f>
        <v>13.809171136638502</v>
      </c>
      <c r="BP49" s="35">
        <f>IF(ISNUMBER(Courier!AD37),Courier!AD37,"")</f>
        <v>12.594371979900355</v>
      </c>
      <c r="BQ49" s="36">
        <f>IF(ISNUMBER(Laboratorio!AB29),Laboratorio!AB29,"")</f>
        <v>11.34</v>
      </c>
      <c r="BR49" s="36">
        <f t="shared" si="35"/>
        <v>-1.2543719799003554</v>
      </c>
      <c r="BS49" s="36">
        <f t="shared" si="34"/>
        <v>11.061481304235938</v>
      </c>
    </row>
    <row r="50" spans="1:71" ht="18" customHeight="1" x14ac:dyDescent="0.2">
      <c r="A50">
        <f>+A48+1</f>
        <v>24</v>
      </c>
      <c r="B50" s="7">
        <f>+B48+1</f>
        <v>46271</v>
      </c>
      <c r="C50" s="7" t="str">
        <f>DAY(B50) &amp; "-" &amp; MONTH(B50) &amp;"-" &amp; YEAR(B50)</f>
        <v>6-9-2026</v>
      </c>
      <c r="D50" s="35">
        <f>IF(ISNUMBER(Courier!E38),Courier!E38,0)</f>
        <v>0.47926869988441467</v>
      </c>
      <c r="E50" s="36">
        <f>IF(ISNUMBER(Laboratorio!E30),Laboratorio!E30,"")</f>
        <v>0.505</v>
      </c>
      <c r="F50" s="36">
        <f t="shared" si="36"/>
        <v>2.5731300115585332E-2</v>
      </c>
      <c r="G50" s="36">
        <f t="shared" si="37"/>
        <v>2.5731300115585332E-2</v>
      </c>
      <c r="H50" s="36">
        <f t="shared" si="38"/>
        <v>5.0953069535812539</v>
      </c>
      <c r="I50" s="36">
        <f>Calculos!$I$1</f>
        <v>4.990387499999998E-2</v>
      </c>
      <c r="J50" s="36">
        <f t="shared" si="39"/>
        <v>-4.990387499999998E-2</v>
      </c>
      <c r="K50" s="35">
        <f>IF(ISNUMBER(Courier!G38),Courier!G38,0)</f>
        <v>5.4245349019765854E-2</v>
      </c>
      <c r="L50" s="36">
        <f>IF(ISNUMBER(Laboratorio!G30),Laboratorio!G30,"")</f>
        <v>6.3E-2</v>
      </c>
      <c r="M50" s="36">
        <f t="shared" si="40"/>
        <v>8.7546509802341466E-3</v>
      </c>
      <c r="N50" s="36">
        <f t="shared" si="41"/>
        <v>8.7546509802341466E-3</v>
      </c>
      <c r="O50" s="36">
        <f t="shared" si="42"/>
        <v>13.896271397197058</v>
      </c>
      <c r="P50" s="36">
        <f>Calculos!$J$1</f>
        <v>5.1807500000000022E-3</v>
      </c>
      <c r="Q50" s="36">
        <f t="shared" si="43"/>
        <v>-5.1807500000000022E-3</v>
      </c>
      <c r="R50" s="35">
        <f>IF(ISNUMBER(Courier!I38),Courier!I38,"")</f>
        <v>2.6882262229919434</v>
      </c>
      <c r="S50" s="36">
        <f>IF(ISNUMBER(Laboratorio!I30),Laboratorio!I30,"")</f>
        <v>2.8050000000000002</v>
      </c>
      <c r="T50" s="36">
        <f t="shared" si="44"/>
        <v>0.1167737770080568</v>
      </c>
      <c r="U50" s="36">
        <f t="shared" si="45"/>
        <v>4.1630580038522922</v>
      </c>
      <c r="V50" s="35">
        <f>IF(ISNUMBER(Courier!K38),Courier!K38,"")</f>
        <v>9.615710936486721E-3</v>
      </c>
      <c r="W50" s="36">
        <f>IF(ISNUMBER(Laboratorio!K30),Laboratorio!K30,"")</f>
        <v>1.0999999999999999E-2</v>
      </c>
      <c r="X50" s="36">
        <f t="shared" si="46"/>
        <v>1.3842890635132783E-3</v>
      </c>
      <c r="Y50" s="36">
        <f t="shared" si="47"/>
        <v>12.584446031938896</v>
      </c>
      <c r="Z50" s="35" t="str">
        <f>IF(ISNUMBER(Courier!M38),Courier!M38,"")</f>
        <v/>
      </c>
      <c r="AA50" s="36" t="str">
        <f>IF(ISNUMBER(Laboratorio!M30),Laboratorio!M30,"")</f>
        <v/>
      </c>
      <c r="AB50" s="36" t="str">
        <f t="shared" si="48"/>
        <v xml:space="preserve"> </v>
      </c>
      <c r="AC50" s="36" t="str">
        <f t="shared" si="49"/>
        <v xml:space="preserve"> </v>
      </c>
      <c r="AD50" s="35">
        <f>IF(ISNUMBER(Courier!O38),Courier!O38,0)</f>
        <v>5.2695110440254211E-2</v>
      </c>
      <c r="AE50" s="36">
        <f>IF(ISNUMBER(Laboratorio!O30),Laboratorio!O30,"")</f>
        <v>4.8000000000000001E-2</v>
      </c>
      <c r="AF50" s="36">
        <f t="shared" si="50"/>
        <v>-4.6951104402542104E-3</v>
      </c>
      <c r="AG50" s="36">
        <f t="shared" si="51"/>
        <v>4.6951104402542104E-3</v>
      </c>
      <c r="AH50" s="36">
        <f t="shared" si="52"/>
        <v>9.7814800838629381</v>
      </c>
      <c r="AI50" s="36">
        <f>Calculos!$U$1</f>
        <v>8.6877272727272758E-3</v>
      </c>
      <c r="AJ50" s="36">
        <f t="shared" si="53"/>
        <v>-8.6877272727272758E-3</v>
      </c>
      <c r="AK50" s="35">
        <f>IF(ISNUMBER(Courier!Q38),Courier!Q38,0)</f>
        <v>7.822331041097641E-3</v>
      </c>
      <c r="AL50" s="36">
        <f>IF(ISNUMBER(Laboratorio!Q30),Laboratorio!Q30,"")</f>
        <v>1.2E-2</v>
      </c>
      <c r="AM50" s="36">
        <f t="shared" si="54"/>
        <v>4.1776689589023593E-3</v>
      </c>
      <c r="AN50" s="36">
        <f t="shared" si="55"/>
        <v>4.1776689589023593E-3</v>
      </c>
      <c r="AO50" s="237">
        <f t="shared" si="56"/>
        <v>34.813907990852996</v>
      </c>
      <c r="AP50" s="36">
        <f>Calculos!$V$1</f>
        <v>2.2111363636363643E-3</v>
      </c>
      <c r="AQ50" s="36">
        <f t="shared" si="57"/>
        <v>-2.2111363636363643E-3</v>
      </c>
      <c r="AR50" s="35">
        <f>IF(ISNUMBER(Courier!S38),Courier!S38,"")</f>
        <v>2.057365894317627</v>
      </c>
      <c r="AS50" s="36">
        <f>IF(ISNUMBER(Laboratorio!S30),Laboratorio!S30,"")</f>
        <v>2.5310000000000001</v>
      </c>
      <c r="AT50" s="36">
        <f t="shared" si="58"/>
        <v>0.47363410568237319</v>
      </c>
      <c r="AU50" s="36">
        <f t="shared" si="59"/>
        <v>18.713319070816798</v>
      </c>
      <c r="AV50" s="35" t="str">
        <f>IF(ISNUMBER(Courier!U37),Courier!U37,"")</f>
        <v/>
      </c>
      <c r="AW50" s="35">
        <f>IF(ISNUMBER(Courier!W38),Courier!W38,0)</f>
        <v>20.495904922485352</v>
      </c>
      <c r="AX50" s="36">
        <f>IF(ISNUMBER(Laboratorio!U30),Laboratorio!U30,"")</f>
        <v>22.885000000000002</v>
      </c>
      <c r="AY50" s="36">
        <f t="shared" si="60"/>
        <v>2.38909507751465</v>
      </c>
      <c r="AZ50" s="36">
        <f t="shared" si="61"/>
        <v>2.38909507751465</v>
      </c>
      <c r="BA50" s="36">
        <f t="shared" si="62"/>
        <v>10.439567740942319</v>
      </c>
      <c r="BB50" s="36">
        <f>Calculos!$AH$1</f>
        <v>1.5575884772727273</v>
      </c>
      <c r="BC50" s="36">
        <f t="shared" si="63"/>
        <v>-1.5575884772727273</v>
      </c>
      <c r="BD50" s="35">
        <f>IF(ISNUMBER(Courier!Y38),Courier!Y38,0)</f>
        <v>3.0950853824615479</v>
      </c>
      <c r="BE50" s="36">
        <f>IF(ISNUMBER(Laboratorio!W30),Laboratorio!W30,"")</f>
        <v>2.927</v>
      </c>
      <c r="BF50" s="36">
        <f t="shared" si="64"/>
        <v>-0.16808538246154781</v>
      </c>
      <c r="BG50" s="36">
        <f t="shared" si="65"/>
        <v>0.16808538246154781</v>
      </c>
      <c r="BH50" s="36">
        <f t="shared" si="66"/>
        <v>5.7425822501382919</v>
      </c>
      <c r="BI50" s="36">
        <f>Calculos!$AI$1</f>
        <v>0.18375074999999999</v>
      </c>
      <c r="BJ50" s="36">
        <f t="shared" si="67"/>
        <v>-0.18375074999999999</v>
      </c>
      <c r="BK50" s="35">
        <f>IF(ISNUMBER(Courier!AA38),Courier!AA38,"")</f>
        <v>27.083105087280273</v>
      </c>
      <c r="BL50" s="36">
        <f>IF(ISNUMBER(Laboratorio!Y30),Laboratorio!Y30,"")</f>
        <v>27.3</v>
      </c>
      <c r="BM50" s="36">
        <f t="shared" si="68"/>
        <v>0.21689491271972727</v>
      </c>
      <c r="BN50" s="36">
        <f t="shared" si="69"/>
        <v>0.79448685977922073</v>
      </c>
      <c r="BO50" s="35">
        <f>IF(ISNUMBER(Courier!AC37),Courier!AC37,"")</f>
        <v>15.252508018099373</v>
      </c>
      <c r="BP50" s="35">
        <f>IF(ISNUMBER(Courier!AC38),Courier!AC38,"")</f>
        <v>13.886858750036149</v>
      </c>
      <c r="BQ50" s="36">
        <f>IF(ISNUMBER(Laboratorio!AA30),Laboratorio!AA30,"")</f>
        <v>10.08</v>
      </c>
      <c r="BR50" s="36">
        <f t="shared" si="35"/>
        <v>-3.8068587500361488</v>
      </c>
      <c r="BS50" s="36">
        <f t="shared" si="34"/>
        <v>37.766455853533223</v>
      </c>
    </row>
    <row r="51" spans="1:71" ht="18" customHeight="1" x14ac:dyDescent="0.2">
      <c r="C51" s="38" t="str">
        <f>DAY(B50) &amp; "-" &amp; MONTH(B50) &amp;"-" &amp; YEAR(B50)</f>
        <v>6-9-2026</v>
      </c>
      <c r="D51" s="35">
        <f>IF(ISNUMBER(Courier!F38),Courier!F38,0)</f>
        <v>0.44328445196151733</v>
      </c>
      <c r="E51" s="36">
        <f>IF(ISNUMBER(Laboratorio!F30),Laboratorio!F30,"")</f>
        <v>0.47799999999999998</v>
      </c>
      <c r="F51" s="36">
        <f t="shared" si="36"/>
        <v>3.4715548038482646E-2</v>
      </c>
      <c r="G51" s="36">
        <f t="shared" si="37"/>
        <v>3.4715548038482646E-2</v>
      </c>
      <c r="H51" s="36">
        <f t="shared" si="38"/>
        <v>7.2626669536574582</v>
      </c>
      <c r="I51" s="36">
        <f>Calculos!$I$1</f>
        <v>4.990387499999998E-2</v>
      </c>
      <c r="J51" s="36">
        <f t="shared" si="39"/>
        <v>-4.990387499999998E-2</v>
      </c>
      <c r="K51" s="35">
        <f>IF(ISNUMBER(Courier!H38),Courier!H38,0)</f>
        <v>4.9659151583909988E-2</v>
      </c>
      <c r="L51" s="36">
        <f>IF(ISNUMBER(Laboratorio!H30),Laboratorio!H30,"")</f>
        <v>5.0999999999999997E-2</v>
      </c>
      <c r="M51" s="36">
        <f t="shared" si="40"/>
        <v>1.3408484160900083E-3</v>
      </c>
      <c r="N51" s="36">
        <f t="shared" si="41"/>
        <v>1.3408484160900083E-3</v>
      </c>
      <c r="O51" s="36">
        <f t="shared" si="42"/>
        <v>2.6291145413529575</v>
      </c>
      <c r="P51" s="36">
        <f>Calculos!$J$1</f>
        <v>5.1807500000000022E-3</v>
      </c>
      <c r="Q51" s="36">
        <f t="shared" si="43"/>
        <v>-5.1807500000000022E-3</v>
      </c>
      <c r="R51" s="35">
        <f>IF(ISNUMBER(Courier!J38),Courier!J38,"")</f>
        <v>2.5827183723449707</v>
      </c>
      <c r="S51" s="36">
        <f>IF(ISNUMBER(Laboratorio!J30),Laboratorio!J30,"")</f>
        <v>2.214</v>
      </c>
      <c r="T51" s="36">
        <f t="shared" si="44"/>
        <v>-0.36871837234497074</v>
      </c>
      <c r="U51" s="36">
        <f t="shared" si="45"/>
        <v>16.653946357044749</v>
      </c>
      <c r="V51" s="35">
        <f>IF(ISNUMBER(Courier!L38),Courier!L38,"")</f>
        <v>8.6873816326260567E-3</v>
      </c>
      <c r="W51" s="36">
        <f>IF(ISNUMBER(Laboratorio!L30),Laboratorio!L30,"")</f>
        <v>7.0000000000000001E-3</v>
      </c>
      <c r="X51" s="36">
        <f t="shared" si="46"/>
        <v>-1.6873816326260565E-3</v>
      </c>
      <c r="Y51" s="36">
        <f t="shared" si="47"/>
        <v>24.10545189465795</v>
      </c>
      <c r="Z51" s="35" t="str">
        <f>IF(ISNUMBER(Courier!N38),Courier!N38,"")</f>
        <v/>
      </c>
      <c r="AA51" s="36" t="str">
        <f>IF(ISNUMBER(Laboratorio!N30),Laboratorio!N30,"")</f>
        <v/>
      </c>
      <c r="AB51" s="36" t="str">
        <f t="shared" si="48"/>
        <v xml:space="preserve"> </v>
      </c>
      <c r="AC51" s="36" t="str">
        <f t="shared" si="49"/>
        <v xml:space="preserve"> </v>
      </c>
      <c r="AD51" s="35">
        <f>IF(ISNUMBER(Courier!P38),Courier!P38,0)</f>
        <v>5.2739962935447693E-2</v>
      </c>
      <c r="AE51" s="36">
        <f>+IF(ISNUMBER(Laboratorio!P30),Laboratorio!P30,"")</f>
        <v>5.1999999999999998E-2</v>
      </c>
      <c r="AF51" s="36">
        <f t="shared" si="50"/>
        <v>-7.3996293544769526E-4</v>
      </c>
      <c r="AG51" s="36">
        <f t="shared" si="51"/>
        <v>7.3996293544769526E-4</v>
      </c>
      <c r="AH51" s="36">
        <f t="shared" si="52"/>
        <v>1.4230056450917217</v>
      </c>
      <c r="AI51" s="36">
        <f>Calculos!$U$1</f>
        <v>8.6877272727272758E-3</v>
      </c>
      <c r="AJ51" s="36">
        <f t="shared" si="53"/>
        <v>-8.6877272727272758E-3</v>
      </c>
      <c r="AK51" s="35">
        <f>IF(ISNUMBER(Courier!R38),Courier!R38,0)</f>
        <v>7.6515157707035542E-3</v>
      </c>
      <c r="AL51" s="36">
        <f>IF(ISNUMBER(Laboratorio!R30),Laboratorio!R30,"")</f>
        <v>1.0999999999999999E-2</v>
      </c>
      <c r="AM51" s="36">
        <f t="shared" si="54"/>
        <v>3.3484842292964452E-3</v>
      </c>
      <c r="AN51" s="36">
        <f t="shared" si="55"/>
        <v>3.3484842292964452E-3</v>
      </c>
      <c r="AO51" s="237">
        <f t="shared" si="56"/>
        <v>30.440765720876779</v>
      </c>
      <c r="AP51" s="36">
        <f>Calculos!$V$1</f>
        <v>2.2111363636363643E-3</v>
      </c>
      <c r="AQ51" s="36">
        <f t="shared" si="57"/>
        <v>-2.2111363636363643E-3</v>
      </c>
      <c r="AR51" s="35">
        <f>IF(ISNUMBER(Courier!T38),Courier!T38,"")</f>
        <v>2.0642762184143066</v>
      </c>
      <c r="AS51" s="36">
        <f>IF(ISNUMBER(Laboratorio!T30),Laboratorio!T30,"")</f>
        <v>1.9550000000000001</v>
      </c>
      <c r="AT51" s="36">
        <f t="shared" si="58"/>
        <v>-0.10927621841430657</v>
      </c>
      <c r="AU51" s="36">
        <f t="shared" si="59"/>
        <v>5.589576389478597</v>
      </c>
      <c r="AV51" s="35" t="str">
        <f>IF(ISNUMBER(Courier!V37),Courier!V37,"")</f>
        <v/>
      </c>
      <c r="AW51" s="35">
        <f>IF(ISNUMBER(Courier!X38),Courier!X38,0)</f>
        <v>21.923906326293945</v>
      </c>
      <c r="AX51" s="36">
        <f>IF(ISNUMBER(Laboratorio!V30),Laboratorio!V30,"")</f>
        <v>22.972000000000001</v>
      </c>
      <c r="AY51" s="36">
        <f t="shared" si="60"/>
        <v>1.048093673706056</v>
      </c>
      <c r="AZ51" s="36">
        <f t="shared" si="61"/>
        <v>1.048093673706056</v>
      </c>
      <c r="BA51" s="36">
        <f t="shared" si="62"/>
        <v>4.5624833436620928</v>
      </c>
      <c r="BB51" s="36">
        <f>Calculos!$AH$1</f>
        <v>1.5575884772727273</v>
      </c>
      <c r="BC51" s="36">
        <f t="shared" si="63"/>
        <v>-1.5575884772727273</v>
      </c>
      <c r="BD51" s="35">
        <f>IF(ISNUMBER(Courier!Z38),Courier!Z38,0)</f>
        <v>2.9916768074035645</v>
      </c>
      <c r="BE51" s="36">
        <f>IF(ISNUMBER(Laboratorio!X30),Laboratorio!X30,"")</f>
        <v>2.488</v>
      </c>
      <c r="BF51" s="36">
        <f t="shared" si="64"/>
        <v>-0.50367680740356446</v>
      </c>
      <c r="BG51" s="36">
        <f t="shared" si="65"/>
        <v>0.50367680740356446</v>
      </c>
      <c r="BH51" s="36">
        <f t="shared" si="66"/>
        <v>20.244244670561272</v>
      </c>
      <c r="BI51" s="36">
        <f>Calculos!$AI$1</f>
        <v>0.18375074999999999</v>
      </c>
      <c r="BJ51" s="36">
        <f t="shared" si="67"/>
        <v>-0.18375074999999999</v>
      </c>
      <c r="BK51" s="35">
        <f>IF(ISNUMBER(Courier!AB38),Courier!AB38,"")</f>
        <v>27.242895126342773</v>
      </c>
      <c r="BL51" s="36">
        <f>IF(ISNUMBER(Laboratorio!Z30),Laboratorio!Z30,"")</f>
        <v>27.19</v>
      </c>
      <c r="BM51" s="36">
        <f t="shared" si="68"/>
        <v>-5.2895126342772159E-2</v>
      </c>
      <c r="BN51" s="36">
        <f t="shared" si="69"/>
        <v>0.19453889791383655</v>
      </c>
      <c r="BO51" s="35">
        <f>IF(ISNUMBER(Courier!AD37),Courier!AD37,"")</f>
        <v>12.594371979900355</v>
      </c>
      <c r="BP51" s="35">
        <f>IF(ISNUMBER(Courier!AD38),Courier!AD38,"")</f>
        <v>11.910853339582541</v>
      </c>
      <c r="BQ51" s="36">
        <f>IF(ISNUMBER(Laboratorio!AB30),Laboratorio!AB30,"")</f>
        <v>9.74</v>
      </c>
      <c r="BR51" s="36">
        <f t="shared" si="35"/>
        <v>-2.1708533395825409</v>
      </c>
      <c r="BS51" s="36">
        <f t="shared" ref="BS51:BS65" si="70">IF(ISNUMBER(ABS(BR51)/BQ51*100),ABS(BR51)/BQ51*100," ")</f>
        <v>22.288021966966539</v>
      </c>
    </row>
    <row r="52" spans="1:71" ht="18" customHeight="1" x14ac:dyDescent="0.2">
      <c r="A52">
        <f>+A50+1</f>
        <v>25</v>
      </c>
      <c r="B52" s="7">
        <f>+B50+1</f>
        <v>46272</v>
      </c>
      <c r="C52" s="7" t="str">
        <f>DAY(B52) &amp; "-" &amp; MONTH(B52) &amp;"-" &amp; YEAR(B52)</f>
        <v>7-9-2026</v>
      </c>
      <c r="D52" s="35">
        <f>IF(ISNUMBER(Courier!E39),Courier!E39,0)</f>
        <v>0.58981031179428101</v>
      </c>
      <c r="E52" s="36">
        <f>IF(ISNUMBER(Laboratorio!E31),Laboratorio!E31,"")</f>
        <v>0.60599999999999998</v>
      </c>
      <c r="F52" s="36">
        <f t="shared" si="36"/>
        <v>1.6189688205718977E-2</v>
      </c>
      <c r="G52" s="36">
        <f t="shared" si="37"/>
        <v>1.6189688205718977E-2</v>
      </c>
      <c r="H52" s="36">
        <f t="shared" si="38"/>
        <v>2.6715657105146828</v>
      </c>
      <c r="I52" s="36">
        <f>Calculos!$I$1</f>
        <v>4.990387499999998E-2</v>
      </c>
      <c r="J52" s="36">
        <f t="shared" si="39"/>
        <v>-4.990387499999998E-2</v>
      </c>
      <c r="K52" s="35">
        <f>IF(ISNUMBER(Courier!G39),Courier!G39,0)</f>
        <v>6.5878219902515411E-2</v>
      </c>
      <c r="L52" s="36">
        <f>IF(ISNUMBER(Laboratorio!G31),Laboratorio!G31,"")</f>
        <v>6.3E-2</v>
      </c>
      <c r="M52" s="36">
        <f t="shared" si="40"/>
        <v>-2.8782199025154109E-3</v>
      </c>
      <c r="N52" s="36">
        <f t="shared" si="41"/>
        <v>2.8782199025154109E-3</v>
      </c>
      <c r="O52" s="36">
        <f t="shared" si="42"/>
        <v>4.5686030198657317</v>
      </c>
      <c r="P52" s="36">
        <f>Calculos!$J$1</f>
        <v>5.1807500000000022E-3</v>
      </c>
      <c r="Q52" s="36">
        <f t="shared" si="43"/>
        <v>-5.1807500000000022E-3</v>
      </c>
      <c r="R52" s="35">
        <f>IF(ISNUMBER(Courier!I39),Courier!I39,"")</f>
        <v>2.1223628520965576</v>
      </c>
      <c r="S52" s="36">
        <f>IF(ISNUMBER(Laboratorio!I31),Laboratorio!I31,"")</f>
        <v>2.3239999999999998</v>
      </c>
      <c r="T52" s="36">
        <f t="shared" si="44"/>
        <v>0.20163714790344223</v>
      </c>
      <c r="U52" s="36">
        <f t="shared" si="45"/>
        <v>8.6762972419725575</v>
      </c>
      <c r="V52" s="35">
        <f>IF(ISNUMBER(Courier!K39),Courier!K39,"")</f>
        <v>6.7641460336744785E-3</v>
      </c>
      <c r="W52" s="36">
        <f>IF(ISNUMBER(Laboratorio!K31),Laboratorio!K31,"")</f>
        <v>5.0000000000000001E-3</v>
      </c>
      <c r="X52" s="36">
        <f t="shared" si="46"/>
        <v>-1.7641460336744784E-3</v>
      </c>
      <c r="Y52" s="36">
        <f t="shared" si="47"/>
        <v>35.282920673489564</v>
      </c>
      <c r="Z52" s="35" t="str">
        <f>IF(ISNUMBER(Courier!M39),Courier!M39,"")</f>
        <v/>
      </c>
      <c r="AA52" s="36" t="str">
        <f>IF(ISNUMBER(Laboratorio!M31),Laboratorio!M31,"")</f>
        <v/>
      </c>
      <c r="AB52" s="36" t="str">
        <f t="shared" si="48"/>
        <v xml:space="preserve"> </v>
      </c>
      <c r="AC52" s="36" t="str">
        <f t="shared" si="49"/>
        <v xml:space="preserve"> </v>
      </c>
      <c r="AD52" s="35">
        <f>IF(ISNUMBER(Courier!O39),Courier!O39,0)</f>
        <v>5.8412514626979828E-2</v>
      </c>
      <c r="AE52" s="36">
        <f>IF(ISNUMBER(Laboratorio!O31),Laboratorio!O31,"")</f>
        <v>5.8999999999999997E-2</v>
      </c>
      <c r="AF52" s="36">
        <f t="shared" si="50"/>
        <v>5.8748537302016901E-4</v>
      </c>
      <c r="AG52" s="36">
        <f t="shared" si="51"/>
        <v>5.8748537302016901E-4</v>
      </c>
      <c r="AH52" s="36">
        <f t="shared" si="52"/>
        <v>0.99573792037316777</v>
      </c>
      <c r="AI52" s="36">
        <f>Calculos!$U$1</f>
        <v>8.6877272727272758E-3</v>
      </c>
      <c r="AJ52" s="36">
        <f t="shared" si="53"/>
        <v>-8.6877272727272758E-3</v>
      </c>
      <c r="AK52" s="35">
        <f>IF(ISNUMBER(Courier!Q39),Courier!Q39,0)</f>
        <v>8.9856330305337906E-3</v>
      </c>
      <c r="AL52" s="36">
        <f>IF(ISNUMBER(Laboratorio!Q31),Laboratorio!Q31,"")</f>
        <v>1.9E-2</v>
      </c>
      <c r="AM52" s="36">
        <f t="shared" si="54"/>
        <v>1.0014366969466209E-2</v>
      </c>
      <c r="AN52" s="36">
        <f t="shared" si="55"/>
        <v>1.0014366969466209E-2</v>
      </c>
      <c r="AO52" s="237">
        <f t="shared" si="56"/>
        <v>52.707194576137937</v>
      </c>
      <c r="AP52" s="36">
        <f>Calculos!$V$1</f>
        <v>2.2111363636363643E-3</v>
      </c>
      <c r="AQ52" s="36">
        <f t="shared" si="57"/>
        <v>-2.2111363636363643E-3</v>
      </c>
      <c r="AR52" s="35">
        <f>IF(ISNUMBER(Courier!S39),Courier!S39,"")</f>
        <v>1.6705179214477539</v>
      </c>
      <c r="AS52" s="36">
        <f>IF(ISNUMBER(Laboratorio!S31),Laboratorio!S31,"")</f>
        <v>1.766</v>
      </c>
      <c r="AT52" s="36">
        <f t="shared" si="58"/>
        <v>9.5482078552246108E-2</v>
      </c>
      <c r="AU52" s="36">
        <f t="shared" si="59"/>
        <v>5.4066862147364727</v>
      </c>
      <c r="AV52" s="35" t="str">
        <f>IF(ISNUMBER(Courier!U38),Courier!U38,"")</f>
        <v/>
      </c>
      <c r="AW52" s="35">
        <f>IF(ISNUMBER(Courier!W39),Courier!W39,0)</f>
        <v>25.237625122070313</v>
      </c>
      <c r="AX52" s="36">
        <f>IF(ISNUMBER(Laboratorio!U31),Laboratorio!U31,"")</f>
        <v>24.975000000000001</v>
      </c>
      <c r="AY52" s="36">
        <f t="shared" si="60"/>
        <v>-0.26262512207031108</v>
      </c>
      <c r="AZ52" s="36">
        <f t="shared" si="61"/>
        <v>0.26262512207031108</v>
      </c>
      <c r="BA52" s="36">
        <f t="shared" si="62"/>
        <v>1.0515520403215657</v>
      </c>
      <c r="BB52" s="36">
        <f>Calculos!$AH$1</f>
        <v>1.5575884772727273</v>
      </c>
      <c r="BC52" s="36">
        <f t="shared" si="63"/>
        <v>-1.5575884772727273</v>
      </c>
      <c r="BD52" s="35">
        <f>IF(ISNUMBER(Courier!Y39),Courier!Y39,0)</f>
        <v>3.0219612121582031</v>
      </c>
      <c r="BE52" s="36">
        <f>IF(ISNUMBER(Laboratorio!W31),Laboratorio!W31,"")</f>
        <v>2.383</v>
      </c>
      <c r="BF52" s="36">
        <f t="shared" si="64"/>
        <v>-0.63896121215820312</v>
      </c>
      <c r="BG52" s="36">
        <f t="shared" si="65"/>
        <v>0.63896121215820312</v>
      </c>
      <c r="BH52" s="36">
        <f t="shared" si="66"/>
        <v>26.813311462786533</v>
      </c>
      <c r="BI52" s="36">
        <f>Calculos!$AI$1</f>
        <v>0.18375074999999999</v>
      </c>
      <c r="BJ52" s="36">
        <f t="shared" si="67"/>
        <v>-0.18375074999999999</v>
      </c>
      <c r="BK52" s="35">
        <f>IF(ISNUMBER(Courier!AA39),Courier!AA39,"")</f>
        <v>27.622539520263672</v>
      </c>
      <c r="BL52" s="36">
        <f>IF(ISNUMBER(Laboratorio!Y31),Laboratorio!Y31,"")</f>
        <v>27.28</v>
      </c>
      <c r="BM52" s="36">
        <f t="shared" si="68"/>
        <v>-0.34253952026367074</v>
      </c>
      <c r="BN52" s="36">
        <f t="shared" si="69"/>
        <v>1.2556434027260657</v>
      </c>
      <c r="BO52" s="35">
        <f>IF(ISNUMBER(Courier!AC38),Courier!AC38,"")</f>
        <v>13.886858750036149</v>
      </c>
      <c r="BP52" s="35">
        <f>IF(ISNUMBER(Courier!AC39),Courier!AC39,"")</f>
        <v>9.263468503563935</v>
      </c>
      <c r="BQ52" s="36">
        <f>IF(ISNUMBER(Laboratorio!AA31),Laboratorio!AA31,"")</f>
        <v>10.48</v>
      </c>
      <c r="BR52" s="36">
        <f t="shared" si="35"/>
        <v>1.2165314964360654</v>
      </c>
      <c r="BS52" s="36">
        <f t="shared" si="70"/>
        <v>11.608124965992991</v>
      </c>
    </row>
    <row r="53" spans="1:71" ht="18" customHeight="1" x14ac:dyDescent="0.2">
      <c r="C53" s="38" t="str">
        <f>DAY(B52) &amp; "-" &amp; MONTH(B52) &amp;"-" &amp; YEAR(B52)</f>
        <v>7-9-2026</v>
      </c>
      <c r="D53" s="35">
        <f>IF(ISNUMBER(Courier!F39),Courier!F39,0)</f>
        <v>0.49795740842819214</v>
      </c>
      <c r="E53" s="36">
        <f>IF(ISNUMBER(Laboratorio!F31),Laboratorio!F31,"")</f>
        <v>0.52500000000000002</v>
      </c>
      <c r="F53" s="36">
        <f t="shared" si="36"/>
        <v>2.7042591571807884E-2</v>
      </c>
      <c r="G53" s="36">
        <f t="shared" si="37"/>
        <v>2.7042591571807884E-2</v>
      </c>
      <c r="H53" s="36">
        <f t="shared" si="38"/>
        <v>5.1509698232015015</v>
      </c>
      <c r="I53" s="36">
        <f>Calculos!$I$1</f>
        <v>4.990387499999998E-2</v>
      </c>
      <c r="J53" s="36">
        <f t="shared" si="39"/>
        <v>-4.990387499999998E-2</v>
      </c>
      <c r="K53" s="35">
        <f>IF(ISNUMBER(Courier!H39),Courier!H39,0)</f>
        <v>4.901445284485817E-2</v>
      </c>
      <c r="L53" s="36">
        <f>IF(ISNUMBER(Laboratorio!H31),Laboratorio!H31,"")</f>
        <v>3.9E-2</v>
      </c>
      <c r="M53" s="36">
        <f t="shared" si="40"/>
        <v>-1.001445284485817E-2</v>
      </c>
      <c r="N53" s="36">
        <f t="shared" si="41"/>
        <v>1.001445284485817E-2</v>
      </c>
      <c r="O53" s="36">
        <f t="shared" si="42"/>
        <v>25.678084217585052</v>
      </c>
      <c r="P53" s="36">
        <f>Calculos!$J$1</f>
        <v>5.1807500000000022E-3</v>
      </c>
      <c r="Q53" s="36">
        <f t="shared" si="43"/>
        <v>-5.1807500000000022E-3</v>
      </c>
      <c r="R53" s="35">
        <f>IF(ISNUMBER(Courier!J39),Courier!J39,"")</f>
        <v>2.074695348739624</v>
      </c>
      <c r="S53" s="36">
        <f>IF(ISNUMBER(Laboratorio!J31),Laboratorio!J31,"")</f>
        <v>1.982</v>
      </c>
      <c r="T53" s="36">
        <f t="shared" si="44"/>
        <v>-9.2695348739624039E-2</v>
      </c>
      <c r="U53" s="36">
        <f t="shared" si="45"/>
        <v>4.6768591695067627</v>
      </c>
      <c r="V53" s="35">
        <f>IF(ISNUMBER(Courier!L39),Courier!L39,"")</f>
        <v>7.3444037698209286E-3</v>
      </c>
      <c r="W53" s="36">
        <f>IF(ISNUMBER(Laboratorio!L31),Laboratorio!L31,"")</f>
        <v>4.0000000000000001E-3</v>
      </c>
      <c r="X53" s="36">
        <f t="shared" si="46"/>
        <v>-3.3444037698209285E-3</v>
      </c>
      <c r="Y53" s="36">
        <f t="shared" si="47"/>
        <v>83.610094245523214</v>
      </c>
      <c r="Z53" s="35" t="str">
        <f>IF(ISNUMBER(Courier!N39),Courier!N39,"")</f>
        <v/>
      </c>
      <c r="AA53" s="36" t="str">
        <f>IF(ISNUMBER(Laboratorio!N31),Laboratorio!N31,"")</f>
        <v/>
      </c>
      <c r="AB53" s="36" t="str">
        <f t="shared" si="48"/>
        <v xml:space="preserve"> </v>
      </c>
      <c r="AC53" s="36" t="str">
        <f t="shared" si="49"/>
        <v xml:space="preserve"> </v>
      </c>
      <c r="AD53" s="35">
        <f>IF(ISNUMBER(Courier!P39),Courier!P39,0)</f>
        <v>6.5444730222225189E-2</v>
      </c>
      <c r="AE53" s="36">
        <f>+IF(ISNUMBER(Laboratorio!P31),Laboratorio!P31,"")</f>
        <v>5.0999999999999997E-2</v>
      </c>
      <c r="AF53" s="36">
        <f t="shared" si="50"/>
        <v>-1.4444730222225192E-2</v>
      </c>
      <c r="AG53" s="36">
        <f t="shared" si="51"/>
        <v>1.4444730222225192E-2</v>
      </c>
      <c r="AH53" s="36">
        <f t="shared" si="52"/>
        <v>28.323000435735672</v>
      </c>
      <c r="AI53" s="36">
        <f>Calculos!$U$1</f>
        <v>8.6877272727272758E-3</v>
      </c>
      <c r="AJ53" s="36">
        <f t="shared" si="53"/>
        <v>-8.6877272727272758E-3</v>
      </c>
      <c r="AK53" s="35">
        <f>IF(ISNUMBER(Courier!R39),Courier!R39,0)</f>
        <v>1.1116042733192444E-2</v>
      </c>
      <c r="AL53" s="36">
        <f>IF(ISNUMBER(Laboratorio!R31),Laboratorio!R31,"")</f>
        <v>8.9999999999999993E-3</v>
      </c>
      <c r="AM53" s="36">
        <f t="shared" si="54"/>
        <v>-2.1160427331924445E-3</v>
      </c>
      <c r="AN53" s="36">
        <f t="shared" si="55"/>
        <v>2.1160427331924445E-3</v>
      </c>
      <c r="AO53" s="237">
        <f t="shared" si="56"/>
        <v>23.511585924360496</v>
      </c>
      <c r="AP53" s="36">
        <f>Calculos!$V$1</f>
        <v>2.2111363636363643E-3</v>
      </c>
      <c r="AQ53" s="36">
        <f t="shared" si="57"/>
        <v>-2.2111363636363643E-3</v>
      </c>
      <c r="AR53" s="35">
        <f>IF(ISNUMBER(Courier!T39),Courier!T39,"")</f>
        <v>1.3353372812271118</v>
      </c>
      <c r="AS53" s="36">
        <f>IF(ISNUMBER(Laboratorio!T31),Laboratorio!T31,"")</f>
        <v>1.573</v>
      </c>
      <c r="AT53" s="36">
        <f t="shared" si="58"/>
        <v>0.23766271877288814</v>
      </c>
      <c r="AU53" s="36">
        <f t="shared" si="59"/>
        <v>15.10888231232601</v>
      </c>
      <c r="AV53" s="35" t="str">
        <f>IF(ISNUMBER(Courier!V38),Courier!V38,"")</f>
        <v/>
      </c>
      <c r="AW53" s="35">
        <f>IF(ISNUMBER(Courier!X39),Courier!X39,0)</f>
        <v>24.58636474609375</v>
      </c>
      <c r="AX53" s="36">
        <f>IF(ISNUMBER(Laboratorio!V31),Laboratorio!V31,"")</f>
        <v>25.276</v>
      </c>
      <c r="AY53" s="36">
        <f t="shared" si="60"/>
        <v>0.6896352539062498</v>
      </c>
      <c r="AZ53" s="36">
        <f t="shared" si="61"/>
        <v>0.6896352539062498</v>
      </c>
      <c r="BA53" s="36">
        <f t="shared" si="62"/>
        <v>2.7284192669182219</v>
      </c>
      <c r="BB53" s="36">
        <f>Calculos!$AH$1</f>
        <v>1.5575884772727273</v>
      </c>
      <c r="BC53" s="36">
        <f t="shared" si="63"/>
        <v>-1.5575884772727273</v>
      </c>
      <c r="BD53" s="35">
        <f>IF(ISNUMBER(Courier!Z39),Courier!Z39,0)</f>
        <v>2.3146829605102539</v>
      </c>
      <c r="BE53" s="36">
        <f>IF(ISNUMBER(Laboratorio!X31),Laboratorio!X31,"")</f>
        <v>2.198</v>
      </c>
      <c r="BF53" s="36">
        <f t="shared" si="64"/>
        <v>-0.11668296051025395</v>
      </c>
      <c r="BG53" s="36">
        <f t="shared" si="65"/>
        <v>0.11668296051025395</v>
      </c>
      <c r="BH53" s="36">
        <f t="shared" si="66"/>
        <v>5.308596929492901</v>
      </c>
      <c r="BI53" s="36">
        <f>Calculos!$AI$1</f>
        <v>0.18375074999999999</v>
      </c>
      <c r="BJ53" s="36">
        <f t="shared" si="67"/>
        <v>-0.18375074999999999</v>
      </c>
      <c r="BK53" s="35">
        <f>IF(ISNUMBER(Courier!AB39),Courier!AB39,"")</f>
        <v>26.88499641418457</v>
      </c>
      <c r="BL53" s="36">
        <f>IF(ISNUMBER(Laboratorio!Z31),Laboratorio!Z31,"")</f>
        <v>27.72</v>
      </c>
      <c r="BM53" s="36">
        <f t="shared" si="68"/>
        <v>0.83500358581542855</v>
      </c>
      <c r="BN53" s="36">
        <f t="shared" si="69"/>
        <v>3.0122784481076068</v>
      </c>
      <c r="BO53" s="35">
        <f>IF(ISNUMBER(Courier!AD38),Courier!AD38,"")</f>
        <v>11.910853339582541</v>
      </c>
      <c r="BP53" s="35">
        <f>IF(ISNUMBER(Courier!AD39),Courier!AD39,"")</f>
        <v>9.7604656823666094</v>
      </c>
      <c r="BQ53" s="36">
        <f>IF(ISNUMBER(Laboratorio!AB31),Laboratorio!AB31,"")</f>
        <v>9.7200000000000006</v>
      </c>
      <c r="BR53" s="36">
        <f t="shared" si="35"/>
        <v>-4.0465682366608746E-2</v>
      </c>
      <c r="BS53" s="36">
        <f t="shared" si="70"/>
        <v>0.41631360459474015</v>
      </c>
    </row>
    <row r="54" spans="1:71" ht="18" customHeight="1" x14ac:dyDescent="0.2">
      <c r="A54">
        <f>+A52+1</f>
        <v>26</v>
      </c>
      <c r="B54" s="7">
        <f>+B52+1</f>
        <v>46273</v>
      </c>
      <c r="C54" s="7" t="str">
        <f>DAY(B54) &amp; "-" &amp; MONTH(B54) &amp;"-" &amp; YEAR(B54)</f>
        <v>8-9-2026</v>
      </c>
      <c r="D54" s="35">
        <f>IF(ISNUMBER(Courier!E40),Courier!E40,0)</f>
        <v>0.49200034141540527</v>
      </c>
      <c r="E54" s="36">
        <f>IF(ISNUMBER(Laboratorio!E32),Laboratorio!E32,"")</f>
        <v>0.55600000000000005</v>
      </c>
      <c r="F54" s="36">
        <f t="shared" si="36"/>
        <v>6.3999658584594776E-2</v>
      </c>
      <c r="G54" s="36">
        <f t="shared" si="37"/>
        <v>6.3999658584594776E-2</v>
      </c>
      <c r="H54" s="36">
        <f t="shared" si="38"/>
        <v>11.510729961258052</v>
      </c>
      <c r="I54" s="36">
        <f>Calculos!$I$1</f>
        <v>4.990387499999998E-2</v>
      </c>
      <c r="J54" s="36">
        <f t="shared" si="39"/>
        <v>-4.990387499999998E-2</v>
      </c>
      <c r="K54" s="35">
        <f>IF(ISNUMBER(Courier!G40),Courier!G40,0)</f>
        <v>6.7074969410896301E-2</v>
      </c>
      <c r="L54" s="36">
        <f>IF(ISNUMBER(Laboratorio!G32),Laboratorio!G32,"")</f>
        <v>7.6999999999999999E-2</v>
      </c>
      <c r="M54" s="36">
        <f t="shared" si="40"/>
        <v>9.9250305891036977E-3</v>
      </c>
      <c r="N54" s="36">
        <f t="shared" si="41"/>
        <v>9.9250305891036977E-3</v>
      </c>
      <c r="O54" s="36">
        <f t="shared" si="42"/>
        <v>12.889650115719087</v>
      </c>
      <c r="P54" s="36">
        <f>Calculos!$J$1</f>
        <v>5.1807500000000022E-3</v>
      </c>
      <c r="Q54" s="36">
        <f t="shared" si="43"/>
        <v>-5.1807500000000022E-3</v>
      </c>
      <c r="R54" s="35">
        <f>IF(ISNUMBER(Courier!I40),Courier!I40,"")</f>
        <v>2.061875581741333</v>
      </c>
      <c r="S54" s="36">
        <f>IF(ISNUMBER(Laboratorio!I32),Laboratorio!I32,"")</f>
        <v>2.2010000000000001</v>
      </c>
      <c r="T54" s="36">
        <f t="shared" si="44"/>
        <v>0.13912441825866706</v>
      </c>
      <c r="U54" s="36">
        <f t="shared" si="45"/>
        <v>6.3209640281084525</v>
      </c>
      <c r="V54" s="35">
        <f>IF(ISNUMBER(Courier!K40),Courier!K40,"")</f>
        <v>7.315794937312603E-3</v>
      </c>
      <c r="W54" s="36">
        <f>IF(ISNUMBER(Laboratorio!K32),Laboratorio!K32,"")</f>
        <v>5.0000000000000001E-3</v>
      </c>
      <c r="X54" s="36">
        <f t="shared" si="46"/>
        <v>-2.3157949373126029E-3</v>
      </c>
      <c r="Y54" s="36">
        <f t="shared" si="47"/>
        <v>46.315898746252053</v>
      </c>
      <c r="Z54" s="35" t="str">
        <f>IF(ISNUMBER(Courier!M40),Courier!M40,"")</f>
        <v/>
      </c>
      <c r="AA54" s="36" t="str">
        <f>IF(ISNUMBER(Laboratorio!M32),Laboratorio!M32,"")</f>
        <v/>
      </c>
      <c r="AB54" s="36" t="str">
        <f t="shared" si="48"/>
        <v xml:space="preserve"> </v>
      </c>
      <c r="AC54" s="36" t="str">
        <f t="shared" si="49"/>
        <v xml:space="preserve"> </v>
      </c>
      <c r="AD54" s="35">
        <f>IF(ISNUMBER(Courier!O40),Courier!O40,0)</f>
        <v>6.17174431681633E-2</v>
      </c>
      <c r="AE54" s="36">
        <f>IF(ISNUMBER(Laboratorio!O32),Laboratorio!O32,"")</f>
        <v>5.3999999999999999E-2</v>
      </c>
      <c r="AF54" s="36">
        <f t="shared" si="50"/>
        <v>-7.7174431681633002E-3</v>
      </c>
      <c r="AG54" s="36">
        <f t="shared" si="51"/>
        <v>7.7174431681633002E-3</v>
      </c>
      <c r="AH54" s="36">
        <f t="shared" si="52"/>
        <v>14.291561422524628</v>
      </c>
      <c r="AI54" s="36">
        <f>Calculos!$U$1</f>
        <v>8.6877272727272758E-3</v>
      </c>
      <c r="AJ54" s="36">
        <f t="shared" si="53"/>
        <v>-8.6877272727272758E-3</v>
      </c>
      <c r="AK54" s="35">
        <f>IF(ISNUMBER(Courier!Q40),Courier!Q40,0)</f>
        <v>1.0092724114656448E-2</v>
      </c>
      <c r="AL54" s="36">
        <f>IF(ISNUMBER(Laboratorio!Q32),Laboratorio!Q32,"")</f>
        <v>1.4E-2</v>
      </c>
      <c r="AM54" s="36">
        <f t="shared" si="54"/>
        <v>3.9072758853435519E-3</v>
      </c>
      <c r="AN54" s="36">
        <f t="shared" si="55"/>
        <v>3.9072758853435519E-3</v>
      </c>
      <c r="AO54" s="237">
        <f t="shared" si="56"/>
        <v>27.909113466739655</v>
      </c>
      <c r="AP54" s="36">
        <f>Calculos!$V$1</f>
        <v>2.2111363636363643E-3</v>
      </c>
      <c r="AQ54" s="36">
        <f t="shared" si="57"/>
        <v>-2.2111363636363643E-3</v>
      </c>
      <c r="AR54" s="35">
        <f>IF(ISNUMBER(Courier!S40),Courier!S40,"")</f>
        <v>1.4547910690307617</v>
      </c>
      <c r="AS54" s="36">
        <f>IF(ISNUMBER(Laboratorio!S32),Laboratorio!S32,"")</f>
        <v>1.7270000000000001</v>
      </c>
      <c r="AT54" s="36">
        <f t="shared" si="58"/>
        <v>0.27220893096923837</v>
      </c>
      <c r="AU54" s="36">
        <f t="shared" si="59"/>
        <v>15.761953153980219</v>
      </c>
      <c r="AV54" s="35" t="str">
        <f>IF(ISNUMBER(Courier!U39),Courier!U39,"")</f>
        <v/>
      </c>
      <c r="AW54" s="35">
        <f>IF(ISNUMBER(Courier!W40),Courier!W40,0)</f>
        <v>22.322566986083984</v>
      </c>
      <c r="AX54" s="36">
        <f>IF(ISNUMBER(Laboratorio!U32),Laboratorio!U32,"")</f>
        <v>23.321999999999999</v>
      </c>
      <c r="AY54" s="36">
        <f t="shared" si="60"/>
        <v>0.9994330139160148</v>
      </c>
      <c r="AZ54" s="36">
        <f t="shared" si="61"/>
        <v>0.9994330139160148</v>
      </c>
      <c r="BA54" s="36">
        <f t="shared" si="62"/>
        <v>4.2853658087471693</v>
      </c>
      <c r="BB54" s="36">
        <f>Calculos!$AH$1</f>
        <v>1.5575884772727273</v>
      </c>
      <c r="BC54" s="36">
        <f t="shared" si="63"/>
        <v>-1.5575884772727273</v>
      </c>
      <c r="BD54" s="35">
        <f>IF(ISNUMBER(Courier!Y40),Courier!Y40,0)</f>
        <v>3.0827581882476807</v>
      </c>
      <c r="BE54" s="36">
        <f>IF(ISNUMBER(Laboratorio!W32),Laboratorio!W32,"")</f>
        <v>3.17</v>
      </c>
      <c r="BF54" s="36">
        <f t="shared" si="64"/>
        <v>8.7241811752319265E-2</v>
      </c>
      <c r="BG54" s="36">
        <f t="shared" si="65"/>
        <v>8.7241811752319265E-2</v>
      </c>
      <c r="BH54" s="36">
        <f t="shared" si="66"/>
        <v>2.7521076262561284</v>
      </c>
      <c r="BI54" s="36">
        <f>Calculos!$AI$1</f>
        <v>0.18375074999999999</v>
      </c>
      <c r="BJ54" s="36">
        <f t="shared" si="67"/>
        <v>-0.18375074999999999</v>
      </c>
      <c r="BK54" s="35">
        <f>IF(ISNUMBER(Courier!AA40),Courier!AA40,"")</f>
        <v>27.057113647460938</v>
      </c>
      <c r="BL54" s="36">
        <f>IF(ISNUMBER(Laboratorio!Y32),Laboratorio!Y32,"")</f>
        <v>26.88</v>
      </c>
      <c r="BM54" s="36">
        <f t="shared" si="68"/>
        <v>-0.17711364746093849</v>
      </c>
      <c r="BN54" s="36">
        <f t="shared" si="69"/>
        <v>0.65890493847075338</v>
      </c>
      <c r="BO54" s="35">
        <f>IF(ISNUMBER(Courier!AC39),Courier!AC39,"")</f>
        <v>9.263468503563935</v>
      </c>
      <c r="BP54" s="35">
        <f>IF(ISNUMBER(Courier!AC40),Courier!AC40,"")</f>
        <v>13.164426495467861</v>
      </c>
      <c r="BQ54" s="36">
        <f>IF(ISNUMBER(Laboratorio!AA32),Laboratorio!AA32,"")</f>
        <v>12.58</v>
      </c>
      <c r="BR54" s="36">
        <f t="shared" si="35"/>
        <v>-0.58442649546786107</v>
      </c>
      <c r="BS54" s="36">
        <f t="shared" si="70"/>
        <v>4.6456796142119323</v>
      </c>
    </row>
    <row r="55" spans="1:71" ht="18" customHeight="1" x14ac:dyDescent="0.2">
      <c r="C55" s="38" t="str">
        <f>DAY(B54) &amp; "-" &amp; MONTH(B54) &amp;"-" &amp; YEAR(B54)</f>
        <v>8-9-2026</v>
      </c>
      <c r="D55" s="35">
        <f>IF(ISNUMBER(Courier!F40),Courier!F40,0)</f>
        <v>0.49363160133361816</v>
      </c>
      <c r="E55" s="36">
        <f>IF(ISNUMBER(Laboratorio!F32),Laboratorio!F32,"")</f>
        <v>0.54500000000000004</v>
      </c>
      <c r="F55" s="36">
        <f t="shared" si="36"/>
        <v>5.1368398666381876E-2</v>
      </c>
      <c r="G55" s="36">
        <f t="shared" si="37"/>
        <v>5.1368398666381876E-2</v>
      </c>
      <c r="H55" s="36">
        <f t="shared" si="38"/>
        <v>9.4253942507122694</v>
      </c>
      <c r="I55" s="36">
        <f>Calculos!$I$1</f>
        <v>4.990387499999998E-2</v>
      </c>
      <c r="J55" s="36">
        <f t="shared" si="39"/>
        <v>-4.990387499999998E-2</v>
      </c>
      <c r="K55" s="35">
        <f>IF(ISNUMBER(Courier!H40),Courier!H40,0)</f>
        <v>6.4989484846591949E-2</v>
      </c>
      <c r="L55" s="36">
        <f>IF(ISNUMBER(Laboratorio!H32),Laboratorio!H32,"")</f>
        <v>6.9000000000000006E-2</v>
      </c>
      <c r="M55" s="36">
        <f t="shared" si="40"/>
        <v>4.0105151534080563E-3</v>
      </c>
      <c r="N55" s="36">
        <f t="shared" si="41"/>
        <v>4.0105151534080563E-3</v>
      </c>
      <c r="O55" s="36">
        <f t="shared" si="42"/>
        <v>5.8123408020406604</v>
      </c>
      <c r="P55" s="36">
        <f>Calculos!$J$1</f>
        <v>5.1807500000000022E-3</v>
      </c>
      <c r="Q55" s="36">
        <f t="shared" si="43"/>
        <v>-5.1807500000000022E-3</v>
      </c>
      <c r="R55" s="35">
        <f>IF(ISNUMBER(Courier!J40),Courier!J40,"")</f>
        <v>1.8942028284072876</v>
      </c>
      <c r="S55" s="36">
        <f>IF(ISNUMBER(Laboratorio!J32),Laboratorio!J32,"")</f>
        <v>2.093</v>
      </c>
      <c r="T55" s="36">
        <f t="shared" si="44"/>
        <v>0.19879717159271237</v>
      </c>
      <c r="U55" s="36">
        <f t="shared" si="45"/>
        <v>9.4981926226809534</v>
      </c>
      <c r="V55" s="35">
        <f>IF(ISNUMBER(Courier!L40),Courier!L40,"")</f>
        <v>6.9347294047474861E-3</v>
      </c>
      <c r="W55" s="36">
        <f>IF(ISNUMBER(Laboratorio!L32),Laboratorio!L32,"")</f>
        <v>5.0000000000000001E-3</v>
      </c>
      <c r="X55" s="36">
        <f t="shared" si="46"/>
        <v>-1.934729404747486E-3</v>
      </c>
      <c r="Y55" s="36">
        <f t="shared" si="47"/>
        <v>38.694588094949715</v>
      </c>
      <c r="Z55" s="35" t="str">
        <f>IF(ISNUMBER(Courier!N40),Courier!N40,"")</f>
        <v/>
      </c>
      <c r="AA55" s="36" t="str">
        <f>IF(ISNUMBER(Laboratorio!N32),Laboratorio!N32,"")</f>
        <v/>
      </c>
      <c r="AB55" s="36" t="str">
        <f t="shared" si="48"/>
        <v xml:space="preserve"> </v>
      </c>
      <c r="AC55" s="36" t="str">
        <f t="shared" si="49"/>
        <v xml:space="preserve"> </v>
      </c>
      <c r="AD55" s="35">
        <f>IF(ISNUMBER(Courier!P40),Courier!P40,0)</f>
        <v>6.17174431681633E-2</v>
      </c>
      <c r="AE55" s="36">
        <f>+IF(ISNUMBER(Laboratorio!P32),Laboratorio!P32,"")</f>
        <v>5.1999999999999998E-2</v>
      </c>
      <c r="AF55" s="36">
        <f t="shared" si="50"/>
        <v>-9.7174431681633019E-3</v>
      </c>
      <c r="AG55" s="36">
        <f t="shared" si="51"/>
        <v>9.7174431681633019E-3</v>
      </c>
      <c r="AH55" s="36">
        <f t="shared" si="52"/>
        <v>18.687390708006351</v>
      </c>
      <c r="AI55" s="36">
        <f>Calculos!$U$1</f>
        <v>8.6877272727272758E-3</v>
      </c>
      <c r="AJ55" s="36">
        <f t="shared" si="53"/>
        <v>-8.6877272727272758E-3</v>
      </c>
      <c r="AK55" s="35">
        <f>IF(ISNUMBER(Courier!R40),Courier!R40,0)</f>
        <v>1.0092724114656448E-2</v>
      </c>
      <c r="AL55" s="36">
        <f>IF(ISNUMBER(Laboratorio!R32),Laboratorio!R32,"")</f>
        <v>1.4E-2</v>
      </c>
      <c r="AM55" s="36">
        <f t="shared" si="54"/>
        <v>3.9072758853435519E-3</v>
      </c>
      <c r="AN55" s="36">
        <f t="shared" si="55"/>
        <v>3.9072758853435519E-3</v>
      </c>
      <c r="AO55" s="237">
        <f t="shared" si="56"/>
        <v>27.909113466739655</v>
      </c>
      <c r="AP55" s="36">
        <f>Calculos!$V$1</f>
        <v>2.2111363636363643E-3</v>
      </c>
      <c r="AQ55" s="36">
        <f t="shared" si="57"/>
        <v>-2.2111363636363643E-3</v>
      </c>
      <c r="AR55" s="35">
        <f>IF(ISNUMBER(Courier!T40),Courier!T40,"")</f>
        <v>1.4547910690307617</v>
      </c>
      <c r="AS55" s="36">
        <f>IF(ISNUMBER(Laboratorio!T32),Laboratorio!T32,"")</f>
        <v>1.7230000000000001</v>
      </c>
      <c r="AT55" s="36">
        <f t="shared" si="58"/>
        <v>0.26820893096923837</v>
      </c>
      <c r="AU55" s="36">
        <f t="shared" si="59"/>
        <v>15.566391814813601</v>
      </c>
      <c r="AV55" s="35" t="str">
        <f>IF(ISNUMBER(Courier!V39),Courier!V39,"")</f>
        <v/>
      </c>
      <c r="AW55" s="35">
        <f>IF(ISNUMBER(Courier!X40),Courier!X40,0)</f>
        <v>23.369316101074219</v>
      </c>
      <c r="AX55" s="36">
        <f>IF(ISNUMBER(Laboratorio!V32),Laboratorio!V32,"")</f>
        <v>26.672000000000001</v>
      </c>
      <c r="AY55" s="36">
        <f t="shared" si="60"/>
        <v>3.3026838989257818</v>
      </c>
      <c r="AZ55" s="36">
        <f t="shared" si="61"/>
        <v>3.3026838989257818</v>
      </c>
      <c r="BA55" s="36">
        <f t="shared" si="62"/>
        <v>12.382588103351011</v>
      </c>
      <c r="BB55" s="36">
        <f>Calculos!$AH$1</f>
        <v>1.5575884772727273</v>
      </c>
      <c r="BC55" s="36">
        <f t="shared" si="63"/>
        <v>-1.5575884772727273</v>
      </c>
      <c r="BD55" s="35">
        <f>IF(ISNUMBER(Courier!Z40),Courier!Z40,0)</f>
        <v>3.2293510437011719</v>
      </c>
      <c r="BE55" s="36">
        <f>IF(ISNUMBER(Laboratorio!X32),Laboratorio!X32,"")</f>
        <v>2.8050000000000002</v>
      </c>
      <c r="BF55" s="36">
        <f t="shared" si="64"/>
        <v>-0.42435104370117172</v>
      </c>
      <c r="BG55" s="36">
        <f t="shared" si="65"/>
        <v>0.42435104370117172</v>
      </c>
      <c r="BH55" s="36">
        <f t="shared" si="66"/>
        <v>15.128379454587225</v>
      </c>
      <c r="BI55" s="36">
        <f>Calculos!$AI$1</f>
        <v>0.18375074999999999</v>
      </c>
      <c r="BJ55" s="36">
        <f t="shared" si="67"/>
        <v>-0.18375074999999999</v>
      </c>
      <c r="BK55" s="35">
        <f>IF(ISNUMBER(Courier!AB40),Courier!AB40,"")</f>
        <v>26.96209716796875</v>
      </c>
      <c r="BL55" s="36">
        <f>IF(ISNUMBER(Laboratorio!Z32),Laboratorio!Z32,"")</f>
        <v>26.64</v>
      </c>
      <c r="BM55" s="36">
        <f t="shared" si="68"/>
        <v>-0.32209716796874943</v>
      </c>
      <c r="BN55" s="36">
        <f t="shared" si="69"/>
        <v>1.2090734533361465</v>
      </c>
      <c r="BO55" s="35">
        <f>IF(ISNUMBER(Courier!AD39),Courier!AD39,"")</f>
        <v>9.7604656823666094</v>
      </c>
      <c r="BP55" s="35">
        <f>IF(ISNUMBER(Courier!AD40),Courier!AD40,"")</f>
        <v>8.093370480809563</v>
      </c>
      <c r="BQ55" s="36">
        <f>IF(ISNUMBER(Laboratorio!AB32),Laboratorio!AB32,"")</f>
        <v>8.4</v>
      </c>
      <c r="BR55" s="36">
        <f t="shared" si="35"/>
        <v>0.30662951919043735</v>
      </c>
      <c r="BS55" s="36">
        <f t="shared" si="70"/>
        <v>3.6503514189337776</v>
      </c>
    </row>
    <row r="56" spans="1:71" ht="18" customHeight="1" x14ac:dyDescent="0.2">
      <c r="A56">
        <f>+A54+1</f>
        <v>27</v>
      </c>
      <c r="B56" s="7">
        <f>+B54+1</f>
        <v>46274</v>
      </c>
      <c r="C56" s="7" t="str">
        <f>DAY(B56) &amp; "-" &amp; MONTH(B56) &amp;"-" &amp; YEAR(B56)</f>
        <v>9-9-2026</v>
      </c>
      <c r="D56" s="35">
        <f>IF(ISNUMBER(Courier!E41),Courier!E41,0)</f>
        <v>0.50143665075302124</v>
      </c>
      <c r="E56" s="36">
        <f>IF(ISNUMBER(Laboratorio!E33),Laboratorio!E33,"")</f>
        <v>0.48</v>
      </c>
      <c r="F56" s="36">
        <f t="shared" si="36"/>
        <v>-2.1436650753021258E-2</v>
      </c>
      <c r="G56" s="36">
        <f t="shared" si="37"/>
        <v>2.1436650753021258E-2</v>
      </c>
      <c r="H56" s="36">
        <f t="shared" si="38"/>
        <v>4.4659689068794295</v>
      </c>
      <c r="I56" s="36">
        <f>Calculos!$I$1</f>
        <v>4.990387499999998E-2</v>
      </c>
      <c r="J56" s="36">
        <f t="shared" si="39"/>
        <v>-4.990387499999998E-2</v>
      </c>
      <c r="K56" s="35">
        <f>IF(ISNUMBER(Courier!G41),Courier!G41,0)</f>
        <v>8.5331402719020844E-2</v>
      </c>
      <c r="L56" s="36">
        <f>IF(ISNUMBER(Laboratorio!G33),Laboratorio!G33,"")</f>
        <v>0.08</v>
      </c>
      <c r="M56" s="36">
        <f t="shared" si="40"/>
        <v>-5.3314027190208418E-3</v>
      </c>
      <c r="N56" s="36">
        <f t="shared" si="41"/>
        <v>5.3314027190208418E-3</v>
      </c>
      <c r="O56" s="36">
        <f t="shared" si="42"/>
        <v>6.6642533987760517</v>
      </c>
      <c r="P56" s="36">
        <f>Calculos!$J$1</f>
        <v>5.1807500000000022E-3</v>
      </c>
      <c r="Q56" s="36">
        <f t="shared" si="43"/>
        <v>-5.1807500000000022E-3</v>
      </c>
      <c r="R56" s="35">
        <f>IF(ISNUMBER(Courier!I41),Courier!I41,"")</f>
        <v>1.671797513961792</v>
      </c>
      <c r="S56" s="36">
        <f>IF(ISNUMBER(Laboratorio!I33),Laboratorio!I33,"")</f>
        <v>2.1339999999999999</v>
      </c>
      <c r="T56" s="36">
        <f t="shared" si="44"/>
        <v>0.4622024860382079</v>
      </c>
      <c r="U56" s="36">
        <f t="shared" si="45"/>
        <v>21.658973103946014</v>
      </c>
      <c r="V56" s="35">
        <f>IF(ISNUMBER(Courier!K41),Courier!K41,"")</f>
        <v>6.834651343524456E-3</v>
      </c>
      <c r="W56" s="36">
        <f>IF(ISNUMBER(Laboratorio!K33),Laboratorio!K33,"")</f>
        <v>5.0000000000000001E-3</v>
      </c>
      <c r="X56" s="36">
        <f t="shared" si="46"/>
        <v>-1.8346513435244559E-3</v>
      </c>
      <c r="Y56" s="36">
        <f t="shared" si="47"/>
        <v>36.693026870489113</v>
      </c>
      <c r="Z56" s="35" t="str">
        <f>IF(ISNUMBER(Courier!M41),Courier!M41,"")</f>
        <v/>
      </c>
      <c r="AA56" s="36" t="str">
        <f>IF(ISNUMBER(Laboratorio!M33),Laboratorio!M33,"")</f>
        <v/>
      </c>
      <c r="AB56" s="36" t="str">
        <f t="shared" si="48"/>
        <v xml:space="preserve"> </v>
      </c>
      <c r="AC56" s="36" t="str">
        <f t="shared" si="49"/>
        <v xml:space="preserve"> </v>
      </c>
      <c r="AD56" s="35">
        <f>IF(ISNUMBER(Courier!O41),Courier!O41,0)</f>
        <v>6.17174431681633E-2</v>
      </c>
      <c r="AE56" s="36">
        <f>IF(ISNUMBER(Laboratorio!O33),Laboratorio!O33,"")</f>
        <v>3.5999999999999997E-2</v>
      </c>
      <c r="AF56" s="36">
        <f t="shared" si="50"/>
        <v>-2.5717443168163302E-2</v>
      </c>
      <c r="AG56" s="36">
        <f t="shared" si="51"/>
        <v>2.5717443168163302E-2</v>
      </c>
      <c r="AH56" s="36">
        <f t="shared" si="52"/>
        <v>71.437342133786956</v>
      </c>
      <c r="AI56" s="36">
        <f>Calculos!$U$1</f>
        <v>8.6877272727272758E-3</v>
      </c>
      <c r="AJ56" s="36">
        <f t="shared" si="53"/>
        <v>-8.6877272727272758E-3</v>
      </c>
      <c r="AK56" s="35">
        <f>IF(ISNUMBER(Courier!Q41),Courier!Q41,0)</f>
        <v>1.0092724114656448E-2</v>
      </c>
      <c r="AL56" s="36">
        <f>IF(ISNUMBER(Laboratorio!Q33),Laboratorio!Q33,"")</f>
        <v>1.4999999999999999E-2</v>
      </c>
      <c r="AM56" s="36">
        <f t="shared" si="54"/>
        <v>4.9072758853435511E-3</v>
      </c>
      <c r="AN56" s="36">
        <f t="shared" si="55"/>
        <v>4.9072758853435511E-3</v>
      </c>
      <c r="AO56" s="237">
        <f t="shared" si="56"/>
        <v>32.715172568957009</v>
      </c>
      <c r="AP56" s="36">
        <f>Calculos!$V$1</f>
        <v>2.2111363636363643E-3</v>
      </c>
      <c r="AQ56" s="36">
        <f t="shared" si="57"/>
        <v>-2.2111363636363643E-3</v>
      </c>
      <c r="AR56" s="35">
        <f>IF(ISNUMBER(Courier!S41),Courier!S41,"")</f>
        <v>1.4547910690307617</v>
      </c>
      <c r="AS56" s="36">
        <f>IF(ISNUMBER(Laboratorio!S33),Laboratorio!S33,"")</f>
        <v>1.3420000000000001</v>
      </c>
      <c r="AT56" s="36">
        <f t="shared" si="58"/>
        <v>-0.11279106903076164</v>
      </c>
      <c r="AU56" s="36">
        <f t="shared" si="59"/>
        <v>8.4046996297139813</v>
      </c>
      <c r="AV56" s="35" t="str">
        <f>IF(ISNUMBER(Courier!U40),Courier!U40,"")</f>
        <v/>
      </c>
      <c r="AW56" s="35">
        <f>IF(ISNUMBER(Courier!W41),Courier!W41,0)</f>
        <v>23.859102249145508</v>
      </c>
      <c r="AX56" s="36">
        <f>IF(ISNUMBER(Laboratorio!U33),Laboratorio!U33,"")</f>
        <v>23.248999999999999</v>
      </c>
      <c r="AY56" s="36">
        <f t="shared" si="60"/>
        <v>-0.61010224914550903</v>
      </c>
      <c r="AZ56" s="36">
        <f t="shared" si="61"/>
        <v>0.61010224914550903</v>
      </c>
      <c r="BA56" s="36">
        <f t="shared" si="62"/>
        <v>2.6242085644350688</v>
      </c>
      <c r="BB56" s="36">
        <f>Calculos!$AH$1</f>
        <v>1.5575884772727273</v>
      </c>
      <c r="BC56" s="36">
        <f t="shared" si="63"/>
        <v>-1.5575884772727273</v>
      </c>
      <c r="BD56" s="35">
        <f>IF(ISNUMBER(Courier!Y41),Courier!Y41,0)</f>
        <v>4.3261613845825195</v>
      </c>
      <c r="BE56" s="36">
        <f>IF(ISNUMBER(Laboratorio!W33),Laboratorio!W33,"")</f>
        <v>4.569</v>
      </c>
      <c r="BF56" s="36">
        <f t="shared" si="64"/>
        <v>0.24283861541748042</v>
      </c>
      <c r="BG56" s="36">
        <f t="shared" si="65"/>
        <v>0.24283861541748042</v>
      </c>
      <c r="BH56" s="36">
        <f t="shared" si="66"/>
        <v>5.3149182625843823</v>
      </c>
      <c r="BI56" s="36">
        <f>Calculos!$AI$1</f>
        <v>0.18375074999999999</v>
      </c>
      <c r="BJ56" s="36">
        <f t="shared" si="67"/>
        <v>-0.18375074999999999</v>
      </c>
      <c r="BK56" s="35">
        <f>IF(ISNUMBER(Courier!AA41),Courier!AA41,"")</f>
        <v>27.119331359863281</v>
      </c>
      <c r="BL56" s="36">
        <f>IF(ISNUMBER(Laboratorio!Y33),Laboratorio!Y33,"")</f>
        <v>25.94</v>
      </c>
      <c r="BM56" s="36">
        <f t="shared" si="68"/>
        <v>-1.17933135986328</v>
      </c>
      <c r="BN56" s="36">
        <f t="shared" si="69"/>
        <v>4.5463814952323824</v>
      </c>
      <c r="BO56" s="35">
        <f>IF(ISNUMBER(Courier!AC40),Courier!AC40,"")</f>
        <v>13.164426495467861</v>
      </c>
      <c r="BP56" s="35">
        <f>IF(ISNUMBER(Courier!AC41),Courier!AC41,"")</f>
        <v>10.493285577544395</v>
      </c>
      <c r="BQ56" s="36">
        <f>IF(ISNUMBER(Laboratorio!AA33),Laboratorio!AA33,"")</f>
        <v>13.06</v>
      </c>
      <c r="BR56" s="36">
        <f t="shared" si="35"/>
        <v>2.5667144224556058</v>
      </c>
      <c r="BS56" s="36">
        <f t="shared" si="70"/>
        <v>19.653249789093458</v>
      </c>
    </row>
    <row r="57" spans="1:71" ht="18" customHeight="1" x14ac:dyDescent="0.2">
      <c r="C57" s="38" t="str">
        <f>DAY(B56) &amp; "-" &amp; MONTH(B56) &amp;"-" &amp; YEAR(B56)</f>
        <v>9-9-2026</v>
      </c>
      <c r="D57" s="35">
        <f>IF(ISNUMBER(Courier!F41),Courier!F41,0)</f>
        <v>0.48742231726646423</v>
      </c>
      <c r="E57" s="36">
        <f>IF(ISNUMBER(Laboratorio!F33),Laboratorio!F33,"")</f>
        <v>0.501</v>
      </c>
      <c r="F57" s="36">
        <f t="shared" si="36"/>
        <v>1.3577682733535767E-2</v>
      </c>
      <c r="G57" s="36">
        <f t="shared" si="37"/>
        <v>1.3577682733535767E-2</v>
      </c>
      <c r="H57" s="36">
        <f t="shared" si="38"/>
        <v>2.7101163140789954</v>
      </c>
      <c r="I57" s="36">
        <f>Calculos!$I$1</f>
        <v>4.990387499999998E-2</v>
      </c>
      <c r="J57" s="36">
        <f t="shared" si="39"/>
        <v>-4.990387499999998E-2</v>
      </c>
      <c r="K57" s="35">
        <f>IF(ISNUMBER(Courier!H41),Courier!H41,0)</f>
        <v>6.0495689511299133E-2</v>
      </c>
      <c r="L57" s="36">
        <f>IF(ISNUMBER(Laboratorio!H33),Laboratorio!H33,"")</f>
        <v>5.3999999999999999E-2</v>
      </c>
      <c r="M57" s="36">
        <f t="shared" si="40"/>
        <v>-6.4956895112991339E-3</v>
      </c>
      <c r="N57" s="36">
        <f t="shared" si="41"/>
        <v>6.4956895112991339E-3</v>
      </c>
      <c r="O57" s="36">
        <f t="shared" si="42"/>
        <v>12.029054650553952</v>
      </c>
      <c r="P57" s="36">
        <f>Calculos!$J$1</f>
        <v>5.1807500000000022E-3</v>
      </c>
      <c r="Q57" s="36">
        <f t="shared" si="43"/>
        <v>-5.1807500000000022E-3</v>
      </c>
      <c r="R57" s="35">
        <f>IF(ISNUMBER(Courier!J41),Courier!J41,"")</f>
        <v>1.6115454435348511</v>
      </c>
      <c r="S57" s="36">
        <f>IF(ISNUMBER(Laboratorio!J33),Laboratorio!J33,"")</f>
        <v>1.869</v>
      </c>
      <c r="T57" s="36">
        <f t="shared" si="44"/>
        <v>0.25745455646514892</v>
      </c>
      <c r="U57" s="36">
        <f t="shared" si="45"/>
        <v>13.774989645005292</v>
      </c>
      <c r="V57" s="35">
        <f>IF(ISNUMBER(Courier!L41),Courier!L41,"")</f>
        <v>6.7706587724387646E-3</v>
      </c>
      <c r="W57" s="36">
        <f>IF(ISNUMBER(Laboratorio!L33),Laboratorio!L33,"")</f>
        <v>5.0000000000000001E-3</v>
      </c>
      <c r="X57" s="36">
        <f t="shared" si="46"/>
        <v>-1.7706587724387645E-3</v>
      </c>
      <c r="Y57" s="36">
        <f t="shared" si="47"/>
        <v>35.413175448775284</v>
      </c>
      <c r="Z57" s="35" t="str">
        <f>IF(ISNUMBER(Courier!N41),Courier!N41,"")</f>
        <v/>
      </c>
      <c r="AA57" s="36" t="str">
        <f>IF(ISNUMBER(Laboratorio!N33),Laboratorio!N33,"")</f>
        <v/>
      </c>
      <c r="AB57" s="36" t="str">
        <f t="shared" si="48"/>
        <v xml:space="preserve"> </v>
      </c>
      <c r="AC57" s="36" t="str">
        <f t="shared" si="49"/>
        <v xml:space="preserve"> </v>
      </c>
      <c r="AD57" s="35">
        <f>IF(ISNUMBER(Courier!P41),Courier!P41,0)</f>
        <v>6.17174431681633E-2</v>
      </c>
      <c r="AE57" s="36">
        <f>+IF(ISNUMBER(Laboratorio!P33),Laboratorio!P33,"")</f>
        <v>5.2999999999999999E-2</v>
      </c>
      <c r="AF57" s="36">
        <f t="shared" si="50"/>
        <v>-8.7174431681633011E-3</v>
      </c>
      <c r="AG57" s="36">
        <f t="shared" si="51"/>
        <v>8.7174431681633011E-3</v>
      </c>
      <c r="AH57" s="36">
        <f t="shared" si="52"/>
        <v>16.448005977666604</v>
      </c>
      <c r="AI57" s="36">
        <f>Calculos!$U$1</f>
        <v>8.6877272727272758E-3</v>
      </c>
      <c r="AJ57" s="36">
        <f t="shared" si="53"/>
        <v>-8.6877272727272758E-3</v>
      </c>
      <c r="AK57" s="35">
        <f>IF(ISNUMBER(Courier!R41),Courier!R41,0)</f>
        <v>1.0092724114656448E-2</v>
      </c>
      <c r="AL57" s="36">
        <f>IF(ISNUMBER(Laboratorio!R33),Laboratorio!R33,"")</f>
        <v>8.9999999999999993E-3</v>
      </c>
      <c r="AM57" s="36">
        <f t="shared" si="54"/>
        <v>-1.092724114656449E-3</v>
      </c>
      <c r="AN57" s="36">
        <f t="shared" si="55"/>
        <v>1.092724114656449E-3</v>
      </c>
      <c r="AO57" s="237">
        <f t="shared" si="56"/>
        <v>12.141379051738324</v>
      </c>
      <c r="AP57" s="36">
        <f>Calculos!$V$1</f>
        <v>2.2111363636363643E-3</v>
      </c>
      <c r="AQ57" s="36">
        <f t="shared" si="57"/>
        <v>-2.2111363636363643E-3</v>
      </c>
      <c r="AR57" s="35">
        <f>IF(ISNUMBER(Courier!T41),Courier!T41,"")</f>
        <v>1.4547910690307617</v>
      </c>
      <c r="AS57" s="36">
        <f>IF(ISNUMBER(Laboratorio!T33),Laboratorio!T33,"")</f>
        <v>1.5529999999999999</v>
      </c>
      <c r="AT57" s="36">
        <f t="shared" si="58"/>
        <v>9.8208930969238217E-2</v>
      </c>
      <c r="AU57" s="36">
        <f t="shared" si="59"/>
        <v>6.3238204101248048</v>
      </c>
      <c r="AV57" s="35" t="str">
        <f>IF(ISNUMBER(Courier!V40),Courier!V40,"")</f>
        <v/>
      </c>
      <c r="AW57" s="35">
        <f>IF(ISNUMBER(Courier!X41),Courier!X41,0)</f>
        <v>24.94134521484375</v>
      </c>
      <c r="AX57" s="36">
        <f>IF(ISNUMBER(Laboratorio!V33),Laboratorio!V33,"")</f>
        <v>26.018999999999998</v>
      </c>
      <c r="AY57" s="36">
        <f t="shared" si="60"/>
        <v>1.0776547851562484</v>
      </c>
      <c r="AZ57" s="36">
        <f t="shared" si="61"/>
        <v>1.0776547851562484</v>
      </c>
      <c r="BA57" s="36">
        <f t="shared" si="62"/>
        <v>4.1417993971953129</v>
      </c>
      <c r="BB57" s="36">
        <f>Calculos!$AH$1</f>
        <v>1.5575884772727273</v>
      </c>
      <c r="BC57" s="36">
        <f t="shared" si="63"/>
        <v>-1.5575884772727273</v>
      </c>
      <c r="BD57" s="35">
        <f>IF(ISNUMBER(Courier!Z41),Courier!Z41,0)</f>
        <v>2.7876472473144531</v>
      </c>
      <c r="BE57" s="36">
        <f>IF(ISNUMBER(Laboratorio!X33),Laboratorio!X33,"")</f>
        <v>2.3180000000000001</v>
      </c>
      <c r="BF57" s="36">
        <f t="shared" si="64"/>
        <v>-0.46964724731445306</v>
      </c>
      <c r="BG57" s="36">
        <f t="shared" si="65"/>
        <v>0.46964724731445306</v>
      </c>
      <c r="BH57" s="36">
        <f t="shared" si="66"/>
        <v>20.260882110200736</v>
      </c>
      <c r="BI57" s="36">
        <f>Calculos!$AI$1</f>
        <v>0.18375074999999999</v>
      </c>
      <c r="BJ57" s="36">
        <f t="shared" si="67"/>
        <v>-0.18375074999999999</v>
      </c>
      <c r="BK57" s="35">
        <f>IF(ISNUMBER(Courier!AB41),Courier!AB41,"")</f>
        <v>26.521215438842773</v>
      </c>
      <c r="BL57" s="36">
        <f>IF(ISNUMBER(Laboratorio!Z33),Laboratorio!Z33,"")</f>
        <v>26.53</v>
      </c>
      <c r="BM57" s="36">
        <f t="shared" si="68"/>
        <v>8.7845611572276994E-3</v>
      </c>
      <c r="BN57" s="36">
        <f t="shared" si="69"/>
        <v>3.3111802326527329E-2</v>
      </c>
      <c r="BO57" s="35">
        <f>IF(ISNUMBER(Courier!AD40),Courier!AD40,"")</f>
        <v>8.093370480809563</v>
      </c>
      <c r="BP57" s="35">
        <f>IF(ISNUMBER(Courier!AD41),Courier!AD41,"")</f>
        <v>10.417558286765841</v>
      </c>
      <c r="BQ57" s="36">
        <f>IF(ISNUMBER(Laboratorio!AB33),Laboratorio!AB33,"")</f>
        <v>9.2200000000000006</v>
      </c>
      <c r="BR57" s="36">
        <f t="shared" si="35"/>
        <v>-1.1975582867658403</v>
      </c>
      <c r="BS57" s="36">
        <f t="shared" si="70"/>
        <v>12.988701591820393</v>
      </c>
    </row>
    <row r="58" spans="1:71" ht="18" customHeight="1" x14ac:dyDescent="0.2">
      <c r="A58">
        <f>+A56+1</f>
        <v>28</v>
      </c>
      <c r="B58" s="7">
        <f>+B56+1</f>
        <v>46275</v>
      </c>
      <c r="C58" s="7" t="str">
        <f>DAY(B58) &amp; "-" &amp; MONTH(B58) &amp;"-" &amp; YEAR(B58)</f>
        <v>10-9-2026</v>
      </c>
      <c r="D58" s="35">
        <f>IF(ISNUMBER(Courier!F42),Courier!F42,0)</f>
        <v>4.8636035919189453</v>
      </c>
      <c r="E58" s="36">
        <f>IF(ISNUMBER(Laboratorio!E34),Laboratorio!E34,"")</f>
        <v>0.48299999999999998</v>
      </c>
      <c r="F58" s="36">
        <f t="shared" si="36"/>
        <v>-4.3806035919189457</v>
      </c>
      <c r="G58" s="36">
        <f t="shared" si="37"/>
        <v>4.3806035919189457</v>
      </c>
      <c r="H58" s="36">
        <f t="shared" si="38"/>
        <v>906.95726540764917</v>
      </c>
      <c r="I58" s="36">
        <f>Calculos!$I$1</f>
        <v>4.990387499999998E-2</v>
      </c>
      <c r="J58" s="36">
        <f t="shared" si="39"/>
        <v>-4.990387499999998E-2</v>
      </c>
      <c r="K58" s="35">
        <f>IF(ISNUMBER(Courier!G42),Courier!G42,0)</f>
        <v>4.7902833670377731E-2</v>
      </c>
      <c r="L58" s="36">
        <f>IF(ISNUMBER(Laboratorio!G34),Laboratorio!G34,"")</f>
        <v>5.7000000000000002E-2</v>
      </c>
      <c r="M58" s="36">
        <f t="shared" si="40"/>
        <v>9.0971663296222707E-3</v>
      </c>
      <c r="N58" s="36">
        <f t="shared" si="41"/>
        <v>9.0971663296222707E-3</v>
      </c>
      <c r="O58" s="36">
        <f t="shared" si="42"/>
        <v>15.959940929161878</v>
      </c>
      <c r="P58" s="36">
        <f>Calculos!$J$1</f>
        <v>5.1807500000000022E-3</v>
      </c>
      <c r="Q58" s="36">
        <f t="shared" si="43"/>
        <v>-5.1807500000000022E-3</v>
      </c>
      <c r="R58" s="35">
        <f>IF(ISNUMBER(Courier!I42),Courier!I42,"")</f>
        <v>2.0212831497192383</v>
      </c>
      <c r="S58" s="36">
        <f>IF(ISNUMBER(Laboratorio!I34),Laboratorio!I34,"")</f>
        <v>1.966</v>
      </c>
      <c r="T58" s="36">
        <f t="shared" si="44"/>
        <v>-5.5283149719238311E-2</v>
      </c>
      <c r="U58" s="36">
        <f t="shared" si="45"/>
        <v>2.8119608199002193</v>
      </c>
      <c r="V58" s="35">
        <f>IF(ISNUMBER(Courier!K42),Courier!K42,"")</f>
        <v>7.3374165222048759E-3</v>
      </c>
      <c r="W58" s="36">
        <f>IF(ISNUMBER(Laboratorio!K34),Laboratorio!K34,"")</f>
        <v>4.0000000000000001E-3</v>
      </c>
      <c r="X58" s="36">
        <f t="shared" si="46"/>
        <v>-3.3374165222048759E-3</v>
      </c>
      <c r="Y58" s="36">
        <f t="shared" si="47"/>
        <v>83.435413055121899</v>
      </c>
      <c r="Z58" s="35" t="str">
        <f>IF(ISNUMBER(Courier!M42),Courier!M42,"")</f>
        <v/>
      </c>
      <c r="AA58" s="36" t="str">
        <f>IF(ISNUMBER(Laboratorio!M34),Laboratorio!M34,"")</f>
        <v/>
      </c>
      <c r="AB58" s="36" t="str">
        <f t="shared" si="48"/>
        <v xml:space="preserve"> </v>
      </c>
      <c r="AC58" s="36" t="str">
        <f t="shared" si="49"/>
        <v xml:space="preserve"> </v>
      </c>
      <c r="AD58" s="35">
        <f>IF(ISNUMBER(Courier!O42),Courier!O42,0)</f>
        <v>6.17174431681633E-2</v>
      </c>
      <c r="AE58" s="36">
        <f>IF(ISNUMBER(Laboratorio!O34),Laboratorio!O34,"")</f>
        <v>4.4999999999999998E-2</v>
      </c>
      <c r="AF58" s="36">
        <f t="shared" si="50"/>
        <v>-1.6717443168163301E-2</v>
      </c>
      <c r="AG58" s="36">
        <f t="shared" si="51"/>
        <v>1.6717443168163301E-2</v>
      </c>
      <c r="AH58" s="36">
        <f t="shared" si="52"/>
        <v>37.149873707029556</v>
      </c>
      <c r="AI58" s="36">
        <f>Calculos!$U$1</f>
        <v>8.6877272727272758E-3</v>
      </c>
      <c r="AJ58" s="36">
        <f t="shared" si="53"/>
        <v>-8.6877272727272758E-3</v>
      </c>
      <c r="AK58" s="35">
        <f>IF(ISNUMBER(Courier!Q42),Courier!Q42,0)</f>
        <v>1.0092724114656448E-2</v>
      </c>
      <c r="AL58" s="36">
        <f>IF(ISNUMBER(Laboratorio!Q34),Laboratorio!Q34,"")</f>
        <v>1.2E-2</v>
      </c>
      <c r="AM58" s="36">
        <f t="shared" si="54"/>
        <v>1.9072758853435519E-3</v>
      </c>
      <c r="AN58" s="36">
        <f t="shared" si="55"/>
        <v>1.9072758853435519E-3</v>
      </c>
      <c r="AO58" s="237">
        <f t="shared" si="56"/>
        <v>15.893965711196264</v>
      </c>
      <c r="AP58" s="36">
        <f>Calculos!$V$1</f>
        <v>2.2111363636363643E-3</v>
      </c>
      <c r="AQ58" s="36">
        <f t="shared" si="57"/>
        <v>-2.2111363636363643E-3</v>
      </c>
      <c r="AR58" s="35">
        <f>IF(ISNUMBER(Courier!S42),Courier!S42,"")</f>
        <v>1.4547910690307617</v>
      </c>
      <c r="AS58" s="36">
        <f>IF(ISNUMBER(Laboratorio!S34),Laboratorio!S34,"")</f>
        <v>1.2390000000000001</v>
      </c>
      <c r="AT58" s="36">
        <f t="shared" si="58"/>
        <v>-0.21579106903076162</v>
      </c>
      <c r="AU58" s="36">
        <f t="shared" si="59"/>
        <v>17.416551172781407</v>
      </c>
      <c r="AV58" s="35" t="str">
        <f>IF(ISNUMBER(Courier!U41),Courier!U41,"")</f>
        <v/>
      </c>
      <c r="AW58" s="35">
        <f>IF(ISNUMBER(Courier!W42),Courier!W42,0)</f>
        <v>27.135526657104492</v>
      </c>
      <c r="AX58" s="36">
        <f>IF(ISNUMBER(Laboratorio!U34),Laboratorio!U34,"")</f>
        <v>28.291</v>
      </c>
      <c r="AY58" s="36">
        <f t="shared" si="60"/>
        <v>1.1554733428955082</v>
      </c>
      <c r="AZ58" s="36">
        <f t="shared" si="61"/>
        <v>1.1554733428955082</v>
      </c>
      <c r="BA58" s="36">
        <f t="shared" si="62"/>
        <v>4.0842435505832535</v>
      </c>
      <c r="BB58" s="36">
        <f>Calculos!$AH$1</f>
        <v>1.5575884772727273</v>
      </c>
      <c r="BC58" s="36">
        <f t="shared" si="63"/>
        <v>-1.5575884772727273</v>
      </c>
      <c r="BD58" s="35">
        <f>IF(ISNUMBER(Courier!Y42),Courier!Y42,0)</f>
        <v>2.0547170639038086</v>
      </c>
      <c r="BE58" s="36">
        <f>IF(ISNUMBER(Laboratorio!W34),Laboratorio!W34,"")</f>
        <v>2.9260000000000002</v>
      </c>
      <c r="BF58" s="36">
        <f t="shared" si="64"/>
        <v>0.87128293609619156</v>
      </c>
      <c r="BG58" s="36">
        <f t="shared" si="65"/>
        <v>0.87128293609619156</v>
      </c>
      <c r="BH58" s="36">
        <f t="shared" si="66"/>
        <v>29.777270543273804</v>
      </c>
      <c r="BI58" s="36">
        <f>Calculos!$AI$1</f>
        <v>0.18375074999999999</v>
      </c>
      <c r="BJ58" s="36">
        <f t="shared" si="67"/>
        <v>-0.18375074999999999</v>
      </c>
      <c r="BK58" s="35">
        <f>IF(ISNUMBER(Courier!AA42),Courier!AA42,"")</f>
        <v>28.496423721313477</v>
      </c>
      <c r="BL58" s="36">
        <f>IF(ISNUMBER(Laboratorio!Y34),Laboratorio!Y34,"")</f>
        <v>29.51</v>
      </c>
      <c r="BM58" s="36">
        <f t="shared" si="68"/>
        <v>1.013576278686525</v>
      </c>
      <c r="BN58" s="36">
        <f t="shared" si="69"/>
        <v>3.4346874913131984</v>
      </c>
      <c r="BO58" s="35">
        <f>IF(ISNUMBER(Courier!AC41),Courier!AC41,"")</f>
        <v>10.493285577544395</v>
      </c>
      <c r="BP58" s="35">
        <f>IF(ISNUMBER(Courier!AC42),Courier!AC42,"")</f>
        <v>8.84254025645218</v>
      </c>
      <c r="BQ58" s="36">
        <f>IF(ISNUMBER(Laboratorio!AA34),Laboratorio!AA34,"")</f>
        <v>5.66</v>
      </c>
      <c r="BR58" s="36">
        <f t="shared" si="35"/>
        <v>-3.1825402564521799</v>
      </c>
      <c r="BS58" s="36">
        <f t="shared" si="70"/>
        <v>56.228626439084451</v>
      </c>
    </row>
    <row r="59" spans="1:71" ht="18" customHeight="1" x14ac:dyDescent="0.2">
      <c r="C59" s="38" t="str">
        <f>DAY(B58) &amp; "-" &amp; MONTH(B58) &amp;"-" &amp; YEAR(B58)</f>
        <v>10-9-2026</v>
      </c>
      <c r="D59" s="35">
        <f>IF(ISNUMBER(Courier!F42),Courier!F42,0)</f>
        <v>4.8636035919189453</v>
      </c>
      <c r="E59" s="36">
        <f>IF(ISNUMBER(Laboratorio!F34),Laboratorio!F34,"")</f>
        <v>0.46600000000000003</v>
      </c>
      <c r="F59" s="36">
        <f t="shared" si="36"/>
        <v>-4.3976035919189451</v>
      </c>
      <c r="G59" s="36">
        <f t="shared" si="37"/>
        <v>4.3976035919189451</v>
      </c>
      <c r="H59" s="36">
        <f t="shared" si="38"/>
        <v>943.69175792252042</v>
      </c>
      <c r="I59" s="36">
        <f>Calculos!$I$1</f>
        <v>4.990387499999998E-2</v>
      </c>
      <c r="J59" s="36">
        <f t="shared" si="39"/>
        <v>-4.990387499999998E-2</v>
      </c>
      <c r="K59" s="35">
        <f>IF(ISNUMBER(Courier!H42),Courier!H42,0)</f>
        <v>0.10000000149011612</v>
      </c>
      <c r="L59" s="36">
        <f>IF(ISNUMBER(Laboratorio!H34),Laboratorio!H34,"")</f>
        <v>3.6999999999999998E-2</v>
      </c>
      <c r="M59" s="36">
        <f t="shared" si="40"/>
        <v>-6.3000001490116114E-2</v>
      </c>
      <c r="N59" s="36">
        <f t="shared" si="41"/>
        <v>6.3000001490116114E-2</v>
      </c>
      <c r="O59" s="36">
        <f t="shared" si="42"/>
        <v>170.27027429761114</v>
      </c>
      <c r="P59" s="36">
        <f>Calculos!$J$1</f>
        <v>5.1807500000000022E-3</v>
      </c>
      <c r="Q59" s="36">
        <f t="shared" si="43"/>
        <v>-5.1807500000000022E-3</v>
      </c>
      <c r="R59" s="35">
        <f>IF(ISNUMBER(Courier!J42),Courier!J42,"")</f>
        <v>3.2616772651672363</v>
      </c>
      <c r="S59" s="36">
        <f>IF(ISNUMBER(Laboratorio!J34),Laboratorio!J34,"")</f>
        <v>1.8859999999999999</v>
      </c>
      <c r="T59" s="36">
        <f t="shared" si="44"/>
        <v>-1.3756772651672364</v>
      </c>
      <c r="U59" s="36">
        <f t="shared" si="45"/>
        <v>72.941530496672129</v>
      </c>
      <c r="V59" s="35">
        <f>IF(ISNUMBER(Courier!L42),Courier!L42,"")</f>
        <v>4.1019417345523834E-2</v>
      </c>
      <c r="W59" s="36">
        <f>IF(ISNUMBER(Laboratorio!L34),Laboratorio!L34,"")</f>
        <v>5.0000000000000001E-3</v>
      </c>
      <c r="X59" s="36">
        <f t="shared" si="46"/>
        <v>-3.6019417345523837E-2</v>
      </c>
      <c r="Y59" s="36">
        <f t="shared" si="47"/>
        <v>720.38834691047668</v>
      </c>
      <c r="Z59" s="35" t="str">
        <f>IF(ISNUMBER(Courier!N42),Courier!N42,"")</f>
        <v/>
      </c>
      <c r="AA59" s="36" t="str">
        <f>IF(ISNUMBER(Laboratorio!N34),Laboratorio!N34,"")</f>
        <v/>
      </c>
      <c r="AB59" s="36" t="str">
        <f t="shared" si="48"/>
        <v xml:space="preserve"> </v>
      </c>
      <c r="AC59" s="36" t="str">
        <f t="shared" si="49"/>
        <v xml:space="preserve"> </v>
      </c>
      <c r="AD59" s="35">
        <f>IF(ISNUMBER(Courier!P42),Courier!P42,0)</f>
        <v>6.17174431681633E-2</v>
      </c>
      <c r="AE59" s="36">
        <f>+IF(ISNUMBER(Laboratorio!P34),Laboratorio!P34,"")</f>
        <v>6.3E-2</v>
      </c>
      <c r="AF59" s="36">
        <f t="shared" si="50"/>
        <v>1.2825568318367009E-3</v>
      </c>
      <c r="AG59" s="36">
        <f t="shared" si="51"/>
        <v>1.2825568318367009E-3</v>
      </c>
      <c r="AH59" s="36">
        <f t="shared" si="52"/>
        <v>2.03580449497889</v>
      </c>
      <c r="AI59" s="36">
        <f>Calculos!$U$1</f>
        <v>8.6877272727272758E-3</v>
      </c>
      <c r="AJ59" s="36">
        <f t="shared" si="53"/>
        <v>-8.6877272727272758E-3</v>
      </c>
      <c r="AK59" s="35">
        <f>IF(ISNUMBER(Courier!R42),Courier!R42,0)</f>
        <v>1.0092724114656448E-2</v>
      </c>
      <c r="AL59" s="36">
        <f>IF(ISNUMBER(Laboratorio!R34),Laboratorio!R34,"")</f>
        <v>1.0999999999999999E-2</v>
      </c>
      <c r="AM59" s="36">
        <f t="shared" si="54"/>
        <v>9.07275885343551E-4</v>
      </c>
      <c r="AN59" s="36">
        <f t="shared" si="55"/>
        <v>9.07275885343551E-4</v>
      </c>
      <c r="AO59" s="237">
        <f t="shared" si="56"/>
        <v>8.2479625940322823</v>
      </c>
      <c r="AP59" s="36">
        <f>Calculos!$V$1</f>
        <v>2.2111363636363643E-3</v>
      </c>
      <c r="AQ59" s="36">
        <f t="shared" si="57"/>
        <v>-2.2111363636363643E-3</v>
      </c>
      <c r="AR59" s="35">
        <f>IF(ISNUMBER(Courier!T42),Courier!T42,"")</f>
        <v>1.4547910690307617</v>
      </c>
      <c r="AS59" s="36">
        <f>IF(ISNUMBER(Laboratorio!T34),Laboratorio!T34,"")</f>
        <v>1.5840000000000001</v>
      </c>
      <c r="AT59" s="36">
        <f t="shared" si="58"/>
        <v>0.12920893096923836</v>
      </c>
      <c r="AU59" s="36">
        <f t="shared" si="59"/>
        <v>8.157129480381208</v>
      </c>
      <c r="AV59" s="35" t="str">
        <f>IF(ISNUMBER(Courier!V41),Courier!V41,"")</f>
        <v/>
      </c>
      <c r="AW59" s="35">
        <f>IF(ISNUMBER(Courier!X42),Courier!X42,0)</f>
        <v>26.558300018310547</v>
      </c>
      <c r="AX59" s="36">
        <f>IF(ISNUMBER(Laboratorio!V34),Laboratorio!V34,"")</f>
        <v>26.468</v>
      </c>
      <c r="AY59" s="36">
        <f t="shared" si="60"/>
        <v>-9.0300018310546903E-2</v>
      </c>
      <c r="AZ59" s="36">
        <f t="shared" si="61"/>
        <v>9.0300018310546903E-2</v>
      </c>
      <c r="BA59" s="36">
        <f t="shared" si="62"/>
        <v>0.34116676103425608</v>
      </c>
      <c r="BB59" s="36">
        <f>Calculos!$AH$1</f>
        <v>1.5575884772727273</v>
      </c>
      <c r="BC59" s="36">
        <f t="shared" si="63"/>
        <v>-1.5575884772727273</v>
      </c>
      <c r="BD59" s="35">
        <f>IF(ISNUMBER(Courier!Z42),Courier!Z42,0)</f>
        <v>1.9102345705032349</v>
      </c>
      <c r="BE59" s="36">
        <f>IF(ISNUMBER(Laboratorio!X34),Laboratorio!X34,"")</f>
        <v>2.081</v>
      </c>
      <c r="BF59" s="36">
        <f t="shared" si="64"/>
        <v>0.1707654294967651</v>
      </c>
      <c r="BG59" s="36">
        <f t="shared" si="65"/>
        <v>0.1707654294967651</v>
      </c>
      <c r="BH59" s="36">
        <f t="shared" si="66"/>
        <v>8.2059312588546423</v>
      </c>
      <c r="BI59" s="36">
        <f>Calculos!$AI$1</f>
        <v>0.18375074999999999</v>
      </c>
      <c r="BJ59" s="36">
        <f t="shared" si="67"/>
        <v>-0.18375074999999999</v>
      </c>
      <c r="BK59" s="35">
        <f>IF(ISNUMBER(Courier!AB42),Courier!AB42,"")</f>
        <v>27.689056396484375</v>
      </c>
      <c r="BL59" s="36">
        <f>IF(ISNUMBER(Laboratorio!Z34),Laboratorio!Z34,"")</f>
        <v>29.45</v>
      </c>
      <c r="BM59" s="36">
        <f t="shared" si="68"/>
        <v>1.7609436035156243</v>
      </c>
      <c r="BN59" s="36">
        <f t="shared" si="69"/>
        <v>5.9794349864707108</v>
      </c>
      <c r="BO59" s="35">
        <f>IF(ISNUMBER(Courier!AD41),Courier!AD41,"")</f>
        <v>10.417558286765841</v>
      </c>
      <c r="BP59" s="35">
        <f>IF(ISNUMBER(Courier!AD42),Courier!AD42,"")</f>
        <v>9.5605014654107343</v>
      </c>
      <c r="BQ59" s="36">
        <f>IF(ISNUMBER(Laboratorio!AB34),Laboratorio!AB34,"")</f>
        <v>8.9600000000000009</v>
      </c>
      <c r="BR59" s="36">
        <f t="shared" si="35"/>
        <v>-0.60050146541073346</v>
      </c>
      <c r="BS59" s="36">
        <f t="shared" si="70"/>
        <v>6.7020252836019356</v>
      </c>
    </row>
    <row r="60" spans="1:71" ht="18" customHeight="1" x14ac:dyDescent="0.2">
      <c r="A60">
        <f>+A58+1</f>
        <v>29</v>
      </c>
      <c r="B60" s="7">
        <f>+B58+1</f>
        <v>46276</v>
      </c>
      <c r="C60" s="7" t="str">
        <f>DAY(B60) &amp; "-" &amp; MONTH(B60) &amp;"-" &amp; YEAR(B60)</f>
        <v>11-9-2026</v>
      </c>
      <c r="D60" s="35">
        <f>IF(ISNUMBER(Courier!E43),Courier!E43,0)</f>
        <v>0.40904650092124939</v>
      </c>
      <c r="E60" s="36">
        <f>IF(ISNUMBER(Laboratorio!E35),Laboratorio!E35,"")</f>
        <v>0.42899999999999999</v>
      </c>
      <c r="F60" s="36">
        <f t="shared" si="36"/>
        <v>1.9953499078750603E-2</v>
      </c>
      <c r="G60" s="36">
        <f t="shared" si="37"/>
        <v>1.9953499078750603E-2</v>
      </c>
      <c r="H60" s="36">
        <f t="shared" si="38"/>
        <v>4.6511652864220521</v>
      </c>
      <c r="I60" s="36">
        <f>Calculos!$I$1</f>
        <v>4.990387499999998E-2</v>
      </c>
      <c r="J60" s="36">
        <f t="shared" si="39"/>
        <v>-4.990387499999998E-2</v>
      </c>
      <c r="K60" s="35">
        <f>IF(ISNUMBER(Courier!G43),Courier!G43,0)</f>
        <v>4.8910781741142273E-2</v>
      </c>
      <c r="L60" s="36">
        <f>IF(ISNUMBER(Laboratorio!G35),Laboratorio!G35,"")</f>
        <v>5.2999999999999999E-2</v>
      </c>
      <c r="M60" s="36">
        <f t="shared" si="40"/>
        <v>4.0892182588577256E-3</v>
      </c>
      <c r="N60" s="36">
        <f t="shared" si="41"/>
        <v>4.0892182588577256E-3</v>
      </c>
      <c r="O60" s="36">
        <f t="shared" si="42"/>
        <v>7.7155061487881618</v>
      </c>
      <c r="P60" s="36">
        <f>Calculos!$J$1</f>
        <v>5.1807500000000022E-3</v>
      </c>
      <c r="Q60" s="36">
        <f t="shared" si="43"/>
        <v>-5.1807500000000022E-3</v>
      </c>
      <c r="R60" s="35">
        <f>IF(ISNUMBER(Courier!I43),Courier!I43,"")</f>
        <v>1.668205738067627</v>
      </c>
      <c r="S60" s="36">
        <f>IF(ISNUMBER(Laboratorio!I35),Laboratorio!I35,"")</f>
        <v>1.944</v>
      </c>
      <c r="T60" s="36">
        <f t="shared" si="44"/>
        <v>0.275794261932373</v>
      </c>
      <c r="U60" s="36">
        <f t="shared" si="45"/>
        <v>14.186947630266101</v>
      </c>
      <c r="V60" s="35">
        <f>IF(ISNUMBER(Courier!K43),Courier!K43,"")</f>
        <v>6.2469076365232468E-3</v>
      </c>
      <c r="W60" s="36">
        <f>IF(ISNUMBER(Laboratorio!K35),Laboratorio!K35,"")</f>
        <v>5.0000000000000001E-3</v>
      </c>
      <c r="X60" s="36">
        <f t="shared" si="46"/>
        <v>-1.2469076365232467E-3</v>
      </c>
      <c r="Y60" s="36">
        <f t="shared" si="47"/>
        <v>24.938152730464932</v>
      </c>
      <c r="Z60" s="35" t="str">
        <f>IF(ISNUMBER(Courier!M43),Courier!M43,"")</f>
        <v/>
      </c>
      <c r="AA60" s="36" t="str">
        <f>IF(ISNUMBER(Laboratorio!M35),Laboratorio!M35,"")</f>
        <v/>
      </c>
      <c r="AB60" s="36" t="str">
        <f t="shared" si="48"/>
        <v xml:space="preserve"> </v>
      </c>
      <c r="AC60" s="36" t="str">
        <f t="shared" si="49"/>
        <v xml:space="preserve"> </v>
      </c>
      <c r="AD60" s="35">
        <f>IF(ISNUMBER(Courier!O43),Courier!O43,0)</f>
        <v>6.17174431681633E-2</v>
      </c>
      <c r="AE60" s="36">
        <f>IF(ISNUMBER(Laboratorio!O35),Laboratorio!O35,"")</f>
        <v>5.2999999999999999E-2</v>
      </c>
      <c r="AF60" s="36">
        <f t="shared" si="50"/>
        <v>-8.7174431681633011E-3</v>
      </c>
      <c r="AG60" s="36">
        <f t="shared" si="51"/>
        <v>8.7174431681633011E-3</v>
      </c>
      <c r="AH60" s="36">
        <f t="shared" si="52"/>
        <v>16.448005977666604</v>
      </c>
      <c r="AI60" s="36">
        <f>Calculos!$U$1</f>
        <v>8.6877272727272758E-3</v>
      </c>
      <c r="AJ60" s="36">
        <f t="shared" si="53"/>
        <v>-8.6877272727272758E-3</v>
      </c>
      <c r="AK60" s="35">
        <f>IF(ISNUMBER(Courier!Q43),Courier!Q43,0)</f>
        <v>1.0092724114656448E-2</v>
      </c>
      <c r="AL60" s="36">
        <f>IF(ISNUMBER(Laboratorio!Q35),Laboratorio!Q35,"")</f>
        <v>1.7000000000000001E-2</v>
      </c>
      <c r="AM60" s="36">
        <f t="shared" si="54"/>
        <v>6.9072758853435529E-3</v>
      </c>
      <c r="AN60" s="36">
        <f t="shared" si="55"/>
        <v>6.9072758853435529E-3</v>
      </c>
      <c r="AO60" s="237">
        <f t="shared" si="56"/>
        <v>40.631034619667957</v>
      </c>
      <c r="AP60" s="36">
        <f>Calculos!$V$1</f>
        <v>2.2111363636363643E-3</v>
      </c>
      <c r="AQ60" s="36">
        <f t="shared" si="57"/>
        <v>-2.2111363636363643E-3</v>
      </c>
      <c r="AR60" s="35">
        <f>IF(ISNUMBER(Courier!S43),Courier!S43,"")</f>
        <v>1.4547910690307617</v>
      </c>
      <c r="AS60" s="36">
        <f>IF(ISNUMBER(Laboratorio!S35),Laboratorio!S35,"")</f>
        <v>1.6919999999999999</v>
      </c>
      <c r="AT60" s="36">
        <f t="shared" si="58"/>
        <v>0.23720893096923823</v>
      </c>
      <c r="AU60" s="36">
        <f t="shared" si="59"/>
        <v>14.019440364612191</v>
      </c>
      <c r="AV60" s="35" t="str">
        <f>IF(ISNUMBER(Courier!U42),Courier!U42,"")</f>
        <v/>
      </c>
      <c r="AW60" s="35">
        <f>IF(ISNUMBER(Courier!W43),Courier!W43,0)</f>
        <v>25.224943161010742</v>
      </c>
      <c r="AX60" s="36">
        <f>IF(ISNUMBER(Laboratorio!U35),Laboratorio!U35,"")</f>
        <v>24.695</v>
      </c>
      <c r="AY60" s="36">
        <f t="shared" si="60"/>
        <v>-0.5299431610107419</v>
      </c>
      <c r="AZ60" s="36">
        <f t="shared" si="61"/>
        <v>0.5299431610107419</v>
      </c>
      <c r="BA60" s="36">
        <f t="shared" si="62"/>
        <v>2.145953273985592</v>
      </c>
      <c r="BB60" s="36">
        <f>Calculos!$AH$1</f>
        <v>1.5575884772727273</v>
      </c>
      <c r="BC60" s="36">
        <f t="shared" si="63"/>
        <v>-1.5575884772727273</v>
      </c>
      <c r="BD60" s="35">
        <f>IF(ISNUMBER(Courier!Y43),Courier!Y43,0)</f>
        <v>1.9583030939102173</v>
      </c>
      <c r="BE60" s="36">
        <f>IF(ISNUMBER(Laboratorio!W35),Laboratorio!W35,"")</f>
        <v>2.645</v>
      </c>
      <c r="BF60" s="36">
        <f t="shared" si="64"/>
        <v>0.68669690608978273</v>
      </c>
      <c r="BG60" s="36">
        <f t="shared" si="65"/>
        <v>0.68669690608978273</v>
      </c>
      <c r="BH60" s="36">
        <f t="shared" si="66"/>
        <v>25.962075844604261</v>
      </c>
      <c r="BI60" s="36">
        <f>Calculos!$AI$1</f>
        <v>0.18375074999999999</v>
      </c>
      <c r="BJ60" s="36">
        <f t="shared" si="67"/>
        <v>-0.18375074999999999</v>
      </c>
      <c r="BK60" s="35">
        <f>IF(ISNUMBER(Courier!AA43),Courier!AA43,"")</f>
        <v>27.300628662109375</v>
      </c>
      <c r="BL60" s="36">
        <f>IF(ISNUMBER(Laboratorio!Y35),Laboratorio!Y35,"")</f>
        <v>28.29</v>
      </c>
      <c r="BM60" s="36">
        <f t="shared" si="68"/>
        <v>0.98937133789062415</v>
      </c>
      <c r="BN60" s="36">
        <f t="shared" si="69"/>
        <v>3.4972475711934403</v>
      </c>
      <c r="BO60" s="35">
        <f>IF(ISNUMBER(Courier!AC42),Courier!AC42,"")</f>
        <v>8.84254025645218</v>
      </c>
      <c r="BP60" s="35">
        <f>IF(ISNUMBER(Courier!AC43),Courier!AC43,"")</f>
        <v>11.33809357278165</v>
      </c>
      <c r="BQ60" s="36">
        <f>IF(ISNUMBER(Laboratorio!AA35),Laboratorio!AA35,"")</f>
        <v>10.98</v>
      </c>
      <c r="BR60" s="36">
        <f t="shared" si="35"/>
        <v>-0.35809357278164988</v>
      </c>
      <c r="BS60" s="36">
        <f t="shared" si="70"/>
        <v>3.2613257994685778</v>
      </c>
    </row>
    <row r="61" spans="1:71" ht="18" customHeight="1" x14ac:dyDescent="0.2">
      <c r="C61" s="38" t="str">
        <f>DAY(B60) &amp; "-" &amp; MONTH(B60) &amp;"-" &amp; YEAR(B60)</f>
        <v>11-9-2026</v>
      </c>
      <c r="D61" s="35">
        <f>IF(ISNUMBER(Courier!F43),Courier!F43,0)</f>
        <v>0.41063079237937927</v>
      </c>
      <c r="E61" s="36">
        <f>IF(ISNUMBER(Laboratorio!F35),Laboratorio!F35,"")</f>
        <v>0.443</v>
      </c>
      <c r="F61" s="36">
        <f t="shared" si="36"/>
        <v>3.2369207620620732E-2</v>
      </c>
      <c r="G61" s="36">
        <f t="shared" si="37"/>
        <v>3.2369207620620732E-2</v>
      </c>
      <c r="H61" s="36">
        <f t="shared" si="38"/>
        <v>7.3068188759866217</v>
      </c>
      <c r="I61" s="36">
        <f>Calculos!$I$1</f>
        <v>4.990387499999998E-2</v>
      </c>
      <c r="J61" s="36">
        <f t="shared" si="39"/>
        <v>-4.990387499999998E-2</v>
      </c>
      <c r="K61" s="35">
        <f>IF(ISNUMBER(Courier!H43),Courier!H43,0)</f>
        <v>4.5976787805557251E-2</v>
      </c>
      <c r="L61" s="36">
        <f>IF(ISNUMBER(Laboratorio!H35),Laboratorio!H35,"")</f>
        <v>4.4999999999999998E-2</v>
      </c>
      <c r="M61" s="36">
        <f t="shared" si="40"/>
        <v>-9.7678780555725264E-4</v>
      </c>
      <c r="N61" s="36">
        <f t="shared" si="41"/>
        <v>9.7678780555725264E-4</v>
      </c>
      <c r="O61" s="36">
        <f t="shared" si="42"/>
        <v>2.1706395679050061</v>
      </c>
      <c r="P61" s="36">
        <f>Calculos!$J$1</f>
        <v>5.1807500000000022E-3</v>
      </c>
      <c r="Q61" s="36">
        <f t="shared" si="43"/>
        <v>-5.1807500000000022E-3</v>
      </c>
      <c r="R61" s="35">
        <f>IF(ISNUMBER(Courier!J43),Courier!J43,"")</f>
        <v>1.7673033475875854</v>
      </c>
      <c r="S61" s="36">
        <f>IF(ISNUMBER(Laboratorio!J35),Laboratorio!J35,"")</f>
        <v>1.909</v>
      </c>
      <c r="T61" s="36">
        <f t="shared" si="44"/>
        <v>0.14169665241241458</v>
      </c>
      <c r="U61" s="36">
        <f t="shared" si="45"/>
        <v>7.4225590577482752</v>
      </c>
      <c r="V61" s="35">
        <f>IF(ISNUMBER(Courier!L43),Courier!L43,"")</f>
        <v>6.7604230716824532E-3</v>
      </c>
      <c r="W61" s="36">
        <f>IF(ISNUMBER(Laboratorio!L35),Laboratorio!L35,"")</f>
        <v>5.0000000000000001E-3</v>
      </c>
      <c r="X61" s="36">
        <f t="shared" si="46"/>
        <v>-1.7604230716824531E-3</v>
      </c>
      <c r="Y61" s="36">
        <f t="shared" si="47"/>
        <v>35.208461433649056</v>
      </c>
      <c r="Z61" s="35" t="str">
        <f>IF(ISNUMBER(Courier!N43),Courier!N43,"")</f>
        <v/>
      </c>
      <c r="AA61" s="36" t="str">
        <f>IF(ISNUMBER(Laboratorio!N35),Laboratorio!N35,"")</f>
        <v/>
      </c>
      <c r="AB61" s="36" t="str">
        <f t="shared" si="48"/>
        <v xml:space="preserve"> </v>
      </c>
      <c r="AC61" s="36" t="str">
        <f t="shared" si="49"/>
        <v xml:space="preserve"> </v>
      </c>
      <c r="AD61" s="35">
        <f>IF(ISNUMBER(Courier!P43),Courier!P43,0)</f>
        <v>6.17174431681633E-2</v>
      </c>
      <c r="AE61" s="36">
        <f>+IF(ISNUMBER(Laboratorio!P35),Laboratorio!P35,"")</f>
        <v>6.2E-2</v>
      </c>
      <c r="AF61" s="36">
        <f t="shared" si="50"/>
        <v>2.825568318367E-4</v>
      </c>
      <c r="AG61" s="36">
        <f t="shared" si="51"/>
        <v>2.825568318367E-4</v>
      </c>
      <c r="AH61" s="36">
        <f t="shared" si="52"/>
        <v>0.45573682554306455</v>
      </c>
      <c r="AI61" s="36">
        <f>Calculos!$U$1</f>
        <v>8.6877272727272758E-3</v>
      </c>
      <c r="AJ61" s="36">
        <f t="shared" si="53"/>
        <v>-8.6877272727272758E-3</v>
      </c>
      <c r="AK61" s="35">
        <f>IF(ISNUMBER(Courier!R43),Courier!R43,0)</f>
        <v>1.0092724114656448E-2</v>
      </c>
      <c r="AL61" s="36">
        <f>IF(ISNUMBER(Laboratorio!R35),Laboratorio!R35,"")</f>
        <v>1.4E-2</v>
      </c>
      <c r="AM61" s="36">
        <f t="shared" si="54"/>
        <v>3.9072758853435519E-3</v>
      </c>
      <c r="AN61" s="36">
        <f t="shared" si="55"/>
        <v>3.9072758853435519E-3</v>
      </c>
      <c r="AO61" s="237">
        <f t="shared" si="56"/>
        <v>27.909113466739655</v>
      </c>
      <c r="AP61" s="36">
        <f>Calculos!$V$1</f>
        <v>2.2111363636363643E-3</v>
      </c>
      <c r="AQ61" s="36">
        <f t="shared" si="57"/>
        <v>-2.2111363636363643E-3</v>
      </c>
      <c r="AR61" s="35">
        <f>IF(ISNUMBER(Courier!T43),Courier!T43,"")</f>
        <v>1.4547910690307617</v>
      </c>
      <c r="AS61" s="36">
        <f>IF(ISNUMBER(Laboratorio!T35),Laboratorio!T35,"")</f>
        <v>1.3879999999999999</v>
      </c>
      <c r="AT61" s="36">
        <f t="shared" si="58"/>
        <v>-6.6791069030761818E-2</v>
      </c>
      <c r="AU61" s="36">
        <f t="shared" si="59"/>
        <v>4.812036673686011</v>
      </c>
      <c r="AV61" s="35" t="str">
        <f>IF(ISNUMBER(Courier!V42),Courier!V42,"")</f>
        <v/>
      </c>
      <c r="AW61" s="35">
        <f>IF(ISNUMBER(Courier!X43),Courier!X43,0)</f>
        <v>24.710926055908203</v>
      </c>
      <c r="AX61" s="36">
        <f>IF(ISNUMBER(Laboratorio!V35),Laboratorio!V35,"")</f>
        <v>25.768999999999998</v>
      </c>
      <c r="AY61" s="36">
        <f t="shared" si="60"/>
        <v>1.0580739440917952</v>
      </c>
      <c r="AZ61" s="36">
        <f t="shared" si="61"/>
        <v>1.0580739440917952</v>
      </c>
      <c r="BA61" s="36">
        <f t="shared" si="62"/>
        <v>4.1059953591206302</v>
      </c>
      <c r="BB61" s="36">
        <f>Calculos!$AH$1</f>
        <v>1.5575884772727273</v>
      </c>
      <c r="BC61" s="36">
        <f t="shared" si="63"/>
        <v>-1.5575884772727273</v>
      </c>
      <c r="BD61" s="35">
        <f>IF(ISNUMBER(Courier!Z43),Courier!Z43,0)</f>
        <v>2.5906531810760498</v>
      </c>
      <c r="BE61" s="36">
        <f>IF(ISNUMBER(Laboratorio!X35),Laboratorio!X35,"")</f>
        <v>2.6469999999999998</v>
      </c>
      <c r="BF61" s="36">
        <f t="shared" si="64"/>
        <v>5.6346818923949993E-2</v>
      </c>
      <c r="BG61" s="36">
        <f t="shared" si="65"/>
        <v>5.6346818923949993E-2</v>
      </c>
      <c r="BH61" s="36">
        <f t="shared" si="66"/>
        <v>2.1287049083471854</v>
      </c>
      <c r="BI61" s="36">
        <f>Calculos!$AI$1</f>
        <v>0.18375074999999999</v>
      </c>
      <c r="BJ61" s="36">
        <f t="shared" si="67"/>
        <v>-0.18375074999999999</v>
      </c>
      <c r="BK61" s="35">
        <f>IF(ISNUMBER(Courier!AB43),Courier!AB43,"")</f>
        <v>27.345563888549805</v>
      </c>
      <c r="BL61" s="36">
        <f>IF(ISNUMBER(Laboratorio!Z35),Laboratorio!Z35,"")</f>
        <v>27.84</v>
      </c>
      <c r="BM61" s="36">
        <f t="shared" si="68"/>
        <v>0.49443611145019517</v>
      </c>
      <c r="BN61" s="36">
        <f t="shared" si="69"/>
        <v>1.7759917796343216</v>
      </c>
      <c r="BO61" s="35">
        <f>IF(ISNUMBER(Courier!AD42),Courier!AD42,"")</f>
        <v>9.5605014654107343</v>
      </c>
      <c r="BP61" s="35">
        <f>IF(ISNUMBER(Courier!AD43),Courier!AD43,"")</f>
        <v>11.045682216711823</v>
      </c>
      <c r="BQ61" s="36">
        <f>IF(ISNUMBER(Laboratorio!AB35),Laboratorio!AB35,"")</f>
        <v>9.26</v>
      </c>
      <c r="BR61" s="36">
        <f t="shared" si="35"/>
        <v>-1.7856822167118231</v>
      </c>
      <c r="BS61" s="36">
        <f t="shared" si="70"/>
        <v>19.283825234468932</v>
      </c>
    </row>
    <row r="62" spans="1:71" ht="18" customHeight="1" x14ac:dyDescent="0.2">
      <c r="A62">
        <f>+A60+1</f>
        <v>30</v>
      </c>
      <c r="B62" s="7">
        <f>+B60+1</f>
        <v>46277</v>
      </c>
      <c r="C62" s="7" t="str">
        <f>DAY(B62) &amp; "-" &amp; MONTH(B62) &amp;"-" &amp; YEAR(B62)</f>
        <v>12-9-2026</v>
      </c>
      <c r="D62" s="35">
        <f>IF(ISNUMBER(Courier!E44),Courier!E44,0)</f>
        <v>0.4107077419757843</v>
      </c>
      <c r="E62" s="36">
        <f>IF(ISNUMBER(Laboratorio!E36),Laboratorio!E36,"")</f>
        <v>0.40300000000000002</v>
      </c>
      <c r="F62" s="36">
        <f t="shared" si="36"/>
        <v>-7.7077419757842769E-3</v>
      </c>
      <c r="G62" s="36">
        <f t="shared" si="37"/>
        <v>7.7077419757842769E-3</v>
      </c>
      <c r="H62" s="36">
        <f t="shared" si="38"/>
        <v>1.9125910609886543</v>
      </c>
      <c r="I62" s="36">
        <f>Calculos!$I$1</f>
        <v>4.990387499999998E-2</v>
      </c>
      <c r="J62" s="36">
        <f t="shared" si="39"/>
        <v>-4.990387499999998E-2</v>
      </c>
      <c r="K62" s="35">
        <f>IF(ISNUMBER(Courier!G44),Courier!G44,0)</f>
        <v>5.1853619515895844E-2</v>
      </c>
      <c r="L62" s="36">
        <f>IF(ISNUMBER(Laboratorio!G36),Laboratorio!G36,"")</f>
        <v>5.7000000000000002E-2</v>
      </c>
      <c r="M62" s="36">
        <f t="shared" si="40"/>
        <v>5.1463804841041585E-3</v>
      </c>
      <c r="N62" s="36">
        <f t="shared" si="41"/>
        <v>5.1463804841041585E-3</v>
      </c>
      <c r="O62" s="36">
        <f t="shared" si="42"/>
        <v>9.0287376914108037</v>
      </c>
      <c r="P62" s="36">
        <f>Calculos!$J$1</f>
        <v>5.1807500000000022E-3</v>
      </c>
      <c r="Q62" s="36">
        <f t="shared" si="43"/>
        <v>-5.1807500000000022E-3</v>
      </c>
      <c r="R62" s="35">
        <f>IF(ISNUMBER(Courier!I44),Courier!I44,"")</f>
        <v>1.668297290802002</v>
      </c>
      <c r="S62" s="36">
        <f>IF(ISNUMBER(Laboratorio!I36),Laboratorio!I36,"")</f>
        <v>1.875</v>
      </c>
      <c r="T62" s="36">
        <f t="shared" si="44"/>
        <v>0.20670270919799805</v>
      </c>
      <c r="U62" s="36">
        <f t="shared" si="45"/>
        <v>11.024144490559896</v>
      </c>
      <c r="V62" s="35">
        <f>IF(ISNUMBER(Courier!K44),Courier!K44,"")</f>
        <v>6.9596525281667709E-3</v>
      </c>
      <c r="W62" s="36">
        <f>IF(ISNUMBER(Laboratorio!K36),Laboratorio!K36,"")</f>
        <v>6.0000000000000001E-3</v>
      </c>
      <c r="X62" s="36">
        <f t="shared" si="46"/>
        <v>-9.5965252816677081E-4</v>
      </c>
      <c r="Y62" s="36">
        <f t="shared" si="47"/>
        <v>15.994208802779514</v>
      </c>
      <c r="Z62" s="35" t="str">
        <f>IF(ISNUMBER(Courier!M44),Courier!M44,"")</f>
        <v/>
      </c>
      <c r="AA62" s="36" t="str">
        <f>IF(ISNUMBER(Laboratorio!M36),Laboratorio!M36,"")</f>
        <v/>
      </c>
      <c r="AB62" s="36" t="str">
        <f t="shared" si="48"/>
        <v xml:space="preserve"> </v>
      </c>
      <c r="AC62" s="36" t="str">
        <f t="shared" si="49"/>
        <v xml:space="preserve"> </v>
      </c>
      <c r="AD62" s="35">
        <f>IF(ISNUMBER(Courier!O44),Courier!O44,0)</f>
        <v>6.17174431681633E-2</v>
      </c>
      <c r="AE62" s="36">
        <f>IF(ISNUMBER(Laboratorio!O36),Laboratorio!O36,"")</f>
        <v>5.1999999999999998E-2</v>
      </c>
      <c r="AF62" s="36">
        <f t="shared" si="50"/>
        <v>-9.7174431681633019E-3</v>
      </c>
      <c r="AG62" s="36">
        <f t="shared" si="51"/>
        <v>9.7174431681633019E-3</v>
      </c>
      <c r="AH62" s="36">
        <f t="shared" si="52"/>
        <v>18.687390708006351</v>
      </c>
      <c r="AI62" s="36">
        <f>Calculos!$U$1</f>
        <v>8.6877272727272758E-3</v>
      </c>
      <c r="AJ62" s="36">
        <f t="shared" si="53"/>
        <v>-8.6877272727272758E-3</v>
      </c>
      <c r="AK62" s="35">
        <f>IF(ISNUMBER(Courier!Q44),Courier!Q44,0)</f>
        <v>1.0092724114656448E-2</v>
      </c>
      <c r="AL62" s="36">
        <f>IF(ISNUMBER(Laboratorio!Q36),Laboratorio!Q36,"")</f>
        <v>1.4E-2</v>
      </c>
      <c r="AM62" s="36">
        <f t="shared" si="54"/>
        <v>3.9072758853435519E-3</v>
      </c>
      <c r="AN62" s="36">
        <f t="shared" si="55"/>
        <v>3.9072758853435519E-3</v>
      </c>
      <c r="AO62" s="237">
        <f t="shared" si="56"/>
        <v>27.909113466739655</v>
      </c>
      <c r="AP62" s="36">
        <f>Calculos!$V$1</f>
        <v>2.2111363636363643E-3</v>
      </c>
      <c r="AQ62" s="36">
        <f t="shared" si="57"/>
        <v>-2.2111363636363643E-3</v>
      </c>
      <c r="AR62" s="35">
        <f>IF(ISNUMBER(Courier!S44),Courier!S44,"")</f>
        <v>1.4547910690307617</v>
      </c>
      <c r="AS62" s="36">
        <f>IF(ISNUMBER(Laboratorio!S36),Laboratorio!S36,"")</f>
        <v>1.609</v>
      </c>
      <c r="AT62" s="36">
        <f t="shared" si="58"/>
        <v>0.15420893096923827</v>
      </c>
      <c r="AU62" s="36">
        <f t="shared" si="59"/>
        <v>9.5841473566959774</v>
      </c>
      <c r="AV62" s="35" t="str">
        <f>IF(ISNUMBER(Courier!U43),Courier!U43,"")</f>
        <v/>
      </c>
      <c r="AW62" s="35">
        <f>IF(ISNUMBER(Courier!W44),Courier!W44,0)</f>
        <v>23.989170074462891</v>
      </c>
      <c r="AX62" s="36">
        <f>IF(ISNUMBER(Laboratorio!U36),Laboratorio!U36,"")</f>
        <v>24.577000000000002</v>
      </c>
      <c r="AY62" s="36">
        <f t="shared" si="60"/>
        <v>0.58782992553711111</v>
      </c>
      <c r="AZ62" s="36">
        <f t="shared" si="61"/>
        <v>0.58782992553711111</v>
      </c>
      <c r="BA62" s="36">
        <f t="shared" si="62"/>
        <v>2.3917887681047771</v>
      </c>
      <c r="BB62" s="36">
        <f>Calculos!$AH$1</f>
        <v>1.5575884772727273</v>
      </c>
      <c r="BC62" s="36">
        <f t="shared" si="63"/>
        <v>-1.5575884772727273</v>
      </c>
      <c r="BD62" s="35">
        <f>IF(ISNUMBER(Courier!Y44),Courier!Y44,0)</f>
        <v>3.0815331935882568</v>
      </c>
      <c r="BE62" s="36">
        <f>IF(ISNUMBER(Laboratorio!W36),Laboratorio!W36,"")</f>
        <v>3.649</v>
      </c>
      <c r="BF62" s="36">
        <f t="shared" si="64"/>
        <v>0.56746680641174319</v>
      </c>
      <c r="BG62" s="36">
        <f t="shared" si="65"/>
        <v>0.56746680641174319</v>
      </c>
      <c r="BH62" s="36">
        <f t="shared" si="66"/>
        <v>15.551296421259062</v>
      </c>
      <c r="BI62" s="36">
        <f>Calculos!$AI$1</f>
        <v>0.18375074999999999</v>
      </c>
      <c r="BJ62" s="36">
        <f t="shared" si="67"/>
        <v>-0.18375074999999999</v>
      </c>
      <c r="BK62" s="35">
        <f>IF(ISNUMBER(Courier!AA44),Courier!AA44,"")</f>
        <v>27.211479187011719</v>
      </c>
      <c r="BL62" s="36">
        <f>IF(ISNUMBER(Laboratorio!Y36),Laboratorio!Y36,"")</f>
        <v>28.66</v>
      </c>
      <c r="BM62" s="36">
        <f t="shared" si="68"/>
        <v>1.4485208129882814</v>
      </c>
      <c r="BN62" s="36">
        <f t="shared" si="69"/>
        <v>5.0541549650672764</v>
      </c>
      <c r="BO62" s="35">
        <f>IF(ISNUMBER(Courier!AC43),Courier!AC43,"")</f>
        <v>11.33809357278165</v>
      </c>
      <c r="BP62" s="35">
        <f>IF(ISNUMBER(Courier!AC44),Courier!AC44,"")</f>
        <v>11.642344480181739</v>
      </c>
      <c r="BQ62" s="36">
        <f>IF(ISNUMBER(Laboratorio!AA36),Laboratorio!AA36,"")</f>
        <v>10.96</v>
      </c>
      <c r="BR62" s="36">
        <f t="shared" si="35"/>
        <v>-0.68234448018173843</v>
      </c>
      <c r="BS62" s="36">
        <f t="shared" si="70"/>
        <v>6.2257708045779045</v>
      </c>
    </row>
    <row r="63" spans="1:71" ht="18" customHeight="1" x14ac:dyDescent="0.2">
      <c r="C63" s="38" t="str">
        <f>DAY(B62) &amp; "-" &amp; MONTH(B62) &amp;"-" &amp; YEAR(B62)</f>
        <v>12-9-2026</v>
      </c>
      <c r="D63" s="35">
        <f>IF(ISNUMBER(Courier!F44),Courier!F44,0)</f>
        <v>0.44501632452011108</v>
      </c>
      <c r="E63" s="36">
        <f>IF(ISNUMBER(Laboratorio!F36),Laboratorio!F36,"")</f>
        <v>0.41899999999999998</v>
      </c>
      <c r="F63" s="36">
        <f t="shared" si="36"/>
        <v>-2.60163245201111E-2</v>
      </c>
      <c r="G63" s="36">
        <f t="shared" si="37"/>
        <v>2.60163245201111E-2</v>
      </c>
      <c r="H63" s="36">
        <f t="shared" si="38"/>
        <v>6.2091466635110022</v>
      </c>
      <c r="I63" s="36">
        <f>Calculos!$I$1</f>
        <v>4.990387499999998E-2</v>
      </c>
      <c r="J63" s="36">
        <f t="shared" si="39"/>
        <v>-4.990387499999998E-2</v>
      </c>
      <c r="K63" s="35">
        <f>IF(ISNUMBER(Courier!H44),Courier!H44,0)</f>
        <v>3.6647330969572067E-2</v>
      </c>
      <c r="L63" s="36">
        <f>IF(ISNUMBER(Laboratorio!H36),Laboratorio!H36,"")</f>
        <v>4.2000000000000003E-2</v>
      </c>
      <c r="M63" s="36">
        <f t="shared" si="40"/>
        <v>5.3526690304279353E-3</v>
      </c>
      <c r="N63" s="36">
        <f t="shared" si="41"/>
        <v>5.3526690304279353E-3</v>
      </c>
      <c r="O63" s="36">
        <f t="shared" si="42"/>
        <v>12.744450072447464</v>
      </c>
      <c r="P63" s="36">
        <f>Calculos!$J$1</f>
        <v>5.1807500000000022E-3</v>
      </c>
      <c r="Q63" s="36">
        <f t="shared" si="43"/>
        <v>-5.1807500000000022E-3</v>
      </c>
      <c r="R63" s="35">
        <f>IF(ISNUMBER(Courier!J44),Courier!J44,"")</f>
        <v>2.0039591789245605</v>
      </c>
      <c r="S63" s="36">
        <f>IF(ISNUMBER(Laboratorio!J36),Laboratorio!J36,"")</f>
        <v>2.2229999999999999</v>
      </c>
      <c r="T63" s="36">
        <f t="shared" si="44"/>
        <v>0.21904082107543932</v>
      </c>
      <c r="U63" s="36">
        <f t="shared" si="45"/>
        <v>9.853388262502893</v>
      </c>
      <c r="V63" s="35">
        <f>IF(ISNUMBER(Courier!L44),Courier!L44,"")</f>
        <v>7.498864084482193E-3</v>
      </c>
      <c r="W63" s="36">
        <f>IF(ISNUMBER(Laboratorio!L36),Laboratorio!L36,"")</f>
        <v>6.0000000000000001E-3</v>
      </c>
      <c r="X63" s="36">
        <f t="shared" si="46"/>
        <v>-1.4988640844821929E-3</v>
      </c>
      <c r="Y63" s="36">
        <f t="shared" si="47"/>
        <v>24.981068074703213</v>
      </c>
      <c r="Z63" s="35" t="str">
        <f>IF(ISNUMBER(Courier!N44),Courier!N44,"")</f>
        <v/>
      </c>
      <c r="AA63" s="36" t="str">
        <f>IF(ISNUMBER(Laboratorio!N36),Laboratorio!N36,"")</f>
        <v/>
      </c>
      <c r="AB63" s="36" t="str">
        <f t="shared" si="48"/>
        <v xml:space="preserve"> </v>
      </c>
      <c r="AC63" s="36" t="str">
        <f t="shared" si="49"/>
        <v xml:space="preserve"> </v>
      </c>
      <c r="AD63" s="35">
        <f>IF(ISNUMBER(Courier!P44),Courier!P44,0)</f>
        <v>4.5126523822546005E-2</v>
      </c>
      <c r="AE63" s="36">
        <f>+IF(ISNUMBER(Laboratorio!P36),Laboratorio!P36,"")</f>
        <v>4.9000000000000002E-2</v>
      </c>
      <c r="AF63" s="36">
        <f t="shared" si="50"/>
        <v>3.8734761774539966E-3</v>
      </c>
      <c r="AG63" s="36">
        <f t="shared" si="51"/>
        <v>3.8734761774539966E-3</v>
      </c>
      <c r="AH63" s="36">
        <f t="shared" si="52"/>
        <v>7.9050534233755032</v>
      </c>
      <c r="AI63" s="36">
        <f>Calculos!$U$1</f>
        <v>8.6877272727272758E-3</v>
      </c>
      <c r="AJ63" s="36">
        <f t="shared" si="53"/>
        <v>-8.6877272727272758E-3</v>
      </c>
      <c r="AK63" s="35">
        <f>IF(ISNUMBER(Courier!R44),Courier!R44,0)</f>
        <v>1.0805998928844929E-2</v>
      </c>
      <c r="AL63" s="36">
        <f>IF(ISNUMBER(Laboratorio!R36),Laboratorio!R36,"")</f>
        <v>1.4999999999999999E-2</v>
      </c>
      <c r="AM63" s="36">
        <f t="shared" si="54"/>
        <v>4.1940010711550707E-3</v>
      </c>
      <c r="AN63" s="36">
        <f t="shared" si="55"/>
        <v>4.1940010711550707E-3</v>
      </c>
      <c r="AO63" s="237">
        <f t="shared" si="56"/>
        <v>27.960007141033806</v>
      </c>
      <c r="AP63" s="36">
        <f>Calculos!$V$1</f>
        <v>2.2111363636363643E-3</v>
      </c>
      <c r="AQ63" s="36">
        <f t="shared" si="57"/>
        <v>-2.2111363636363643E-3</v>
      </c>
      <c r="AR63" s="35">
        <f>IF(ISNUMBER(Courier!T44),Courier!T44,"")</f>
        <v>1.4369500875473022</v>
      </c>
      <c r="AS63" s="36">
        <f>IF(ISNUMBER(Laboratorio!T36),Laboratorio!T36,"")</f>
        <v>1.895</v>
      </c>
      <c r="AT63" s="36">
        <f t="shared" si="58"/>
        <v>0.45804991245269777</v>
      </c>
      <c r="AU63" s="36">
        <f t="shared" si="59"/>
        <v>24.171499337873232</v>
      </c>
      <c r="AV63" s="35" t="str">
        <f>IF(ISNUMBER(Courier!V43),Courier!V43,"")</f>
        <v/>
      </c>
      <c r="AW63" s="35">
        <f>IF(ISNUMBER(Courier!X44),Courier!X44,0)</f>
        <v>24.021186828613281</v>
      </c>
      <c r="AX63" s="36">
        <f>IF(ISNUMBER(Laboratorio!V36),Laboratorio!V36,"")</f>
        <v>24.97</v>
      </c>
      <c r="AY63" s="36">
        <f t="shared" si="60"/>
        <v>0.94881317138671761</v>
      </c>
      <c r="AZ63" s="36">
        <f t="shared" si="61"/>
        <v>0.94881317138671761</v>
      </c>
      <c r="BA63" s="36">
        <f t="shared" si="62"/>
        <v>3.7998124604994703</v>
      </c>
      <c r="BB63" s="36">
        <f>Calculos!$AH$1</f>
        <v>1.5575884772727273</v>
      </c>
      <c r="BC63" s="36">
        <f t="shared" si="63"/>
        <v>-1.5575884772727273</v>
      </c>
      <c r="BD63" s="35">
        <f>IF(ISNUMBER(Courier!Z44),Courier!Z44,0)</f>
        <v>2.2631101608276367</v>
      </c>
      <c r="BE63" s="36">
        <f>IF(ISNUMBER(Laboratorio!X36),Laboratorio!X36,"")</f>
        <v>2.3460000000000001</v>
      </c>
      <c r="BF63" s="36">
        <f t="shared" si="64"/>
        <v>8.2889839172363367E-2</v>
      </c>
      <c r="BG63" s="36">
        <f t="shared" si="65"/>
        <v>8.2889839172363367E-2</v>
      </c>
      <c r="BH63" s="36">
        <f t="shared" si="66"/>
        <v>3.533241226443451</v>
      </c>
      <c r="BI63" s="36">
        <f>Calculos!$AI$1</f>
        <v>0.18375074999999999</v>
      </c>
      <c r="BJ63" s="36">
        <f t="shared" si="67"/>
        <v>-0.18375074999999999</v>
      </c>
      <c r="BK63" s="35">
        <f>IF(ISNUMBER(Courier!AB44),Courier!AB44,"")</f>
        <v>27.497737884521484</v>
      </c>
      <c r="BL63" s="36">
        <f>IF(ISNUMBER(Laboratorio!Z36),Laboratorio!Z36,"")</f>
        <v>29.24</v>
      </c>
      <c r="BM63" s="36">
        <f t="shared" si="68"/>
        <v>1.7422621154785141</v>
      </c>
      <c r="BN63" s="36">
        <f t="shared" si="69"/>
        <v>5.958488767026382</v>
      </c>
      <c r="BO63" s="35">
        <f>IF(ISNUMBER(Courier!AD43),Courier!AD43,"")</f>
        <v>11.045682216711823</v>
      </c>
      <c r="BP63" s="35">
        <f>IF(ISNUMBER(Courier!AD44),Courier!AD44,"")</f>
        <v>12.936302647855019</v>
      </c>
      <c r="BQ63" s="36">
        <f>IF(ISNUMBER(Laboratorio!AB36),Laboratorio!AB36,"")</f>
        <v>10.28</v>
      </c>
      <c r="BR63" s="36">
        <f t="shared" si="35"/>
        <v>-2.6563026478550196</v>
      </c>
      <c r="BS63" s="36">
        <f t="shared" si="70"/>
        <v>25.839519920768673</v>
      </c>
    </row>
    <row r="64" spans="1:71" ht="18" customHeight="1" x14ac:dyDescent="0.2">
      <c r="A64">
        <f>+A62+1</f>
        <v>31</v>
      </c>
      <c r="B64" s="7">
        <f>+B62+1</f>
        <v>46278</v>
      </c>
      <c r="C64" s="7" t="str">
        <f>DAY(B64) &amp; "-" &amp; MONTH(B64) &amp;"-" &amp; YEAR(B64)</f>
        <v>13-9-2026</v>
      </c>
      <c r="D64" s="35">
        <f>IF(ISNUMBER(Courier!E45),Courier!E45,0)</f>
        <v>0.4757004976272583</v>
      </c>
      <c r="E64" s="36">
        <f>IF(ISNUMBER(Laboratorio!E37),Laboratorio!E37,"")</f>
        <v>0.47</v>
      </c>
      <c r="F64" s="36">
        <f t="shared" si="36"/>
        <v>-5.7004976272583274E-3</v>
      </c>
      <c r="G64" s="36">
        <f t="shared" si="37"/>
        <v>5.7004976272583274E-3</v>
      </c>
      <c r="H64" s="36">
        <f t="shared" si="38"/>
        <v>1.2128718355868782</v>
      </c>
      <c r="I64" s="36">
        <f>Calculos!$I$1</f>
        <v>4.990387499999998E-2</v>
      </c>
      <c r="J64" s="36">
        <f t="shared" si="39"/>
        <v>-4.990387499999998E-2</v>
      </c>
      <c r="K64" s="35">
        <f>IF(ISNUMBER(Courier!G45),Courier!G45,0)</f>
        <v>2.761489525437355E-2</v>
      </c>
      <c r="L64" s="36">
        <f>IF(ISNUMBER(Laboratorio!G37),Laboratorio!G37,"")</f>
        <v>3.4000000000000002E-2</v>
      </c>
      <c r="M64" s="36">
        <f t="shared" si="40"/>
        <v>6.385104745626452E-3</v>
      </c>
      <c r="N64" s="36">
        <f t="shared" si="41"/>
        <v>6.385104745626452E-3</v>
      </c>
      <c r="O64" s="36">
        <f t="shared" si="42"/>
        <v>18.779719840077799</v>
      </c>
      <c r="P64" s="36">
        <f>Calculos!$J$1</f>
        <v>5.1807500000000022E-3</v>
      </c>
      <c r="Q64" s="36">
        <f t="shared" si="43"/>
        <v>-5.1807500000000022E-3</v>
      </c>
      <c r="R64" s="35">
        <f>IF(ISNUMBER(Courier!I45),Courier!I45,"")</f>
        <v>1.8959189653396606</v>
      </c>
      <c r="S64" s="36">
        <f>IF(ISNUMBER(Laboratorio!I37),Laboratorio!I37,"")</f>
        <v>1.8620000000000001</v>
      </c>
      <c r="T64" s="36">
        <f t="shared" si="44"/>
        <v>-3.3918965339660545E-2</v>
      </c>
      <c r="U64" s="36">
        <f t="shared" si="45"/>
        <v>1.8216415327422419</v>
      </c>
      <c r="V64" s="35">
        <f>IF(ISNUMBER(Courier!K45),Courier!K45,"")</f>
        <v>7.9368008300662041E-3</v>
      </c>
      <c r="W64" s="36">
        <f>IF(ISNUMBER(Laboratorio!K37),Laboratorio!K37,"")</f>
        <v>7.0000000000000001E-3</v>
      </c>
      <c r="X64" s="36">
        <f t="shared" si="46"/>
        <v>-9.3680083006620393E-4</v>
      </c>
      <c r="Y64" s="36">
        <f t="shared" si="47"/>
        <v>13.382869000945771</v>
      </c>
      <c r="Z64" s="35" t="str">
        <f>IF(ISNUMBER(Courier!M45),Courier!M45,"")</f>
        <v/>
      </c>
      <c r="AA64" s="36" t="str">
        <f>IF(ISNUMBER(Laboratorio!M37),Laboratorio!M37,"")</f>
        <v/>
      </c>
      <c r="AB64" s="36" t="str">
        <f t="shared" si="48"/>
        <v xml:space="preserve"> </v>
      </c>
      <c r="AC64" s="36" t="str">
        <f t="shared" si="49"/>
        <v xml:space="preserve"> </v>
      </c>
      <c r="AD64" s="35">
        <f>IF(ISNUMBER(Courier!O45),Courier!O45,0)</f>
        <v>4.7551747411489487E-2</v>
      </c>
      <c r="AE64" s="36">
        <f>IF(ISNUMBER(Laboratorio!O37),Laboratorio!O37,"")</f>
        <v>5.8000000000000003E-2</v>
      </c>
      <c r="AF64" s="36">
        <f t="shared" si="50"/>
        <v>1.0448252588510516E-2</v>
      </c>
      <c r="AG64" s="36">
        <f t="shared" si="51"/>
        <v>1.0448252588510516E-2</v>
      </c>
      <c r="AH64" s="36">
        <f t="shared" si="52"/>
        <v>18.014228600880202</v>
      </c>
      <c r="AI64" s="36">
        <f>Calculos!$U$1</f>
        <v>8.6877272727272758E-3</v>
      </c>
      <c r="AJ64" s="36">
        <f t="shared" si="53"/>
        <v>-8.6877272727272758E-3</v>
      </c>
      <c r="AK64" s="35">
        <f>IF(ISNUMBER(Courier!Q45),Courier!Q45,0)</f>
        <v>1.1307978071272373E-2</v>
      </c>
      <c r="AL64" s="36">
        <f>IF(ISNUMBER(Laboratorio!Q37),Laboratorio!Q37,"")</f>
        <v>7.0000000000000001E-3</v>
      </c>
      <c r="AM64" s="36">
        <f t="shared" si="54"/>
        <v>-4.3079780712723731E-3</v>
      </c>
      <c r="AN64" s="36">
        <f t="shared" si="55"/>
        <v>4.3079780712723731E-3</v>
      </c>
      <c r="AO64" s="237">
        <f t="shared" si="56"/>
        <v>61.542543875319609</v>
      </c>
      <c r="AP64" s="36">
        <f>Calculos!$V$1</f>
        <v>2.2111363636363643E-3</v>
      </c>
      <c r="AQ64" s="36">
        <f t="shared" si="57"/>
        <v>-2.2111363636363643E-3</v>
      </c>
      <c r="AR64" s="35">
        <f>IF(ISNUMBER(Courier!S45),Courier!S45,"")</f>
        <v>1.1370348930358887</v>
      </c>
      <c r="AS64" s="36">
        <f>IF(ISNUMBER(Laboratorio!S37),Laboratorio!S37,"")</f>
        <v>1.3420000000000001</v>
      </c>
      <c r="AT64" s="36">
        <f t="shared" si="58"/>
        <v>0.20496510696411141</v>
      </c>
      <c r="AU64" s="36">
        <f t="shared" si="59"/>
        <v>15.273107821468807</v>
      </c>
      <c r="AV64" s="35" t="str">
        <f>IF(ISNUMBER(Courier!U44),Courier!U44,"")</f>
        <v/>
      </c>
      <c r="AW64" s="35">
        <f>IF(ISNUMBER(Courier!W45),Courier!W45,0)</f>
        <v>22.85106086730957</v>
      </c>
      <c r="AX64" s="36">
        <f>IF(ISNUMBER(Laboratorio!U37),Laboratorio!U37,"")</f>
        <v>23.077999999999999</v>
      </c>
      <c r="AY64" s="36">
        <f t="shared" si="60"/>
        <v>0.22693913269042909</v>
      </c>
      <c r="AZ64" s="36">
        <f t="shared" si="61"/>
        <v>0.22693913269042909</v>
      </c>
      <c r="BA64" s="36">
        <f t="shared" si="62"/>
        <v>0.98335701833100408</v>
      </c>
      <c r="BB64" s="36">
        <f>Calculos!$AH$1</f>
        <v>1.5575884772727273</v>
      </c>
      <c r="BC64" s="36">
        <f t="shared" si="63"/>
        <v>-1.5575884772727273</v>
      </c>
      <c r="BD64" s="35">
        <f>IF(ISNUMBER(Courier!Y45),Courier!Y45,0)</f>
        <v>1.6234313249588013</v>
      </c>
      <c r="BE64" s="36">
        <f>IF(ISNUMBER(Laboratorio!W37),Laboratorio!W37,"")</f>
        <v>1.899</v>
      </c>
      <c r="BF64" s="36">
        <f t="shared" si="64"/>
        <v>0.27556867504119875</v>
      </c>
      <c r="BG64" s="36">
        <f t="shared" si="65"/>
        <v>0.27556867504119875</v>
      </c>
      <c r="BH64" s="36">
        <f t="shared" si="66"/>
        <v>14.511251976893035</v>
      </c>
      <c r="BI64" s="36">
        <f>Calculos!$AI$1</f>
        <v>0.18375074999999999</v>
      </c>
      <c r="BJ64" s="36">
        <f t="shared" si="67"/>
        <v>-0.18375074999999999</v>
      </c>
      <c r="BK64" s="35">
        <f>IF(ISNUMBER(Courier!AA45),Courier!AA45,"")</f>
        <v>28.092273712158203</v>
      </c>
      <c r="BL64" s="36">
        <f>IF(ISNUMBER(Laboratorio!Y37),Laboratorio!Y37,"")</f>
        <v>29.47</v>
      </c>
      <c r="BM64" s="36">
        <f t="shared" si="68"/>
        <v>1.3777262878417957</v>
      </c>
      <c r="BN64" s="36">
        <f t="shared" si="69"/>
        <v>4.6750128532127437</v>
      </c>
      <c r="BO64" s="35">
        <f>IF(ISNUMBER(Courier!AC44),Courier!AC44,"")</f>
        <v>11.642344480181739</v>
      </c>
      <c r="BP64" s="35">
        <f>IF(ISNUMBER(Courier!AC45),Courier!AC45,"")</f>
        <v>12.394271632420351</v>
      </c>
      <c r="BQ64" s="36">
        <f>IF(ISNUMBER(Laboratorio!AA37),Laboratorio!AA37,"")</f>
        <v>13.18</v>
      </c>
      <c r="BR64" s="36">
        <f t="shared" si="35"/>
        <v>0.78572836757964915</v>
      </c>
      <c r="BS64" s="36">
        <f t="shared" si="70"/>
        <v>5.9615202396028009</v>
      </c>
    </row>
    <row r="65" spans="2:71" ht="18" customHeight="1" thickBot="1" x14ac:dyDescent="0.25">
      <c r="B65" s="7">
        <f>B64+0.9</f>
        <v>46278.9</v>
      </c>
      <c r="C65" s="38" t="str">
        <f>DAY(B64) &amp; "-" &amp; MONTH(B64) &amp;"-" &amp; YEAR(B64)</f>
        <v>13-9-2026</v>
      </c>
      <c r="D65" s="35">
        <f>IF(ISNUMBER(E65),IF(ISNUMBER(Courier!F45),Courier!F45,0),0)</f>
        <v>0</v>
      </c>
      <c r="E65" s="36" t="str">
        <f>IF(ISNUMBER(Laboratorio!F37),Laboratorio!F37,"")</f>
        <v/>
      </c>
      <c r="F65" s="36" t="str">
        <f t="shared" si="36"/>
        <v xml:space="preserve"> </v>
      </c>
      <c r="G65" s="36"/>
      <c r="H65" s="36" t="str">
        <f t="shared" si="38"/>
        <v xml:space="preserve"> </v>
      </c>
      <c r="I65" s="36">
        <f>Calculos!$I$1</f>
        <v>4.990387499999998E-2</v>
      </c>
      <c r="J65" s="36">
        <f t="shared" si="39"/>
        <v>-4.990387499999998E-2</v>
      </c>
      <c r="K65" s="35">
        <f>IF(ISNUMBER(L65),IF(ISNUMBER(Courier!H45),Courier!H45,0),0)</f>
        <v>0</v>
      </c>
      <c r="L65" s="36" t="str">
        <f>IF(ISNUMBER(Laboratorio!H37),Laboratorio!H37,"")</f>
        <v/>
      </c>
      <c r="M65" s="36" t="str">
        <f t="shared" si="40"/>
        <v xml:space="preserve"> </v>
      </c>
      <c r="N65" s="36"/>
      <c r="O65" s="36" t="str">
        <f t="shared" si="42"/>
        <v xml:space="preserve"> </v>
      </c>
      <c r="P65" s="36">
        <f>Calculos!$J$1</f>
        <v>5.1807500000000022E-3</v>
      </c>
      <c r="Q65" s="36">
        <f t="shared" si="43"/>
        <v>-5.1807500000000022E-3</v>
      </c>
      <c r="R65" s="35" t="str">
        <f>IF(ISNUMBER(Courier!J45),Courier!J45,"")</f>
        <v/>
      </c>
      <c r="S65" s="36" t="str">
        <f>IF(ISNUMBER(Laboratorio!J37),Laboratorio!J37,"")</f>
        <v/>
      </c>
      <c r="T65" s="36" t="str">
        <f t="shared" si="44"/>
        <v xml:space="preserve"> </v>
      </c>
      <c r="U65" s="36" t="str">
        <f t="shared" si="45"/>
        <v xml:space="preserve"> </v>
      </c>
      <c r="V65" s="35" t="str">
        <f>IF(ISNUMBER(Courier!L45),Courier!L45,"")</f>
        <v/>
      </c>
      <c r="W65" s="36" t="str">
        <f>IF(ISNUMBER(Laboratorio!L37),Laboratorio!L37,"")</f>
        <v/>
      </c>
      <c r="X65" s="36" t="str">
        <f t="shared" si="46"/>
        <v xml:space="preserve"> </v>
      </c>
      <c r="Y65" s="36" t="str">
        <f t="shared" si="47"/>
        <v xml:space="preserve"> </v>
      </c>
      <c r="Z65" s="35" t="str">
        <f>IF(ISNUMBER(Courier!N45),Courier!N45,"")</f>
        <v/>
      </c>
      <c r="AA65" s="36" t="str">
        <f>IF(ISNUMBER(Laboratorio!N37),Laboratorio!N37,"")</f>
        <v/>
      </c>
      <c r="AB65" s="36" t="str">
        <f t="shared" si="48"/>
        <v xml:space="preserve"> </v>
      </c>
      <c r="AC65" s="36" t="str">
        <f t="shared" si="49"/>
        <v xml:space="preserve"> </v>
      </c>
      <c r="AD65" s="35">
        <f>IF(ISNUMBER(AE65),IF(ISNUMBER(Courier!P45),Courier!P45,0),0)</f>
        <v>0</v>
      </c>
      <c r="AE65" s="36" t="str">
        <f>IF(ISNUMBER(Laboratorio!P37),Laboratorio!P37,"")</f>
        <v/>
      </c>
      <c r="AF65" s="36" t="str">
        <f t="shared" si="50"/>
        <v xml:space="preserve"> </v>
      </c>
      <c r="AG65" s="36"/>
      <c r="AH65" s="36" t="str">
        <f t="shared" si="52"/>
        <v xml:space="preserve"> </v>
      </c>
      <c r="AI65" s="36">
        <f>Calculos!$U$1</f>
        <v>8.6877272727272758E-3</v>
      </c>
      <c r="AJ65" s="36">
        <f t="shared" si="53"/>
        <v>-8.6877272727272758E-3</v>
      </c>
      <c r="AK65" s="35">
        <f>IF(ISNUMBER(AL65),IF(ISNUMBER(Courier!R45),Courier!R45,0),0)</f>
        <v>0</v>
      </c>
      <c r="AL65" s="36" t="str">
        <f>IF(ISNUMBER(Laboratorio!R37),Laboratorio!R37,"")</f>
        <v/>
      </c>
      <c r="AM65" s="36" t="str">
        <f t="shared" si="54"/>
        <v xml:space="preserve"> </v>
      </c>
      <c r="AN65" s="36"/>
      <c r="AO65" s="237" t="str">
        <f t="shared" si="56"/>
        <v xml:space="preserve"> </v>
      </c>
      <c r="AP65" s="36">
        <f>Calculos!$V$1</f>
        <v>2.2111363636363643E-3</v>
      </c>
      <c r="AQ65" s="36">
        <f t="shared" si="57"/>
        <v>-2.2111363636363643E-3</v>
      </c>
      <c r="AR65" s="35" t="str">
        <f>IF(ISNUMBER(Courier!T45),Courier!T45,"")</f>
        <v/>
      </c>
      <c r="AS65" s="36" t="str">
        <f>IF(ISNUMBER(Laboratorio!T37),Laboratorio!T37,"")</f>
        <v/>
      </c>
      <c r="AT65" s="36" t="str">
        <f t="shared" si="58"/>
        <v xml:space="preserve"> </v>
      </c>
      <c r="AU65" s="36" t="str">
        <f t="shared" si="59"/>
        <v xml:space="preserve"> </v>
      </c>
      <c r="AV65" s="35" t="str">
        <f>IF(ISNUMBER(Courier!V44),Courier!V44,"")</f>
        <v/>
      </c>
      <c r="AW65" s="35">
        <f>IF(ISNUMBER(AX65),IF(ISNUMBER(Courier!X45),Courier!X45,0),0)</f>
        <v>0</v>
      </c>
      <c r="AX65" s="36" t="str">
        <f>IF(ISNUMBER(Laboratorio!V37),Laboratorio!V37,"")</f>
        <v/>
      </c>
      <c r="AY65" s="36" t="str">
        <f t="shared" si="60"/>
        <v xml:space="preserve"> </v>
      </c>
      <c r="AZ65" s="36"/>
      <c r="BA65" s="36" t="str">
        <f t="shared" si="62"/>
        <v xml:space="preserve"> </v>
      </c>
      <c r="BB65" s="36">
        <f>Calculos!$AH$1</f>
        <v>1.5575884772727273</v>
      </c>
      <c r="BC65" s="36">
        <f t="shared" si="63"/>
        <v>-1.5575884772727273</v>
      </c>
      <c r="BD65" s="35">
        <f>IF(ISNUMBER(BE65),IF(ISNUMBER(Courier!Z45),Courier!Z45,0),0)</f>
        <v>0</v>
      </c>
      <c r="BE65" s="36" t="str">
        <f>IF(ISNUMBER(Laboratorio!X37),Laboratorio!X37,"")</f>
        <v/>
      </c>
      <c r="BF65" s="36" t="str">
        <f t="shared" si="64"/>
        <v xml:space="preserve"> </v>
      </c>
      <c r="BG65" s="36"/>
      <c r="BH65" s="36" t="str">
        <f t="shared" si="66"/>
        <v xml:space="preserve"> </v>
      </c>
      <c r="BI65" s="36">
        <f>Calculos!$AI$1</f>
        <v>0.18375074999999999</v>
      </c>
      <c r="BJ65" s="36">
        <f t="shared" si="67"/>
        <v>-0.18375074999999999</v>
      </c>
      <c r="BK65" s="35" t="str">
        <f>IF(ISNUMBER(Courier!AB45),Courier!AB45,"")</f>
        <v/>
      </c>
      <c r="BL65" s="36" t="str">
        <f>IF(ISNUMBER(Laboratorio!Z37),Laboratorio!Z37,"")</f>
        <v/>
      </c>
      <c r="BM65" s="36" t="str">
        <f t="shared" si="68"/>
        <v xml:space="preserve"> </v>
      </c>
      <c r="BN65" s="36" t="str">
        <f t="shared" si="69"/>
        <v xml:space="preserve"> </v>
      </c>
      <c r="BO65" s="35">
        <f>IF(ISNUMBER(Courier!AD44),Courier!AD44,"")</f>
        <v>12.936302647855019</v>
      </c>
      <c r="BP65" s="35">
        <f>IF(ISNUMBER(Courier!AD45),Courier!AD45,"")</f>
        <v>14.388977212425793</v>
      </c>
      <c r="BQ65" s="36" t="str">
        <f>IF(ISNUMBER(Laboratorio!AB37),Laboratorio!AB37,"")</f>
        <v/>
      </c>
      <c r="BR65" s="36" t="str">
        <f t="shared" si="35"/>
        <v xml:space="preserve"> </v>
      </c>
      <c r="BS65" s="36" t="str">
        <f t="shared" si="70"/>
        <v xml:space="preserve"> </v>
      </c>
    </row>
    <row r="66" spans="2:71" ht="15.75" thickBot="1" x14ac:dyDescent="0.25">
      <c r="C66" s="6" t="s">
        <v>60</v>
      </c>
      <c r="D66" s="126"/>
      <c r="E66" s="127"/>
      <c r="F66" s="236">
        <f>STDEV(F4:F65)</f>
        <v>0.80086957198113995</v>
      </c>
      <c r="G66" s="236"/>
      <c r="H66" s="128">
        <f>STDEV(H4:H65)</f>
        <v>166.03133884624867</v>
      </c>
      <c r="I66" s="128"/>
      <c r="J66" s="128"/>
      <c r="K66" s="129"/>
      <c r="L66" s="127"/>
      <c r="M66" s="128">
        <f>STDEV(M4:M65)</f>
        <v>1.1272636862886235E-2</v>
      </c>
      <c r="N66" s="128"/>
      <c r="O66" s="128">
        <f>STDEV(O4:O65)</f>
        <v>24.973272765499114</v>
      </c>
      <c r="P66" s="128"/>
      <c r="Q66" s="128"/>
      <c r="R66" s="127"/>
      <c r="S66" s="127"/>
      <c r="T66" s="128">
        <f>STDEV(T4:T65)</f>
        <v>0.32356782817570168</v>
      </c>
      <c r="U66" s="128">
        <f>STDEV(U4:U65)</f>
        <v>10.480568585875202</v>
      </c>
      <c r="V66" s="127"/>
      <c r="W66" s="127"/>
      <c r="X66" s="128">
        <f>STDEV(X4:X65)</f>
        <v>4.8601850681436048E-3</v>
      </c>
      <c r="Y66" s="128">
        <f>STDEV(Y4:Y65)</f>
        <v>91.592093106410417</v>
      </c>
      <c r="Z66" s="127"/>
      <c r="AA66" s="127"/>
      <c r="AB66" s="128" t="e">
        <f>STDEV(AB4:AB65)</f>
        <v>#DIV/0!</v>
      </c>
      <c r="AC66" s="128" t="e">
        <f>STDEV(AC4:AC65)</f>
        <v>#DIV/0!</v>
      </c>
      <c r="AD66" s="129"/>
      <c r="AE66" s="127"/>
      <c r="AF66" s="128">
        <f>STDEV(AF4:AF65)</f>
        <v>1.0602557772194527E-2</v>
      </c>
      <c r="AG66" s="128"/>
      <c r="AH66" s="128">
        <f>STDEV(AH4:AH65)</f>
        <v>19.613682773560743</v>
      </c>
      <c r="AI66" s="128"/>
      <c r="AJ66" s="128"/>
      <c r="AK66" s="129"/>
      <c r="AL66" s="127"/>
      <c r="AM66" s="128">
        <f>STDEV(AM4:AM65)</f>
        <v>3.0530844000505701E-3</v>
      </c>
      <c r="AN66" s="128"/>
      <c r="AO66" s="128">
        <f>STDEV(AO4:AO65)</f>
        <v>27.740032708014805</v>
      </c>
      <c r="AP66" s="128"/>
      <c r="AQ66" s="128"/>
      <c r="AR66" s="127"/>
      <c r="AS66" s="127"/>
      <c r="AT66" s="128">
        <f>STDEV(AT4:AT65)</f>
        <v>0.35947544573840917</v>
      </c>
      <c r="AU66" s="128">
        <f>STDEV(AU4:AU65)</f>
        <v>11.041513121910674</v>
      </c>
      <c r="AV66" s="127"/>
      <c r="AW66" s="129"/>
      <c r="AX66" s="127"/>
      <c r="AY66" s="128">
        <f>STDEV(AY4:AY65)</f>
        <v>1.9248504672905971</v>
      </c>
      <c r="AZ66" s="128"/>
      <c r="BA66" s="128">
        <f>STDEV(BA4:BA65)</f>
        <v>5.4363078793466206</v>
      </c>
      <c r="BB66" s="128"/>
      <c r="BC66" s="128"/>
      <c r="BD66" s="129"/>
      <c r="BE66" s="127"/>
      <c r="BF66" s="128">
        <f>STDEV(BF4:BF65)</f>
        <v>0.43538085517351116</v>
      </c>
      <c r="BG66" s="128"/>
      <c r="BH66" s="128">
        <f>STDEV(BH4:BH65)</f>
        <v>13.801702970728636</v>
      </c>
      <c r="BI66" s="128"/>
      <c r="BJ66" s="128"/>
      <c r="BK66" s="129"/>
      <c r="BL66" s="129"/>
      <c r="BM66" s="128">
        <f>STDEV(BM4:BM65)</f>
        <v>1.4376234488516868</v>
      </c>
      <c r="BN66" s="128">
        <f>STDEV(BN4:BN65)</f>
        <v>3.5094082264481385</v>
      </c>
      <c r="BO66" s="130"/>
      <c r="BQ66" s="128"/>
      <c r="BR66" s="36">
        <f>STDEV(BR4:BR65)</f>
        <v>2.9440103702384457</v>
      </c>
      <c r="BS66" s="128">
        <f>STDEV(BS4:BS65)</f>
        <v>18.55359410109196</v>
      </c>
    </row>
    <row r="69" spans="2:71" x14ac:dyDescent="0.2">
      <c r="D69" s="235" t="s">
        <v>198</v>
      </c>
      <c r="E69" s="37">
        <v>0.2</v>
      </c>
      <c r="K69" s="235" t="s">
        <v>197</v>
      </c>
      <c r="L69" s="37">
        <v>4.0000000000000001E-3</v>
      </c>
      <c r="R69" s="235" t="s">
        <v>196</v>
      </c>
      <c r="S69" s="37">
        <v>1</v>
      </c>
      <c r="V69" s="235" t="s">
        <v>196</v>
      </c>
      <c r="W69" s="37">
        <v>1E-4</v>
      </c>
    </row>
  </sheetData>
  <customSheetViews>
    <customSheetView guid="{C5BD3E9A-0945-47FE-8A56-1987B427C3E6}" scale="85" fitToPage="1" state="hidden">
      <pane ySplit="3" topLeftCell="A40" activePane="bottomLeft" state="frozen"/>
      <selection pane="bottomLeft" activeCell="F67" sqref="F67"/>
      <pageMargins left="0.75" right="0.75" top="0.56999999999999995" bottom="0.56999999999999995" header="0.5" footer="0.5"/>
      <pageSetup scale="12" orientation="portrait" r:id="rId1"/>
      <headerFooter alignWithMargins="0"/>
    </customSheetView>
  </customSheetViews>
  <mergeCells count="15">
    <mergeCell ref="BP2:BQ2"/>
    <mergeCell ref="AW1:BS1"/>
    <mergeCell ref="AW2:AX2"/>
    <mergeCell ref="BD2:BE2"/>
    <mergeCell ref="BK2:BL2"/>
    <mergeCell ref="D1:AC1"/>
    <mergeCell ref="AD1:AV1"/>
    <mergeCell ref="D2:E2"/>
    <mergeCell ref="K2:L2"/>
    <mergeCell ref="R2:S2"/>
    <mergeCell ref="V2:W2"/>
    <mergeCell ref="Z2:AA2"/>
    <mergeCell ref="AD2:AE2"/>
    <mergeCell ref="AK2:AL2"/>
    <mergeCell ref="AR2:AS2"/>
  </mergeCells>
  <pageMargins left="0.75" right="0.75" top="0.56999999999999995" bottom="0.56999999999999995" header="0.5" footer="0.5"/>
  <pageSetup scale="15" orientation="portrait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J47"/>
  <sheetViews>
    <sheetView showGridLines="0" topLeftCell="A12" workbookViewId="0">
      <selection activeCell="M39" sqref="M39"/>
    </sheetView>
  </sheetViews>
  <sheetFormatPr defaultColWidth="9.140625" defaultRowHeight="12.75" x14ac:dyDescent="0.2"/>
  <cols>
    <col min="1" max="1" width="13.5703125" bestFit="1" customWidth="1"/>
    <col min="3" max="3" width="9.5703125" bestFit="1" customWidth="1"/>
    <col min="4" max="4" width="8" customWidth="1"/>
    <col min="5" max="5" width="9.5703125" bestFit="1" customWidth="1"/>
    <col min="6" max="6" width="13.42578125" bestFit="1" customWidth="1"/>
    <col min="7" max="7" width="12.140625" bestFit="1" customWidth="1"/>
    <col min="13" max="13" width="9.5703125" bestFit="1" customWidth="1"/>
    <col min="14" max="14" width="7.85546875" bestFit="1" customWidth="1"/>
    <col min="16" max="16" width="8.42578125" customWidth="1"/>
    <col min="18" max="18" width="6.28515625" bestFit="1" customWidth="1"/>
    <col min="19" max="19" width="9.5703125" bestFit="1" customWidth="1"/>
    <col min="20" max="20" width="7.85546875" bestFit="1" customWidth="1"/>
    <col min="21" max="21" width="9.5703125" bestFit="1" customWidth="1"/>
    <col min="22" max="22" width="9.42578125" customWidth="1"/>
    <col min="23" max="23" width="9.5703125" bestFit="1" customWidth="1"/>
    <col min="24" max="24" width="6.28515625" customWidth="1"/>
    <col min="31" max="31" width="9.5703125" bestFit="1" customWidth="1"/>
    <col min="33" max="33" width="9.5703125" bestFit="1" customWidth="1"/>
  </cols>
  <sheetData>
    <row r="1" spans="1:36" ht="13.5" thickBot="1" x14ac:dyDescent="0.25">
      <c r="A1" s="234" t="s">
        <v>177</v>
      </c>
      <c r="B1" s="233">
        <f>MIN(TABLA!E4:E65)</f>
        <v>0.34200000000000003</v>
      </c>
      <c r="C1" s="130">
        <f>MAX(TABLA!E4:E65)</f>
        <v>0.65100000000000002</v>
      </c>
      <c r="D1" s="234" t="s">
        <v>178</v>
      </c>
      <c r="E1" s="233">
        <f>MIN(TABLA!L4:L65)</f>
        <v>0.01</v>
      </c>
      <c r="F1" s="130">
        <f>MAX(TABLA!L4:L65)</f>
        <v>8.2000000000000003E-2</v>
      </c>
      <c r="G1" s="232" t="s">
        <v>179</v>
      </c>
      <c r="I1" s="231">
        <f>AVERAGE(B7:B28)*$D$32</f>
        <v>4.990387499999998E-2</v>
      </c>
      <c r="J1" s="231">
        <f>AVERAGE(H6:H27)*$D$33</f>
        <v>5.1807500000000022E-3</v>
      </c>
      <c r="M1" s="234" t="s">
        <v>177</v>
      </c>
      <c r="N1" s="233">
        <f>MIN(TABLA!AE4:AE65)</f>
        <v>2.3E-2</v>
      </c>
      <c r="O1" s="130">
        <f>MAX(TABLA!AE4:AE65)</f>
        <v>6.6000000000000003E-2</v>
      </c>
      <c r="P1" s="234" t="s">
        <v>178</v>
      </c>
      <c r="Q1" s="233">
        <f>MIN(TABLA!AL4:AL65)</f>
        <v>2E-3</v>
      </c>
      <c r="R1" s="130">
        <f>MAX(TABLA!AL4:AL65)</f>
        <v>1.9E-2</v>
      </c>
      <c r="S1" s="232" t="s">
        <v>179</v>
      </c>
      <c r="U1" s="231">
        <f>AVERAGE(N6:N27)*$D$34</f>
        <v>8.6877272727272758E-3</v>
      </c>
      <c r="V1" s="231">
        <f>AVERAGE(T6:T27)*$D$35</f>
        <v>2.2111363636363643E-3</v>
      </c>
      <c r="Y1" s="234" t="s">
        <v>177</v>
      </c>
      <c r="Z1" s="233">
        <f>MIN(TABLA!AX4:AX65)</f>
        <v>18.288</v>
      </c>
      <c r="AA1" s="130">
        <f>MAX(TABLA!AX4:AX65)</f>
        <v>28.291</v>
      </c>
      <c r="AB1" s="234" t="s">
        <v>178</v>
      </c>
      <c r="AC1" s="233">
        <f>MIN(TABLA!BE4:BE65)</f>
        <v>0.67800000000000005</v>
      </c>
      <c r="AD1" s="130">
        <f>MAX(TABLA!BE4:BE65)</f>
        <v>4.569</v>
      </c>
      <c r="AE1" s="232" t="s">
        <v>179</v>
      </c>
      <c r="AG1" s="231"/>
      <c r="AH1" s="231">
        <f>AVERAGE(Z6:Z27)*$D$36</f>
        <v>1.5575884772727273</v>
      </c>
      <c r="AI1" s="231">
        <f>AVERAGE(AF6:AF27)*$D$37</f>
        <v>0.18375074999999999</v>
      </c>
    </row>
    <row r="2" spans="1:36" ht="13.5" thickBot="1" x14ac:dyDescent="0.25">
      <c r="A2" s="399" t="s">
        <v>180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1"/>
      <c r="M2" s="402" t="s">
        <v>4</v>
      </c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4"/>
      <c r="Y2" s="405" t="s">
        <v>5</v>
      </c>
      <c r="Z2" s="406"/>
      <c r="AA2" s="406"/>
      <c r="AB2" s="406"/>
      <c r="AC2" s="406"/>
      <c r="AD2" s="406"/>
      <c r="AE2" s="406"/>
      <c r="AF2" s="406"/>
      <c r="AG2" s="406"/>
      <c r="AH2" s="406"/>
      <c r="AI2" s="406"/>
      <c r="AJ2" s="407"/>
    </row>
    <row r="3" spans="1:36" ht="13.5" thickBot="1" x14ac:dyDescent="0.25">
      <c r="A3" s="399" t="s">
        <v>177</v>
      </c>
      <c r="B3" s="400"/>
      <c r="C3" s="400"/>
      <c r="D3" s="400"/>
      <c r="E3" s="400"/>
      <c r="F3" s="401"/>
      <c r="G3" s="400" t="s">
        <v>178</v>
      </c>
      <c r="H3" s="400"/>
      <c r="I3" s="400"/>
      <c r="J3" s="400"/>
      <c r="K3" s="400"/>
      <c r="L3" s="401"/>
      <c r="M3" s="402" t="s">
        <v>177</v>
      </c>
      <c r="N3" s="403"/>
      <c r="O3" s="403"/>
      <c r="P3" s="403"/>
      <c r="Q3" s="403"/>
      <c r="R3" s="404"/>
      <c r="S3" s="408" t="s">
        <v>178</v>
      </c>
      <c r="T3" s="408"/>
      <c r="U3" s="408"/>
      <c r="V3" s="408"/>
      <c r="W3" s="408"/>
      <c r="X3" s="408"/>
      <c r="Y3" s="409" t="s">
        <v>177</v>
      </c>
      <c r="Z3" s="410"/>
      <c r="AA3" s="410"/>
      <c r="AB3" s="410"/>
      <c r="AC3" s="410"/>
      <c r="AD3" s="411"/>
      <c r="AE3" s="410" t="s">
        <v>178</v>
      </c>
      <c r="AF3" s="410"/>
      <c r="AG3" s="410"/>
      <c r="AH3" s="410"/>
      <c r="AI3" s="410"/>
      <c r="AJ3" s="411"/>
    </row>
    <row r="4" spans="1:36" x14ac:dyDescent="0.2">
      <c r="A4" s="395" t="s">
        <v>181</v>
      </c>
      <c r="B4" s="398"/>
      <c r="C4" s="395" t="s">
        <v>182</v>
      </c>
      <c r="D4" s="398"/>
      <c r="E4" s="395" t="s">
        <v>183</v>
      </c>
      <c r="F4" s="398"/>
      <c r="G4" s="396" t="s">
        <v>181</v>
      </c>
      <c r="H4" s="398"/>
      <c r="I4" s="395" t="s">
        <v>182</v>
      </c>
      <c r="J4" s="398"/>
      <c r="K4" s="395" t="s">
        <v>183</v>
      </c>
      <c r="L4" s="396"/>
      <c r="M4" s="391" t="s">
        <v>181</v>
      </c>
      <c r="N4" s="393"/>
      <c r="O4" s="391" t="s">
        <v>182</v>
      </c>
      <c r="P4" s="392"/>
      <c r="Q4" s="397" t="s">
        <v>183</v>
      </c>
      <c r="R4" s="392"/>
      <c r="S4" s="397" t="s">
        <v>181</v>
      </c>
      <c r="T4" s="392"/>
      <c r="U4" s="391" t="s">
        <v>182</v>
      </c>
      <c r="V4" s="392"/>
      <c r="W4" s="391" t="s">
        <v>183</v>
      </c>
      <c r="X4" s="393"/>
      <c r="Y4" s="382" t="s">
        <v>181</v>
      </c>
      <c r="Z4" s="383"/>
      <c r="AA4" s="382" t="s">
        <v>182</v>
      </c>
      <c r="AB4" s="383"/>
      <c r="AC4" s="382" t="s">
        <v>183</v>
      </c>
      <c r="AD4" s="394"/>
      <c r="AE4" s="382" t="s">
        <v>181</v>
      </c>
      <c r="AF4" s="383"/>
      <c r="AG4" s="382" t="s">
        <v>182</v>
      </c>
      <c r="AH4" s="383"/>
      <c r="AI4" s="382" t="s">
        <v>183</v>
      </c>
      <c r="AJ4" s="383"/>
    </row>
    <row r="5" spans="1:36" ht="13.5" thickBot="1" x14ac:dyDescent="0.25">
      <c r="A5" s="225" t="s">
        <v>184</v>
      </c>
      <c r="B5" s="224" t="s">
        <v>185</v>
      </c>
      <c r="C5" s="225" t="s">
        <v>184</v>
      </c>
      <c r="D5" s="224" t="s">
        <v>186</v>
      </c>
      <c r="E5" s="225" t="s">
        <v>184</v>
      </c>
      <c r="F5" s="224" t="s">
        <v>186</v>
      </c>
      <c r="G5" s="228" t="s">
        <v>184</v>
      </c>
      <c r="H5" s="230" t="s">
        <v>185</v>
      </c>
      <c r="I5" s="229" t="s">
        <v>184</v>
      </c>
      <c r="J5" s="230" t="s">
        <v>186</v>
      </c>
      <c r="K5" s="229" t="s">
        <v>184</v>
      </c>
      <c r="L5" s="228" t="s">
        <v>186</v>
      </c>
      <c r="M5" s="225" t="s">
        <v>184</v>
      </c>
      <c r="N5" s="226" t="s">
        <v>185</v>
      </c>
      <c r="O5" s="225" t="s">
        <v>184</v>
      </c>
      <c r="P5" s="224" t="s">
        <v>186</v>
      </c>
      <c r="Q5" s="227" t="s">
        <v>184</v>
      </c>
      <c r="R5" s="224" t="s">
        <v>186</v>
      </c>
      <c r="S5" s="227" t="s">
        <v>184</v>
      </c>
      <c r="T5" s="224" t="s">
        <v>185</v>
      </c>
      <c r="U5" s="225" t="s">
        <v>184</v>
      </c>
      <c r="V5" s="224" t="s">
        <v>186</v>
      </c>
      <c r="W5" s="225" t="s">
        <v>184</v>
      </c>
      <c r="X5" s="226" t="s">
        <v>186</v>
      </c>
      <c r="Y5" s="225" t="s">
        <v>184</v>
      </c>
      <c r="Z5" s="224" t="s">
        <v>185</v>
      </c>
      <c r="AA5" s="225" t="s">
        <v>184</v>
      </c>
      <c r="AB5" s="224" t="s">
        <v>186</v>
      </c>
      <c r="AC5" s="225" t="s">
        <v>184</v>
      </c>
      <c r="AD5" s="226" t="s">
        <v>186</v>
      </c>
      <c r="AE5" s="225" t="s">
        <v>184</v>
      </c>
      <c r="AF5" s="224" t="s">
        <v>185</v>
      </c>
      <c r="AG5" s="225" t="s">
        <v>184</v>
      </c>
      <c r="AH5" s="224" t="s">
        <v>186</v>
      </c>
      <c r="AI5" s="225" t="s">
        <v>184</v>
      </c>
      <c r="AJ5" s="224" t="s">
        <v>186</v>
      </c>
    </row>
    <row r="6" spans="1:36" x14ac:dyDescent="0.2">
      <c r="A6" s="223">
        <f>B1-B1*0.6</f>
        <v>0.1368</v>
      </c>
      <c r="B6" s="221">
        <f>B1-B1*0.6</f>
        <v>0.1368</v>
      </c>
      <c r="C6" s="221">
        <f t="shared" ref="C6:C29" si="0">D6+$I$1</f>
        <v>0.18670387499999999</v>
      </c>
      <c r="D6" s="221">
        <f t="shared" ref="D6:D29" si="1">B6</f>
        <v>0.1368</v>
      </c>
      <c r="E6" s="221">
        <f t="shared" ref="E6:E29" si="2">A6-$I$1</f>
        <v>8.6896125000000018E-2</v>
      </c>
      <c r="F6" s="222">
        <f t="shared" ref="F6:F29" si="3">B6</f>
        <v>0.1368</v>
      </c>
      <c r="G6" s="221">
        <f>E1-E1*0.6</f>
        <v>4.0000000000000001E-3</v>
      </c>
      <c r="H6" s="221">
        <f>E1-E1*0.6</f>
        <v>4.0000000000000001E-3</v>
      </c>
      <c r="I6" s="221">
        <f t="shared" ref="I6:I29" si="4">G6-$J$1</f>
        <v>-1.1807500000000021E-3</v>
      </c>
      <c r="J6" s="221">
        <f t="shared" ref="J6:J29" si="5">H6</f>
        <v>4.0000000000000001E-3</v>
      </c>
      <c r="K6" s="221">
        <f t="shared" ref="K6:K29" si="6">G6+$J$1</f>
        <v>9.1807500000000014E-3</v>
      </c>
      <c r="L6" s="221">
        <f t="shared" ref="L6:L29" si="7">H6</f>
        <v>4.0000000000000001E-3</v>
      </c>
      <c r="M6" s="223">
        <f>N1-N1*0.4</f>
        <v>1.38E-2</v>
      </c>
      <c r="N6" s="221">
        <f>N1-N1*0.4</f>
        <v>1.38E-2</v>
      </c>
      <c r="O6" s="221">
        <f t="shared" ref="O6:O29" si="8">M6-$U$1</f>
        <v>5.112272727272724E-3</v>
      </c>
      <c r="P6" s="221">
        <f t="shared" ref="P6:P29" si="9">N6</f>
        <v>1.38E-2</v>
      </c>
      <c r="Q6" s="221">
        <f t="shared" ref="Q6:Q29" si="10">M6+$U$1</f>
        <v>2.2487727272727277E-2</v>
      </c>
      <c r="R6" s="222">
        <f t="shared" ref="R6:R29" si="11">N6</f>
        <v>1.38E-2</v>
      </c>
      <c r="S6" s="221">
        <f>Q1-Q1*0.4</f>
        <v>1.2000000000000001E-3</v>
      </c>
      <c r="T6" s="221">
        <f>Q1-Q1*0.4</f>
        <v>1.2000000000000001E-3</v>
      </c>
      <c r="U6" s="221">
        <f t="shared" ref="U6:U29" si="12">S6-$V$1</f>
        <v>-1.0111363636363642E-3</v>
      </c>
      <c r="V6" s="221">
        <f t="shared" ref="V6:V29" si="13">T6</f>
        <v>1.2000000000000001E-3</v>
      </c>
      <c r="W6" s="221">
        <f t="shared" ref="W6:W29" si="14">S6+$V$1</f>
        <v>3.4111363636363645E-3</v>
      </c>
      <c r="X6" s="221">
        <f t="shared" ref="X6:X29" si="15">T6</f>
        <v>1.2000000000000001E-3</v>
      </c>
      <c r="Y6" s="220">
        <f>Z1-Z1*0.05</f>
        <v>17.3736</v>
      </c>
      <c r="Z6" s="218">
        <f>Z1-Z1*0.05</f>
        <v>17.3736</v>
      </c>
      <c r="AA6" s="218">
        <f t="shared" ref="AA6:AA29" si="16">Y6-$AH$1</f>
        <v>15.816011522727273</v>
      </c>
      <c r="AB6" s="218">
        <f t="shared" ref="AB6:AB29" si="17">Z6</f>
        <v>17.3736</v>
      </c>
      <c r="AC6" s="218">
        <f t="shared" ref="AC6:AC29" si="18">Y6+$AH$1</f>
        <v>18.931188477272727</v>
      </c>
      <c r="AD6" s="217">
        <f t="shared" ref="AD6:AD29" si="19">Z6</f>
        <v>17.3736</v>
      </c>
      <c r="AE6" s="219">
        <f>AC1-AC1*0.05</f>
        <v>0.64410000000000001</v>
      </c>
      <c r="AF6" s="218">
        <f>AC1-AC1*0.05</f>
        <v>0.64410000000000001</v>
      </c>
      <c r="AG6" s="218">
        <f t="shared" ref="AG6:AG29" si="20">AE6-$AI$1</f>
        <v>0.46034925000000004</v>
      </c>
      <c r="AH6" s="218">
        <f t="shared" ref="AH6:AH29" si="21">AF6</f>
        <v>0.64410000000000001</v>
      </c>
      <c r="AI6" s="218">
        <f t="shared" ref="AI6:AI29" si="22">AE6+$AI$1</f>
        <v>0.82785074999999997</v>
      </c>
      <c r="AJ6" s="217">
        <f t="shared" ref="AJ6:AJ29" si="23">AF6</f>
        <v>0.64410000000000001</v>
      </c>
    </row>
    <row r="7" spans="1:36" x14ac:dyDescent="0.2">
      <c r="A7" s="216">
        <f t="shared" ref="A7:A27" si="24">A6+((($C$1+$C$1*0.25)-$A$6)/22)</f>
        <v>0.16757045454545455</v>
      </c>
      <c r="B7" s="84">
        <f t="shared" ref="B7:B27" si="25">A6+((($C$1+$C$1*0.25)-$A$6)/22)</f>
        <v>0.16757045454545455</v>
      </c>
      <c r="C7" s="84">
        <f t="shared" si="0"/>
        <v>0.21747432954545454</v>
      </c>
      <c r="D7" s="84">
        <f t="shared" si="1"/>
        <v>0.16757045454545455</v>
      </c>
      <c r="E7" s="84">
        <f t="shared" si="2"/>
        <v>0.11766657954545456</v>
      </c>
      <c r="F7" s="215">
        <f t="shared" si="3"/>
        <v>0.16757045454545455</v>
      </c>
      <c r="G7" s="84">
        <f t="shared" ref="G7:G27" si="26">G6+((($F$1+$F$1*0.15)-$G$6)/22)</f>
        <v>8.1045454545454546E-3</v>
      </c>
      <c r="H7" s="84">
        <f t="shared" ref="H7:H27" si="27">G6+((($F$1+$F$1*0.15)-$G$6)/22)</f>
        <v>8.1045454545454546E-3</v>
      </c>
      <c r="I7" s="84">
        <f t="shared" si="4"/>
        <v>2.9237954545454524E-3</v>
      </c>
      <c r="J7" s="84">
        <f t="shared" si="5"/>
        <v>8.1045454545454546E-3</v>
      </c>
      <c r="K7" s="84">
        <f t="shared" si="6"/>
        <v>1.3285295454545456E-2</v>
      </c>
      <c r="L7" s="84">
        <f t="shared" si="7"/>
        <v>8.1045454545454546E-3</v>
      </c>
      <c r="M7" s="216">
        <f t="shared" ref="M7:M27" si="28">M6+((($O$1+$O$1*0.15)-$M$6)/22)</f>
        <v>1.6622727272727272E-2</v>
      </c>
      <c r="N7" s="84">
        <f t="shared" ref="N7:N27" si="29">M6+((($O$1+$O$1*0.15)-$M$6)/22)</f>
        <v>1.6622727272727272E-2</v>
      </c>
      <c r="O7" s="84">
        <f t="shared" si="8"/>
        <v>7.9349999999999959E-3</v>
      </c>
      <c r="P7" s="84">
        <f t="shared" si="9"/>
        <v>1.6622727272727272E-2</v>
      </c>
      <c r="Q7" s="84">
        <f t="shared" si="10"/>
        <v>2.5310454545454546E-2</v>
      </c>
      <c r="R7" s="215">
        <f t="shared" si="11"/>
        <v>1.6622727272727272E-2</v>
      </c>
      <c r="S7" s="84">
        <f t="shared" ref="S7:S27" si="30">S6+((($R$1+$R$1*0.15)-$S$6)/22)</f>
        <v>2.1386363636363638E-3</v>
      </c>
      <c r="T7" s="84">
        <f t="shared" ref="T7:T27" si="31">S6+((($R$1+$R$1*0.15)-$S$6)/22)</f>
        <v>2.1386363636363638E-3</v>
      </c>
      <c r="U7" s="84">
        <f t="shared" si="12"/>
        <v>-7.2500000000000515E-5</v>
      </c>
      <c r="V7" s="84">
        <f t="shared" si="13"/>
        <v>2.1386363636363638E-3</v>
      </c>
      <c r="W7" s="84">
        <f t="shared" si="14"/>
        <v>4.3497727272727282E-3</v>
      </c>
      <c r="X7" s="84">
        <f t="shared" si="15"/>
        <v>2.1386363636363638E-3</v>
      </c>
      <c r="Y7" s="214">
        <f t="shared" ref="Y7:Y27" si="32">Y6+((($AA$1+$AA$1*0.25)-$Y$6)/22)</f>
        <v>18.191334090909091</v>
      </c>
      <c r="Z7" s="212">
        <f t="shared" ref="Z7:Z27" si="33">Y6+((($AA$1+$AA$1*0.25)-$Y$6)/22)</f>
        <v>18.191334090909091</v>
      </c>
      <c r="AA7" s="212">
        <f t="shared" si="16"/>
        <v>16.633745613636364</v>
      </c>
      <c r="AB7" s="212">
        <f t="shared" si="17"/>
        <v>18.191334090909091</v>
      </c>
      <c r="AC7" s="212">
        <f t="shared" si="18"/>
        <v>19.748922568181818</v>
      </c>
      <c r="AD7" s="211">
        <f t="shared" si="19"/>
        <v>18.191334090909091</v>
      </c>
      <c r="AE7" s="213">
        <f t="shared" ref="AE7:AE27" si="34">AE6+((($AD$1+$AD$1*0.25)-$AE$6)/22)</f>
        <v>0.87442500000000001</v>
      </c>
      <c r="AF7" s="212">
        <f t="shared" ref="AF7:AF27" si="35">AE6+((($AD$1+$AD$1*0.25)-$AE$6)/22)</f>
        <v>0.87442500000000001</v>
      </c>
      <c r="AG7" s="212">
        <f t="shared" si="20"/>
        <v>0.69067425000000005</v>
      </c>
      <c r="AH7" s="212">
        <f t="shared" si="21"/>
        <v>0.87442500000000001</v>
      </c>
      <c r="AI7" s="212">
        <f t="shared" si="22"/>
        <v>1.05817575</v>
      </c>
      <c r="AJ7" s="211">
        <f t="shared" si="23"/>
        <v>0.87442500000000001</v>
      </c>
    </row>
    <row r="8" spans="1:36" x14ac:dyDescent="0.2">
      <c r="A8" s="216">
        <f t="shared" si="24"/>
        <v>0.1983409090909091</v>
      </c>
      <c r="B8" s="84">
        <f t="shared" si="25"/>
        <v>0.1983409090909091</v>
      </c>
      <c r="C8" s="84">
        <f t="shared" si="0"/>
        <v>0.24824478409090908</v>
      </c>
      <c r="D8" s="84">
        <f t="shared" si="1"/>
        <v>0.1983409090909091</v>
      </c>
      <c r="E8" s="84">
        <f t="shared" si="2"/>
        <v>0.14843703409090911</v>
      </c>
      <c r="F8" s="215">
        <f t="shared" si="3"/>
        <v>0.1983409090909091</v>
      </c>
      <c r="G8" s="84">
        <f t="shared" si="26"/>
        <v>1.2209090909090909E-2</v>
      </c>
      <c r="H8" s="84">
        <f t="shared" si="27"/>
        <v>1.2209090909090909E-2</v>
      </c>
      <c r="I8" s="84">
        <f t="shared" si="4"/>
        <v>7.0283409090909068E-3</v>
      </c>
      <c r="J8" s="84">
        <f t="shared" si="5"/>
        <v>1.2209090909090909E-2</v>
      </c>
      <c r="K8" s="84">
        <f t="shared" si="6"/>
        <v>1.738984090909091E-2</v>
      </c>
      <c r="L8" s="84">
        <f t="shared" si="7"/>
        <v>1.2209090909090909E-2</v>
      </c>
      <c r="M8" s="216">
        <f t="shared" si="28"/>
        <v>1.9445454545454544E-2</v>
      </c>
      <c r="N8" s="84">
        <f t="shared" si="29"/>
        <v>1.9445454545454544E-2</v>
      </c>
      <c r="O8" s="84">
        <f t="shared" si="8"/>
        <v>1.0757727272727268E-2</v>
      </c>
      <c r="P8" s="84">
        <f t="shared" si="9"/>
        <v>1.9445454545454544E-2</v>
      </c>
      <c r="Q8" s="84">
        <f t="shared" si="10"/>
        <v>2.8133181818181821E-2</v>
      </c>
      <c r="R8" s="215">
        <f t="shared" si="11"/>
        <v>1.9445454545454544E-2</v>
      </c>
      <c r="S8" s="84">
        <f t="shared" si="30"/>
        <v>3.0772727272727275E-3</v>
      </c>
      <c r="T8" s="84">
        <f t="shared" si="31"/>
        <v>3.0772727272727275E-3</v>
      </c>
      <c r="U8" s="84">
        <f t="shared" si="12"/>
        <v>8.661363636363632E-4</v>
      </c>
      <c r="V8" s="84">
        <f t="shared" si="13"/>
        <v>3.0772727272727275E-3</v>
      </c>
      <c r="W8" s="84">
        <f t="shared" si="14"/>
        <v>5.2884090909090919E-3</v>
      </c>
      <c r="X8" s="84">
        <f t="shared" si="15"/>
        <v>3.0772727272727275E-3</v>
      </c>
      <c r="Y8" s="214">
        <f t="shared" si="32"/>
        <v>19.009068181818183</v>
      </c>
      <c r="Z8" s="212">
        <f t="shared" si="33"/>
        <v>19.009068181818183</v>
      </c>
      <c r="AA8" s="212">
        <f t="shared" si="16"/>
        <v>17.451479704545456</v>
      </c>
      <c r="AB8" s="212">
        <f t="shared" si="17"/>
        <v>19.009068181818183</v>
      </c>
      <c r="AC8" s="212">
        <f t="shared" si="18"/>
        <v>20.56665665909091</v>
      </c>
      <c r="AD8" s="211">
        <f t="shared" si="19"/>
        <v>19.009068181818183</v>
      </c>
      <c r="AE8" s="213">
        <f t="shared" si="34"/>
        <v>1.1047500000000001</v>
      </c>
      <c r="AF8" s="212">
        <f t="shared" si="35"/>
        <v>1.1047500000000001</v>
      </c>
      <c r="AG8" s="212">
        <f t="shared" si="20"/>
        <v>0.92099925000000016</v>
      </c>
      <c r="AH8" s="212">
        <f t="shared" si="21"/>
        <v>1.1047500000000001</v>
      </c>
      <c r="AI8" s="212">
        <f t="shared" si="22"/>
        <v>1.2885007500000001</v>
      </c>
      <c r="AJ8" s="211">
        <f t="shared" si="23"/>
        <v>1.1047500000000001</v>
      </c>
    </row>
    <row r="9" spans="1:36" x14ac:dyDescent="0.2">
      <c r="A9" s="216">
        <f t="shared" si="24"/>
        <v>0.22911136363636364</v>
      </c>
      <c r="B9" s="84">
        <f t="shared" si="25"/>
        <v>0.22911136363636364</v>
      </c>
      <c r="C9" s="84">
        <f t="shared" si="0"/>
        <v>0.27901523863636363</v>
      </c>
      <c r="D9" s="84">
        <f t="shared" si="1"/>
        <v>0.22911136363636364</v>
      </c>
      <c r="E9" s="84">
        <f t="shared" si="2"/>
        <v>0.17920748863636365</v>
      </c>
      <c r="F9" s="215">
        <f t="shared" si="3"/>
        <v>0.22911136363636364</v>
      </c>
      <c r="G9" s="84">
        <f t="shared" si="26"/>
        <v>1.6313636363636363E-2</v>
      </c>
      <c r="H9" s="84">
        <f t="shared" si="27"/>
        <v>1.6313636363636363E-2</v>
      </c>
      <c r="I9" s="84">
        <f t="shared" si="4"/>
        <v>1.1132886363636362E-2</v>
      </c>
      <c r="J9" s="84">
        <f t="shared" si="5"/>
        <v>1.6313636363636363E-2</v>
      </c>
      <c r="K9" s="84">
        <f t="shared" si="6"/>
        <v>2.1494386363636365E-2</v>
      </c>
      <c r="L9" s="84">
        <f t="shared" si="7"/>
        <v>1.6313636363636363E-2</v>
      </c>
      <c r="M9" s="216">
        <f t="shared" si="28"/>
        <v>2.2268181818181815E-2</v>
      </c>
      <c r="N9" s="84">
        <f t="shared" si="29"/>
        <v>2.2268181818181815E-2</v>
      </c>
      <c r="O9" s="84">
        <f t="shared" si="8"/>
        <v>1.358045454545454E-2</v>
      </c>
      <c r="P9" s="84">
        <f t="shared" si="9"/>
        <v>2.2268181818181815E-2</v>
      </c>
      <c r="Q9" s="84">
        <f t="shared" si="10"/>
        <v>3.0955909090909089E-2</v>
      </c>
      <c r="R9" s="215">
        <f t="shared" si="11"/>
        <v>2.2268181818181815E-2</v>
      </c>
      <c r="S9" s="84">
        <f t="shared" si="30"/>
        <v>4.0159090909090908E-3</v>
      </c>
      <c r="T9" s="84">
        <f t="shared" si="31"/>
        <v>4.0159090909090908E-3</v>
      </c>
      <c r="U9" s="84">
        <f t="shared" si="12"/>
        <v>1.8047727272727265E-3</v>
      </c>
      <c r="V9" s="84">
        <f t="shared" si="13"/>
        <v>4.0159090909090908E-3</v>
      </c>
      <c r="W9" s="84">
        <f t="shared" si="14"/>
        <v>6.2270454545454556E-3</v>
      </c>
      <c r="X9" s="84">
        <f t="shared" si="15"/>
        <v>4.0159090909090908E-3</v>
      </c>
      <c r="Y9" s="214">
        <f t="shared" si="32"/>
        <v>19.826802272727274</v>
      </c>
      <c r="Z9" s="212">
        <f t="shared" si="33"/>
        <v>19.826802272727274</v>
      </c>
      <c r="AA9" s="212">
        <f t="shared" si="16"/>
        <v>18.269213795454547</v>
      </c>
      <c r="AB9" s="212">
        <f t="shared" si="17"/>
        <v>19.826802272727274</v>
      </c>
      <c r="AC9" s="212">
        <f t="shared" si="18"/>
        <v>21.384390750000001</v>
      </c>
      <c r="AD9" s="211">
        <f t="shared" si="19"/>
        <v>19.826802272727274</v>
      </c>
      <c r="AE9" s="213">
        <f t="shared" si="34"/>
        <v>1.3350750000000002</v>
      </c>
      <c r="AF9" s="212">
        <f t="shared" si="35"/>
        <v>1.3350750000000002</v>
      </c>
      <c r="AG9" s="212">
        <f t="shared" si="20"/>
        <v>1.1513242500000003</v>
      </c>
      <c r="AH9" s="212">
        <f t="shared" si="21"/>
        <v>1.3350750000000002</v>
      </c>
      <c r="AI9" s="212">
        <f t="shared" si="22"/>
        <v>1.5188257500000002</v>
      </c>
      <c r="AJ9" s="211">
        <f t="shared" si="23"/>
        <v>1.3350750000000002</v>
      </c>
    </row>
    <row r="10" spans="1:36" x14ac:dyDescent="0.2">
      <c r="A10" s="216">
        <f t="shared" si="24"/>
        <v>0.25988181818181816</v>
      </c>
      <c r="B10" s="84">
        <f t="shared" si="25"/>
        <v>0.25988181818181816</v>
      </c>
      <c r="C10" s="84">
        <f t="shared" si="0"/>
        <v>0.30978569318181814</v>
      </c>
      <c r="D10" s="84">
        <f t="shared" si="1"/>
        <v>0.25988181818181816</v>
      </c>
      <c r="E10" s="84">
        <f t="shared" si="2"/>
        <v>0.20997794318181817</v>
      </c>
      <c r="F10" s="215">
        <f t="shared" si="3"/>
        <v>0.25988181818181816</v>
      </c>
      <c r="G10" s="84">
        <f t="shared" si="26"/>
        <v>2.0418181818181818E-2</v>
      </c>
      <c r="H10" s="84">
        <f t="shared" si="27"/>
        <v>2.0418181818181818E-2</v>
      </c>
      <c r="I10" s="84">
        <f t="shared" si="4"/>
        <v>1.5237431818181817E-2</v>
      </c>
      <c r="J10" s="84">
        <f t="shared" si="5"/>
        <v>2.0418181818181818E-2</v>
      </c>
      <c r="K10" s="84">
        <f t="shared" si="6"/>
        <v>2.5598931818181819E-2</v>
      </c>
      <c r="L10" s="84">
        <f t="shared" si="7"/>
        <v>2.0418181818181818E-2</v>
      </c>
      <c r="M10" s="216">
        <f t="shared" si="28"/>
        <v>2.5090909090909087E-2</v>
      </c>
      <c r="N10" s="84">
        <f t="shared" si="29"/>
        <v>2.5090909090909087E-2</v>
      </c>
      <c r="O10" s="84">
        <f t="shared" si="8"/>
        <v>1.640318181818181E-2</v>
      </c>
      <c r="P10" s="84">
        <f t="shared" si="9"/>
        <v>2.5090909090909087E-2</v>
      </c>
      <c r="Q10" s="84">
        <f t="shared" si="10"/>
        <v>3.3778636363636365E-2</v>
      </c>
      <c r="R10" s="215">
        <f t="shared" si="11"/>
        <v>2.5090909090909087E-2</v>
      </c>
      <c r="S10" s="84">
        <f t="shared" si="30"/>
        <v>4.9545454545454545E-3</v>
      </c>
      <c r="T10" s="84">
        <f t="shared" si="31"/>
        <v>4.9545454545454545E-3</v>
      </c>
      <c r="U10" s="84">
        <f t="shared" si="12"/>
        <v>2.7434090909090902E-3</v>
      </c>
      <c r="V10" s="84">
        <f t="shared" si="13"/>
        <v>4.9545454545454545E-3</v>
      </c>
      <c r="W10" s="84">
        <f t="shared" si="14"/>
        <v>7.1656818181818193E-3</v>
      </c>
      <c r="X10" s="84">
        <f t="shared" si="15"/>
        <v>4.9545454545454545E-3</v>
      </c>
      <c r="Y10" s="214">
        <f t="shared" si="32"/>
        <v>20.644536363636366</v>
      </c>
      <c r="Z10" s="212">
        <f t="shared" si="33"/>
        <v>20.644536363636366</v>
      </c>
      <c r="AA10" s="212">
        <f t="shared" si="16"/>
        <v>19.086947886363639</v>
      </c>
      <c r="AB10" s="212">
        <f t="shared" si="17"/>
        <v>20.644536363636366</v>
      </c>
      <c r="AC10" s="212">
        <f t="shared" si="18"/>
        <v>22.202124840909093</v>
      </c>
      <c r="AD10" s="211">
        <f t="shared" si="19"/>
        <v>20.644536363636366</v>
      </c>
      <c r="AE10" s="213">
        <f t="shared" si="34"/>
        <v>1.5654000000000003</v>
      </c>
      <c r="AF10" s="212">
        <f t="shared" si="35"/>
        <v>1.5654000000000003</v>
      </c>
      <c r="AG10" s="212">
        <f t="shared" si="20"/>
        <v>1.3816492500000004</v>
      </c>
      <c r="AH10" s="212">
        <f t="shared" si="21"/>
        <v>1.5654000000000003</v>
      </c>
      <c r="AI10" s="212">
        <f t="shared" si="22"/>
        <v>1.7491507500000003</v>
      </c>
      <c r="AJ10" s="211">
        <f t="shared" si="23"/>
        <v>1.5654000000000003</v>
      </c>
    </row>
    <row r="11" spans="1:36" x14ac:dyDescent="0.2">
      <c r="A11" s="216">
        <f t="shared" si="24"/>
        <v>0.29065227272727268</v>
      </c>
      <c r="B11" s="84">
        <f t="shared" si="25"/>
        <v>0.29065227272727268</v>
      </c>
      <c r="C11" s="84">
        <f t="shared" si="0"/>
        <v>0.34055614772727266</v>
      </c>
      <c r="D11" s="84">
        <f t="shared" si="1"/>
        <v>0.29065227272727268</v>
      </c>
      <c r="E11" s="84">
        <f t="shared" si="2"/>
        <v>0.24074839772727269</v>
      </c>
      <c r="F11" s="215">
        <f t="shared" si="3"/>
        <v>0.29065227272727268</v>
      </c>
      <c r="G11" s="84">
        <f t="shared" si="26"/>
        <v>2.4522727272727272E-2</v>
      </c>
      <c r="H11" s="84">
        <f t="shared" si="27"/>
        <v>2.4522727272727272E-2</v>
      </c>
      <c r="I11" s="84">
        <f t="shared" si="4"/>
        <v>1.9341977272727271E-2</v>
      </c>
      <c r="J11" s="84">
        <f t="shared" si="5"/>
        <v>2.4522727272727272E-2</v>
      </c>
      <c r="K11" s="84">
        <f t="shared" si="6"/>
        <v>2.9703477272727274E-2</v>
      </c>
      <c r="L11" s="84">
        <f t="shared" si="7"/>
        <v>2.4522727272727272E-2</v>
      </c>
      <c r="M11" s="216">
        <f t="shared" si="28"/>
        <v>2.7913636363636359E-2</v>
      </c>
      <c r="N11" s="84">
        <f t="shared" si="29"/>
        <v>2.7913636363636359E-2</v>
      </c>
      <c r="O11" s="84">
        <f t="shared" si="8"/>
        <v>1.9225909090909085E-2</v>
      </c>
      <c r="P11" s="84">
        <f t="shared" si="9"/>
        <v>2.7913636363636359E-2</v>
      </c>
      <c r="Q11" s="84">
        <f t="shared" si="10"/>
        <v>3.6601363636363633E-2</v>
      </c>
      <c r="R11" s="215">
        <f t="shared" si="11"/>
        <v>2.7913636363636359E-2</v>
      </c>
      <c r="S11" s="84">
        <f t="shared" si="30"/>
        <v>5.8931818181818182E-3</v>
      </c>
      <c r="T11" s="84">
        <f t="shared" si="31"/>
        <v>5.8931818181818182E-3</v>
      </c>
      <c r="U11" s="84">
        <f t="shared" si="12"/>
        <v>3.6820454545454539E-3</v>
      </c>
      <c r="V11" s="84">
        <f t="shared" si="13"/>
        <v>5.8931818181818182E-3</v>
      </c>
      <c r="W11" s="84">
        <f t="shared" si="14"/>
        <v>8.104318181818183E-3</v>
      </c>
      <c r="X11" s="84">
        <f t="shared" si="15"/>
        <v>5.8931818181818182E-3</v>
      </c>
      <c r="Y11" s="214">
        <f t="shared" si="32"/>
        <v>21.462270454545457</v>
      </c>
      <c r="Z11" s="212">
        <f t="shared" si="33"/>
        <v>21.462270454545457</v>
      </c>
      <c r="AA11" s="212">
        <f t="shared" si="16"/>
        <v>19.90468197727273</v>
      </c>
      <c r="AB11" s="212">
        <f t="shared" si="17"/>
        <v>21.462270454545457</v>
      </c>
      <c r="AC11" s="212">
        <f t="shared" si="18"/>
        <v>23.019858931818185</v>
      </c>
      <c r="AD11" s="211">
        <f t="shared" si="19"/>
        <v>21.462270454545457</v>
      </c>
      <c r="AE11" s="213">
        <f t="shared" si="34"/>
        <v>1.7957250000000005</v>
      </c>
      <c r="AF11" s="212">
        <f t="shared" si="35"/>
        <v>1.7957250000000005</v>
      </c>
      <c r="AG11" s="212">
        <f t="shared" si="20"/>
        <v>1.6119742500000005</v>
      </c>
      <c r="AH11" s="212">
        <f t="shared" si="21"/>
        <v>1.7957250000000005</v>
      </c>
      <c r="AI11" s="212">
        <f t="shared" si="22"/>
        <v>1.9794757500000004</v>
      </c>
      <c r="AJ11" s="211">
        <f t="shared" si="23"/>
        <v>1.7957250000000005</v>
      </c>
    </row>
    <row r="12" spans="1:36" x14ac:dyDescent="0.2">
      <c r="A12" s="216">
        <f t="shared" si="24"/>
        <v>0.32142272727272719</v>
      </c>
      <c r="B12" s="84">
        <f t="shared" si="25"/>
        <v>0.32142272727272719</v>
      </c>
      <c r="C12" s="84">
        <f t="shared" si="0"/>
        <v>0.37132660227272718</v>
      </c>
      <c r="D12" s="84">
        <f t="shared" si="1"/>
        <v>0.32142272727272719</v>
      </c>
      <c r="E12" s="84">
        <f t="shared" si="2"/>
        <v>0.27151885227272721</v>
      </c>
      <c r="F12" s="215">
        <f t="shared" si="3"/>
        <v>0.32142272727272719</v>
      </c>
      <c r="G12" s="84">
        <f t="shared" si="26"/>
        <v>2.8627272727272727E-2</v>
      </c>
      <c r="H12" s="84">
        <f t="shared" si="27"/>
        <v>2.8627272727272727E-2</v>
      </c>
      <c r="I12" s="84">
        <f t="shared" si="4"/>
        <v>2.3446522727272726E-2</v>
      </c>
      <c r="J12" s="84">
        <f t="shared" si="5"/>
        <v>2.8627272727272727E-2</v>
      </c>
      <c r="K12" s="84">
        <f t="shared" si="6"/>
        <v>3.3808022727272728E-2</v>
      </c>
      <c r="L12" s="84">
        <f t="shared" si="7"/>
        <v>2.8627272727272727E-2</v>
      </c>
      <c r="M12" s="216">
        <f t="shared" si="28"/>
        <v>3.0736363636363631E-2</v>
      </c>
      <c r="N12" s="84">
        <f t="shared" si="29"/>
        <v>3.0736363636363631E-2</v>
      </c>
      <c r="O12" s="84">
        <f t="shared" si="8"/>
        <v>2.2048636363636354E-2</v>
      </c>
      <c r="P12" s="84">
        <f t="shared" si="9"/>
        <v>3.0736363636363631E-2</v>
      </c>
      <c r="Q12" s="84">
        <f t="shared" si="10"/>
        <v>3.9424090909090909E-2</v>
      </c>
      <c r="R12" s="215">
        <f t="shared" si="11"/>
        <v>3.0736363636363631E-2</v>
      </c>
      <c r="S12" s="84">
        <f t="shared" si="30"/>
        <v>6.831818181818182E-3</v>
      </c>
      <c r="T12" s="84">
        <f t="shared" si="31"/>
        <v>6.831818181818182E-3</v>
      </c>
      <c r="U12" s="84">
        <f t="shared" si="12"/>
        <v>4.6206818181818172E-3</v>
      </c>
      <c r="V12" s="84">
        <f t="shared" si="13"/>
        <v>6.831818181818182E-3</v>
      </c>
      <c r="W12" s="84">
        <f t="shared" si="14"/>
        <v>9.0429545454545467E-3</v>
      </c>
      <c r="X12" s="84">
        <f t="shared" si="15"/>
        <v>6.831818181818182E-3</v>
      </c>
      <c r="Y12" s="214">
        <f t="shared" si="32"/>
        <v>22.280004545454549</v>
      </c>
      <c r="Z12" s="212">
        <f t="shared" si="33"/>
        <v>22.280004545454549</v>
      </c>
      <c r="AA12" s="212">
        <f t="shared" si="16"/>
        <v>20.722416068181822</v>
      </c>
      <c r="AB12" s="212">
        <f t="shared" si="17"/>
        <v>22.280004545454549</v>
      </c>
      <c r="AC12" s="212">
        <f t="shared" si="18"/>
        <v>23.837593022727276</v>
      </c>
      <c r="AD12" s="211">
        <f t="shared" si="19"/>
        <v>22.280004545454549</v>
      </c>
      <c r="AE12" s="213">
        <f t="shared" si="34"/>
        <v>2.0260500000000006</v>
      </c>
      <c r="AF12" s="212">
        <f t="shared" si="35"/>
        <v>2.0260500000000006</v>
      </c>
      <c r="AG12" s="212">
        <f t="shared" si="20"/>
        <v>1.8422992500000006</v>
      </c>
      <c r="AH12" s="212">
        <f t="shared" si="21"/>
        <v>2.0260500000000006</v>
      </c>
      <c r="AI12" s="212">
        <f t="shared" si="22"/>
        <v>2.2098007500000008</v>
      </c>
      <c r="AJ12" s="211">
        <f t="shared" si="23"/>
        <v>2.0260500000000006</v>
      </c>
    </row>
    <row r="13" spans="1:36" x14ac:dyDescent="0.2">
      <c r="A13" s="216">
        <f t="shared" si="24"/>
        <v>0.35219318181818171</v>
      </c>
      <c r="B13" s="84">
        <f t="shared" si="25"/>
        <v>0.35219318181818171</v>
      </c>
      <c r="C13" s="84">
        <f t="shared" si="0"/>
        <v>0.4020970568181817</v>
      </c>
      <c r="D13" s="84">
        <f t="shared" si="1"/>
        <v>0.35219318181818171</v>
      </c>
      <c r="E13" s="84">
        <f t="shared" si="2"/>
        <v>0.30228930681818172</v>
      </c>
      <c r="F13" s="215">
        <f t="shared" si="3"/>
        <v>0.35219318181818171</v>
      </c>
      <c r="G13" s="84">
        <f t="shared" si="26"/>
        <v>3.2731818181818181E-2</v>
      </c>
      <c r="H13" s="84">
        <f t="shared" si="27"/>
        <v>3.2731818181818181E-2</v>
      </c>
      <c r="I13" s="84">
        <f t="shared" si="4"/>
        <v>2.755106818181818E-2</v>
      </c>
      <c r="J13" s="84">
        <f t="shared" si="5"/>
        <v>3.2731818181818181E-2</v>
      </c>
      <c r="K13" s="84">
        <f t="shared" si="6"/>
        <v>3.7912568181818186E-2</v>
      </c>
      <c r="L13" s="84">
        <f t="shared" si="7"/>
        <v>3.2731818181818181E-2</v>
      </c>
      <c r="M13" s="216">
        <f t="shared" si="28"/>
        <v>3.3559090909090906E-2</v>
      </c>
      <c r="N13" s="84">
        <f t="shared" si="29"/>
        <v>3.3559090909090906E-2</v>
      </c>
      <c r="O13" s="84">
        <f t="shared" si="8"/>
        <v>2.4871363636363629E-2</v>
      </c>
      <c r="P13" s="84">
        <f t="shared" si="9"/>
        <v>3.3559090909090906E-2</v>
      </c>
      <c r="Q13" s="84">
        <f t="shared" si="10"/>
        <v>4.2246818181818184E-2</v>
      </c>
      <c r="R13" s="215">
        <f t="shared" si="11"/>
        <v>3.3559090909090906E-2</v>
      </c>
      <c r="S13" s="84">
        <f t="shared" si="30"/>
        <v>7.7704545454545457E-3</v>
      </c>
      <c r="T13" s="84">
        <f t="shared" si="31"/>
        <v>7.7704545454545457E-3</v>
      </c>
      <c r="U13" s="84">
        <f t="shared" si="12"/>
        <v>5.5593181818181809E-3</v>
      </c>
      <c r="V13" s="84">
        <f t="shared" si="13"/>
        <v>7.7704545454545457E-3</v>
      </c>
      <c r="W13" s="84">
        <f t="shared" si="14"/>
        <v>9.9815909090909104E-3</v>
      </c>
      <c r="X13" s="84">
        <f t="shared" si="15"/>
        <v>7.7704545454545457E-3</v>
      </c>
      <c r="Y13" s="214">
        <f t="shared" si="32"/>
        <v>23.097738636363641</v>
      </c>
      <c r="Z13" s="212">
        <f t="shared" si="33"/>
        <v>23.097738636363641</v>
      </c>
      <c r="AA13" s="212">
        <f t="shared" si="16"/>
        <v>21.540150159090913</v>
      </c>
      <c r="AB13" s="212">
        <f t="shared" si="17"/>
        <v>23.097738636363641</v>
      </c>
      <c r="AC13" s="212">
        <f t="shared" si="18"/>
        <v>24.655327113636368</v>
      </c>
      <c r="AD13" s="211">
        <f t="shared" si="19"/>
        <v>23.097738636363641</v>
      </c>
      <c r="AE13" s="213">
        <f t="shared" si="34"/>
        <v>2.2563750000000007</v>
      </c>
      <c r="AF13" s="212">
        <f t="shared" si="35"/>
        <v>2.2563750000000007</v>
      </c>
      <c r="AG13" s="212">
        <f t="shared" si="20"/>
        <v>2.0726242500000005</v>
      </c>
      <c r="AH13" s="212">
        <f t="shared" si="21"/>
        <v>2.2563750000000007</v>
      </c>
      <c r="AI13" s="212">
        <f t="shared" si="22"/>
        <v>2.4401257500000009</v>
      </c>
      <c r="AJ13" s="211">
        <f t="shared" si="23"/>
        <v>2.2563750000000007</v>
      </c>
    </row>
    <row r="14" spans="1:36" x14ac:dyDescent="0.2">
      <c r="A14" s="216">
        <f t="shared" si="24"/>
        <v>0.38296363636363623</v>
      </c>
      <c r="B14" s="84">
        <f t="shared" si="25"/>
        <v>0.38296363636363623</v>
      </c>
      <c r="C14" s="84">
        <f t="shared" si="0"/>
        <v>0.43286751136363621</v>
      </c>
      <c r="D14" s="84">
        <f t="shared" si="1"/>
        <v>0.38296363636363623</v>
      </c>
      <c r="E14" s="84">
        <f t="shared" si="2"/>
        <v>0.33305976136363624</v>
      </c>
      <c r="F14" s="215">
        <f t="shared" si="3"/>
        <v>0.38296363636363623</v>
      </c>
      <c r="G14" s="84">
        <f t="shared" si="26"/>
        <v>3.6836363636363639E-2</v>
      </c>
      <c r="H14" s="84">
        <f t="shared" si="27"/>
        <v>3.6836363636363639E-2</v>
      </c>
      <c r="I14" s="84">
        <f t="shared" si="4"/>
        <v>3.1655613636363635E-2</v>
      </c>
      <c r="J14" s="84">
        <f t="shared" si="5"/>
        <v>3.6836363636363639E-2</v>
      </c>
      <c r="K14" s="84">
        <f t="shared" si="6"/>
        <v>4.2017113636363644E-2</v>
      </c>
      <c r="L14" s="84">
        <f t="shared" si="7"/>
        <v>3.6836363636363639E-2</v>
      </c>
      <c r="M14" s="216">
        <f t="shared" si="28"/>
        <v>3.6381818181818182E-2</v>
      </c>
      <c r="N14" s="84">
        <f t="shared" si="29"/>
        <v>3.6381818181818182E-2</v>
      </c>
      <c r="O14" s="84">
        <f t="shared" si="8"/>
        <v>2.7694090909090904E-2</v>
      </c>
      <c r="P14" s="84">
        <f t="shared" si="9"/>
        <v>3.6381818181818182E-2</v>
      </c>
      <c r="Q14" s="84">
        <f t="shared" si="10"/>
        <v>4.5069545454545459E-2</v>
      </c>
      <c r="R14" s="215">
        <f t="shared" si="11"/>
        <v>3.6381818181818182E-2</v>
      </c>
      <c r="S14" s="84">
        <f t="shared" si="30"/>
        <v>8.7090909090909094E-3</v>
      </c>
      <c r="T14" s="84">
        <f t="shared" si="31"/>
        <v>8.7090909090909094E-3</v>
      </c>
      <c r="U14" s="84">
        <f t="shared" si="12"/>
        <v>6.4979545454545446E-3</v>
      </c>
      <c r="V14" s="84">
        <f t="shared" si="13"/>
        <v>8.7090909090909094E-3</v>
      </c>
      <c r="W14" s="84">
        <f t="shared" si="14"/>
        <v>1.0920227272727274E-2</v>
      </c>
      <c r="X14" s="84">
        <f t="shared" si="15"/>
        <v>8.7090909090909094E-3</v>
      </c>
      <c r="Y14" s="214">
        <f t="shared" si="32"/>
        <v>23.915472727272732</v>
      </c>
      <c r="Z14" s="212">
        <f t="shared" si="33"/>
        <v>23.915472727272732</v>
      </c>
      <c r="AA14" s="212">
        <f t="shared" si="16"/>
        <v>22.357884250000005</v>
      </c>
      <c r="AB14" s="212">
        <f t="shared" si="17"/>
        <v>23.915472727272732</v>
      </c>
      <c r="AC14" s="212">
        <f t="shared" si="18"/>
        <v>25.473061204545459</v>
      </c>
      <c r="AD14" s="211">
        <f t="shared" si="19"/>
        <v>23.915472727272732</v>
      </c>
      <c r="AE14" s="213">
        <f t="shared" si="34"/>
        <v>2.4867000000000008</v>
      </c>
      <c r="AF14" s="212">
        <f t="shared" si="35"/>
        <v>2.4867000000000008</v>
      </c>
      <c r="AG14" s="212">
        <f t="shared" si="20"/>
        <v>2.3029492500000006</v>
      </c>
      <c r="AH14" s="212">
        <f t="shared" si="21"/>
        <v>2.4867000000000008</v>
      </c>
      <c r="AI14" s="212">
        <f t="shared" si="22"/>
        <v>2.670450750000001</v>
      </c>
      <c r="AJ14" s="211">
        <f t="shared" si="23"/>
        <v>2.4867000000000008</v>
      </c>
    </row>
    <row r="15" spans="1:36" x14ac:dyDescent="0.2">
      <c r="A15" s="216">
        <f t="shared" si="24"/>
        <v>0.41373409090909075</v>
      </c>
      <c r="B15" s="84">
        <f t="shared" si="25"/>
        <v>0.41373409090909075</v>
      </c>
      <c r="C15" s="84">
        <f t="shared" si="0"/>
        <v>0.46363796590909073</v>
      </c>
      <c r="D15" s="84">
        <f t="shared" si="1"/>
        <v>0.41373409090909075</v>
      </c>
      <c r="E15" s="84">
        <f t="shared" si="2"/>
        <v>0.36383021590909076</v>
      </c>
      <c r="F15" s="215">
        <f t="shared" si="3"/>
        <v>0.41373409090909075</v>
      </c>
      <c r="G15" s="84">
        <f t="shared" si="26"/>
        <v>4.0940909090909097E-2</v>
      </c>
      <c r="H15" s="84">
        <f t="shared" si="27"/>
        <v>4.0940909090909097E-2</v>
      </c>
      <c r="I15" s="84">
        <f t="shared" si="4"/>
        <v>3.5760159090909092E-2</v>
      </c>
      <c r="J15" s="84">
        <f t="shared" si="5"/>
        <v>4.0940909090909097E-2</v>
      </c>
      <c r="K15" s="84">
        <f t="shared" si="6"/>
        <v>4.6121659090909102E-2</v>
      </c>
      <c r="L15" s="84">
        <f t="shared" si="7"/>
        <v>4.0940909090909097E-2</v>
      </c>
      <c r="M15" s="216">
        <f t="shared" si="28"/>
        <v>3.9204545454545457E-2</v>
      </c>
      <c r="N15" s="84">
        <f t="shared" si="29"/>
        <v>3.9204545454545457E-2</v>
      </c>
      <c r="O15" s="84">
        <f t="shared" si="8"/>
        <v>3.051681818181818E-2</v>
      </c>
      <c r="P15" s="84">
        <f t="shared" si="9"/>
        <v>3.9204545454545457E-2</v>
      </c>
      <c r="Q15" s="84">
        <f t="shared" si="10"/>
        <v>4.7892272727272735E-2</v>
      </c>
      <c r="R15" s="215">
        <f t="shared" si="11"/>
        <v>3.9204545454545457E-2</v>
      </c>
      <c r="S15" s="84">
        <f t="shared" si="30"/>
        <v>9.6477272727272731E-3</v>
      </c>
      <c r="T15" s="84">
        <f t="shared" si="31"/>
        <v>9.6477272727272731E-3</v>
      </c>
      <c r="U15" s="84">
        <f t="shared" si="12"/>
        <v>7.4365909090909083E-3</v>
      </c>
      <c r="V15" s="84">
        <f t="shared" si="13"/>
        <v>9.6477272727272731E-3</v>
      </c>
      <c r="W15" s="84">
        <f t="shared" si="14"/>
        <v>1.1858863636363638E-2</v>
      </c>
      <c r="X15" s="84">
        <f t="shared" si="15"/>
        <v>9.6477272727272731E-3</v>
      </c>
      <c r="Y15" s="214">
        <f t="shared" si="32"/>
        <v>24.733206818181824</v>
      </c>
      <c r="Z15" s="212">
        <f t="shared" si="33"/>
        <v>24.733206818181824</v>
      </c>
      <c r="AA15" s="212">
        <f t="shared" si="16"/>
        <v>23.175618340909097</v>
      </c>
      <c r="AB15" s="212">
        <f t="shared" si="17"/>
        <v>24.733206818181824</v>
      </c>
      <c r="AC15" s="212">
        <f t="shared" si="18"/>
        <v>26.290795295454551</v>
      </c>
      <c r="AD15" s="211">
        <f t="shared" si="19"/>
        <v>24.733206818181824</v>
      </c>
      <c r="AE15" s="213">
        <f t="shared" si="34"/>
        <v>2.7170250000000009</v>
      </c>
      <c r="AF15" s="212">
        <f t="shared" si="35"/>
        <v>2.7170250000000009</v>
      </c>
      <c r="AG15" s="212">
        <f t="shared" si="20"/>
        <v>2.5332742500000007</v>
      </c>
      <c r="AH15" s="212">
        <f t="shared" si="21"/>
        <v>2.7170250000000009</v>
      </c>
      <c r="AI15" s="212">
        <f t="shared" si="22"/>
        <v>2.9007757500000011</v>
      </c>
      <c r="AJ15" s="211">
        <f t="shared" si="23"/>
        <v>2.7170250000000009</v>
      </c>
    </row>
    <row r="16" spans="1:36" x14ac:dyDescent="0.2">
      <c r="A16" s="216">
        <f t="shared" si="24"/>
        <v>0.44450454545454526</v>
      </c>
      <c r="B16" s="84">
        <f t="shared" si="25"/>
        <v>0.44450454545454526</v>
      </c>
      <c r="C16" s="84">
        <f t="shared" si="0"/>
        <v>0.49440842045454525</v>
      </c>
      <c r="D16" s="84">
        <f t="shared" si="1"/>
        <v>0.44450454545454526</v>
      </c>
      <c r="E16" s="84">
        <f t="shared" si="2"/>
        <v>0.39460067045454528</v>
      </c>
      <c r="F16" s="215">
        <f t="shared" si="3"/>
        <v>0.44450454545454526</v>
      </c>
      <c r="G16" s="84">
        <f t="shared" si="26"/>
        <v>4.5045454545454555E-2</v>
      </c>
      <c r="H16" s="84">
        <f t="shared" si="27"/>
        <v>4.5045454545454555E-2</v>
      </c>
      <c r="I16" s="84">
        <f t="shared" si="4"/>
        <v>3.986470454545455E-2</v>
      </c>
      <c r="J16" s="84">
        <f t="shared" si="5"/>
        <v>4.5045454545454555E-2</v>
      </c>
      <c r="K16" s="84">
        <f t="shared" si="6"/>
        <v>5.022620454545456E-2</v>
      </c>
      <c r="L16" s="84">
        <f t="shared" si="7"/>
        <v>4.5045454545454555E-2</v>
      </c>
      <c r="M16" s="216">
        <f t="shared" si="28"/>
        <v>4.2027272727272733E-2</v>
      </c>
      <c r="N16" s="84">
        <f t="shared" si="29"/>
        <v>4.2027272727272733E-2</v>
      </c>
      <c r="O16" s="84">
        <f t="shared" si="8"/>
        <v>3.3339545454545455E-2</v>
      </c>
      <c r="P16" s="84">
        <f t="shared" si="9"/>
        <v>4.2027272727272733E-2</v>
      </c>
      <c r="Q16" s="84">
        <f t="shared" si="10"/>
        <v>5.071500000000001E-2</v>
      </c>
      <c r="R16" s="215">
        <f t="shared" si="11"/>
        <v>4.2027272727272733E-2</v>
      </c>
      <c r="S16" s="84">
        <f t="shared" si="30"/>
        <v>1.0586363636363637E-2</v>
      </c>
      <c r="T16" s="84">
        <f t="shared" si="31"/>
        <v>1.0586363636363637E-2</v>
      </c>
      <c r="U16" s="84">
        <f t="shared" si="12"/>
        <v>8.375227272727272E-3</v>
      </c>
      <c r="V16" s="84">
        <f t="shared" si="13"/>
        <v>1.0586363636363637E-2</v>
      </c>
      <c r="W16" s="84">
        <f t="shared" si="14"/>
        <v>1.2797500000000002E-2</v>
      </c>
      <c r="X16" s="84">
        <f t="shared" si="15"/>
        <v>1.0586363636363637E-2</v>
      </c>
      <c r="Y16" s="214">
        <f t="shared" si="32"/>
        <v>25.550940909090915</v>
      </c>
      <c r="Z16" s="212">
        <f t="shared" si="33"/>
        <v>25.550940909090915</v>
      </c>
      <c r="AA16" s="212">
        <f t="shared" si="16"/>
        <v>23.993352431818188</v>
      </c>
      <c r="AB16" s="212">
        <f t="shared" si="17"/>
        <v>25.550940909090915</v>
      </c>
      <c r="AC16" s="212">
        <f t="shared" si="18"/>
        <v>27.108529386363642</v>
      </c>
      <c r="AD16" s="211">
        <f t="shared" si="19"/>
        <v>25.550940909090915</v>
      </c>
      <c r="AE16" s="213">
        <f t="shared" si="34"/>
        <v>2.947350000000001</v>
      </c>
      <c r="AF16" s="212">
        <f t="shared" si="35"/>
        <v>2.947350000000001</v>
      </c>
      <c r="AG16" s="212">
        <f t="shared" si="20"/>
        <v>2.7635992500000008</v>
      </c>
      <c r="AH16" s="212">
        <f t="shared" si="21"/>
        <v>2.947350000000001</v>
      </c>
      <c r="AI16" s="212">
        <f t="shared" si="22"/>
        <v>3.1311007500000012</v>
      </c>
      <c r="AJ16" s="211">
        <f t="shared" si="23"/>
        <v>2.947350000000001</v>
      </c>
    </row>
    <row r="17" spans="1:36" x14ac:dyDescent="0.2">
      <c r="A17" s="216">
        <f t="shared" si="24"/>
        <v>0.47527499999999978</v>
      </c>
      <c r="B17" s="84">
        <f t="shared" si="25"/>
        <v>0.47527499999999978</v>
      </c>
      <c r="C17" s="84">
        <f t="shared" si="0"/>
        <v>0.52517887499999971</v>
      </c>
      <c r="D17" s="84">
        <f t="shared" si="1"/>
        <v>0.47527499999999978</v>
      </c>
      <c r="E17" s="84">
        <f t="shared" si="2"/>
        <v>0.42537112499999979</v>
      </c>
      <c r="F17" s="215">
        <f t="shared" si="3"/>
        <v>0.47527499999999978</v>
      </c>
      <c r="G17" s="84">
        <f t="shared" si="26"/>
        <v>4.9150000000000013E-2</v>
      </c>
      <c r="H17" s="84">
        <f t="shared" si="27"/>
        <v>4.9150000000000013E-2</v>
      </c>
      <c r="I17" s="84">
        <f t="shared" si="4"/>
        <v>4.3969250000000008E-2</v>
      </c>
      <c r="J17" s="84">
        <f t="shared" si="5"/>
        <v>4.9150000000000013E-2</v>
      </c>
      <c r="K17" s="84">
        <f t="shared" si="6"/>
        <v>5.4330750000000018E-2</v>
      </c>
      <c r="L17" s="84">
        <f t="shared" si="7"/>
        <v>4.9150000000000013E-2</v>
      </c>
      <c r="M17" s="216">
        <f t="shared" si="28"/>
        <v>4.4850000000000008E-2</v>
      </c>
      <c r="N17" s="84">
        <f>M16+((($O$1+$O$1*0.15)-$M$6)/22)</f>
        <v>4.4850000000000008E-2</v>
      </c>
      <c r="O17" s="84">
        <f t="shared" si="8"/>
        <v>3.616227272727273E-2</v>
      </c>
      <c r="P17" s="84">
        <f t="shared" si="9"/>
        <v>4.4850000000000008E-2</v>
      </c>
      <c r="Q17" s="84">
        <f t="shared" si="10"/>
        <v>5.3537727272727285E-2</v>
      </c>
      <c r="R17" s="215">
        <f t="shared" si="11"/>
        <v>4.4850000000000008E-2</v>
      </c>
      <c r="S17" s="84">
        <f t="shared" si="30"/>
        <v>1.1525000000000001E-2</v>
      </c>
      <c r="T17" s="84">
        <f t="shared" si="31"/>
        <v>1.1525000000000001E-2</v>
      </c>
      <c r="U17" s="84">
        <f t="shared" si="12"/>
        <v>9.3138636363636357E-3</v>
      </c>
      <c r="V17" s="84">
        <f t="shared" si="13"/>
        <v>1.1525000000000001E-2</v>
      </c>
      <c r="W17" s="84">
        <f t="shared" si="14"/>
        <v>1.3736136363636365E-2</v>
      </c>
      <c r="X17" s="84">
        <f t="shared" si="15"/>
        <v>1.1525000000000001E-2</v>
      </c>
      <c r="Y17" s="214">
        <f t="shared" si="32"/>
        <v>26.368675000000007</v>
      </c>
      <c r="Z17" s="212">
        <f t="shared" si="33"/>
        <v>26.368675000000007</v>
      </c>
      <c r="AA17" s="212">
        <f t="shared" si="16"/>
        <v>24.81108652272728</v>
      </c>
      <c r="AB17" s="212">
        <f t="shared" si="17"/>
        <v>26.368675000000007</v>
      </c>
      <c r="AC17" s="212">
        <f t="shared" si="18"/>
        <v>27.926263477272734</v>
      </c>
      <c r="AD17" s="211">
        <f t="shared" si="19"/>
        <v>26.368675000000007</v>
      </c>
      <c r="AE17" s="213">
        <f t="shared" si="34"/>
        <v>3.1776750000000011</v>
      </c>
      <c r="AF17" s="212">
        <f t="shared" si="35"/>
        <v>3.1776750000000011</v>
      </c>
      <c r="AG17" s="212">
        <f t="shared" si="20"/>
        <v>2.993924250000001</v>
      </c>
      <c r="AH17" s="212">
        <f t="shared" si="21"/>
        <v>3.1776750000000011</v>
      </c>
      <c r="AI17" s="212">
        <f t="shared" si="22"/>
        <v>3.3614257500000013</v>
      </c>
      <c r="AJ17" s="211">
        <f t="shared" si="23"/>
        <v>3.1776750000000011</v>
      </c>
    </row>
    <row r="18" spans="1:36" x14ac:dyDescent="0.2">
      <c r="A18" s="216">
        <f t="shared" si="24"/>
        <v>0.50604545454545435</v>
      </c>
      <c r="B18" s="84">
        <f t="shared" si="25"/>
        <v>0.50604545454545435</v>
      </c>
      <c r="C18" s="84">
        <f t="shared" si="0"/>
        <v>0.55594932954545428</v>
      </c>
      <c r="D18" s="84">
        <f t="shared" si="1"/>
        <v>0.50604545454545435</v>
      </c>
      <c r="E18" s="84">
        <f t="shared" si="2"/>
        <v>0.45614157954545437</v>
      </c>
      <c r="F18" s="215">
        <f t="shared" si="3"/>
        <v>0.50604545454545435</v>
      </c>
      <c r="G18" s="84">
        <f t="shared" si="26"/>
        <v>5.3254545454545471E-2</v>
      </c>
      <c r="H18" s="84">
        <f t="shared" si="27"/>
        <v>5.3254545454545471E-2</v>
      </c>
      <c r="I18" s="84">
        <f t="shared" si="4"/>
        <v>4.8073795454545466E-2</v>
      </c>
      <c r="J18" s="84">
        <f t="shared" si="5"/>
        <v>5.3254545454545471E-2</v>
      </c>
      <c r="K18" s="84">
        <f t="shared" si="6"/>
        <v>5.8435295454545476E-2</v>
      </c>
      <c r="L18" s="84">
        <f t="shared" si="7"/>
        <v>5.3254545454545471E-2</v>
      </c>
      <c r="M18" s="216">
        <f t="shared" si="28"/>
        <v>4.7672727272727283E-2</v>
      </c>
      <c r="N18" s="84">
        <f t="shared" si="29"/>
        <v>4.7672727272727283E-2</v>
      </c>
      <c r="O18" s="84">
        <f t="shared" si="8"/>
        <v>3.8985000000000006E-2</v>
      </c>
      <c r="P18" s="84">
        <f t="shared" si="9"/>
        <v>4.7672727272727283E-2</v>
      </c>
      <c r="Q18" s="84">
        <f t="shared" si="10"/>
        <v>5.6360454545454561E-2</v>
      </c>
      <c r="R18" s="215">
        <f t="shared" si="11"/>
        <v>4.7672727272727283E-2</v>
      </c>
      <c r="S18" s="84">
        <f t="shared" si="30"/>
        <v>1.2463636363636364E-2</v>
      </c>
      <c r="T18" s="84">
        <f t="shared" si="31"/>
        <v>1.2463636363636364E-2</v>
      </c>
      <c r="U18" s="84">
        <f t="shared" si="12"/>
        <v>1.0252499999999999E-2</v>
      </c>
      <c r="V18" s="84">
        <f t="shared" si="13"/>
        <v>1.2463636363636364E-2</v>
      </c>
      <c r="W18" s="84">
        <f t="shared" si="14"/>
        <v>1.4674772727272729E-2</v>
      </c>
      <c r="X18" s="84">
        <f t="shared" si="15"/>
        <v>1.2463636363636364E-2</v>
      </c>
      <c r="Y18" s="214">
        <f t="shared" si="32"/>
        <v>27.186409090909098</v>
      </c>
      <c r="Z18" s="212">
        <f t="shared" si="33"/>
        <v>27.186409090909098</v>
      </c>
      <c r="AA18" s="212">
        <f t="shared" si="16"/>
        <v>25.628820613636371</v>
      </c>
      <c r="AB18" s="212">
        <f t="shared" si="17"/>
        <v>27.186409090909098</v>
      </c>
      <c r="AC18" s="212">
        <f t="shared" si="18"/>
        <v>28.743997568181825</v>
      </c>
      <c r="AD18" s="211">
        <f t="shared" si="19"/>
        <v>27.186409090909098</v>
      </c>
      <c r="AE18" s="213">
        <f t="shared" si="34"/>
        <v>3.4080000000000013</v>
      </c>
      <c r="AF18" s="212">
        <f t="shared" si="35"/>
        <v>3.4080000000000013</v>
      </c>
      <c r="AG18" s="212">
        <f t="shared" si="20"/>
        <v>3.2242492500000011</v>
      </c>
      <c r="AH18" s="212">
        <f t="shared" si="21"/>
        <v>3.4080000000000013</v>
      </c>
      <c r="AI18" s="212">
        <f t="shared" si="22"/>
        <v>3.5917507500000014</v>
      </c>
      <c r="AJ18" s="211">
        <f t="shared" si="23"/>
        <v>3.4080000000000013</v>
      </c>
    </row>
    <row r="19" spans="1:36" x14ac:dyDescent="0.2">
      <c r="A19" s="216">
        <f t="shared" si="24"/>
        <v>0.53681590909090893</v>
      </c>
      <c r="B19" s="84">
        <f t="shared" si="25"/>
        <v>0.53681590909090893</v>
      </c>
      <c r="C19" s="84">
        <f t="shared" si="0"/>
        <v>0.58671978409090886</v>
      </c>
      <c r="D19" s="84">
        <f t="shared" si="1"/>
        <v>0.53681590909090893</v>
      </c>
      <c r="E19" s="84">
        <f t="shared" si="2"/>
        <v>0.48691203409090894</v>
      </c>
      <c r="F19" s="215">
        <f t="shared" si="3"/>
        <v>0.53681590909090893</v>
      </c>
      <c r="G19" s="84">
        <f t="shared" si="26"/>
        <v>5.7359090909090929E-2</v>
      </c>
      <c r="H19" s="84">
        <f t="shared" si="27"/>
        <v>5.7359090909090929E-2</v>
      </c>
      <c r="I19" s="84">
        <f t="shared" si="4"/>
        <v>5.2178340909090924E-2</v>
      </c>
      <c r="J19" s="84">
        <f t="shared" si="5"/>
        <v>5.7359090909090929E-2</v>
      </c>
      <c r="K19" s="84">
        <f t="shared" si="6"/>
        <v>6.2539840909090927E-2</v>
      </c>
      <c r="L19" s="84">
        <f t="shared" si="7"/>
        <v>5.7359090909090929E-2</v>
      </c>
      <c r="M19" s="216">
        <f t="shared" si="28"/>
        <v>5.0495454545454559E-2</v>
      </c>
      <c r="N19" s="84">
        <f t="shared" si="29"/>
        <v>5.0495454545454559E-2</v>
      </c>
      <c r="O19" s="84">
        <f t="shared" si="8"/>
        <v>4.1807727272727281E-2</v>
      </c>
      <c r="P19" s="84">
        <f t="shared" si="9"/>
        <v>5.0495454545454559E-2</v>
      </c>
      <c r="Q19" s="84">
        <f t="shared" si="10"/>
        <v>5.9183181818181836E-2</v>
      </c>
      <c r="R19" s="215">
        <f t="shared" si="11"/>
        <v>5.0495454545454559E-2</v>
      </c>
      <c r="S19" s="84">
        <f t="shared" si="30"/>
        <v>1.3402272727272728E-2</v>
      </c>
      <c r="T19" s="84">
        <f t="shared" si="31"/>
        <v>1.3402272727272728E-2</v>
      </c>
      <c r="U19" s="84">
        <f t="shared" si="12"/>
        <v>1.1191136363636363E-2</v>
      </c>
      <c r="V19" s="84">
        <f t="shared" si="13"/>
        <v>1.3402272727272728E-2</v>
      </c>
      <c r="W19" s="84">
        <f t="shared" si="14"/>
        <v>1.5613409090909093E-2</v>
      </c>
      <c r="X19" s="84">
        <f t="shared" si="15"/>
        <v>1.3402272727272728E-2</v>
      </c>
      <c r="Y19" s="214">
        <f t="shared" si="32"/>
        <v>28.00414318181819</v>
      </c>
      <c r="Z19" s="212">
        <f t="shared" si="33"/>
        <v>28.00414318181819</v>
      </c>
      <c r="AA19" s="212">
        <f t="shared" si="16"/>
        <v>26.446554704545463</v>
      </c>
      <c r="AB19" s="212">
        <f t="shared" si="17"/>
        <v>28.00414318181819</v>
      </c>
      <c r="AC19" s="212">
        <f t="shared" si="18"/>
        <v>29.561731659090917</v>
      </c>
      <c r="AD19" s="211">
        <f t="shared" si="19"/>
        <v>28.00414318181819</v>
      </c>
      <c r="AE19" s="213">
        <f t="shared" si="34"/>
        <v>3.6383250000000014</v>
      </c>
      <c r="AF19" s="212">
        <f t="shared" si="35"/>
        <v>3.6383250000000014</v>
      </c>
      <c r="AG19" s="212">
        <f t="shared" si="20"/>
        <v>3.4545742500000012</v>
      </c>
      <c r="AH19" s="212">
        <f t="shared" si="21"/>
        <v>3.6383250000000014</v>
      </c>
      <c r="AI19" s="212">
        <f t="shared" si="22"/>
        <v>3.8220757500000015</v>
      </c>
      <c r="AJ19" s="211">
        <f t="shared" si="23"/>
        <v>3.6383250000000014</v>
      </c>
    </row>
    <row r="20" spans="1:36" x14ac:dyDescent="0.2">
      <c r="A20" s="216">
        <f t="shared" si="24"/>
        <v>0.5675863636363635</v>
      </c>
      <c r="B20" s="84">
        <f t="shared" si="25"/>
        <v>0.5675863636363635</v>
      </c>
      <c r="C20" s="84">
        <f t="shared" si="0"/>
        <v>0.61749023863636343</v>
      </c>
      <c r="D20" s="84">
        <f t="shared" si="1"/>
        <v>0.5675863636363635</v>
      </c>
      <c r="E20" s="84">
        <f t="shared" si="2"/>
        <v>0.51768248863636357</v>
      </c>
      <c r="F20" s="215">
        <f t="shared" si="3"/>
        <v>0.5675863636363635</v>
      </c>
      <c r="G20" s="84">
        <f t="shared" si="26"/>
        <v>6.1463636363636387E-2</v>
      </c>
      <c r="H20" s="84">
        <f t="shared" si="27"/>
        <v>6.1463636363636387E-2</v>
      </c>
      <c r="I20" s="84">
        <f t="shared" si="4"/>
        <v>5.6282886363636382E-2</v>
      </c>
      <c r="J20" s="84">
        <f t="shared" si="5"/>
        <v>6.1463636363636387E-2</v>
      </c>
      <c r="K20" s="84">
        <f t="shared" si="6"/>
        <v>6.6644386363636385E-2</v>
      </c>
      <c r="L20" s="84">
        <f t="shared" si="7"/>
        <v>6.1463636363636387E-2</v>
      </c>
      <c r="M20" s="216">
        <f t="shared" si="28"/>
        <v>5.3318181818181834E-2</v>
      </c>
      <c r="N20" s="84">
        <f t="shared" si="29"/>
        <v>5.3318181818181834E-2</v>
      </c>
      <c r="O20" s="84">
        <f t="shared" si="8"/>
        <v>4.4630454545454556E-2</v>
      </c>
      <c r="P20" s="84">
        <f t="shared" si="9"/>
        <v>5.3318181818181834E-2</v>
      </c>
      <c r="Q20" s="84">
        <f t="shared" si="10"/>
        <v>6.2005909090909112E-2</v>
      </c>
      <c r="R20" s="215">
        <f t="shared" si="11"/>
        <v>5.3318181818181834E-2</v>
      </c>
      <c r="S20" s="84">
        <f t="shared" si="30"/>
        <v>1.4340909090909092E-2</v>
      </c>
      <c r="T20" s="84">
        <f t="shared" si="31"/>
        <v>1.4340909090909092E-2</v>
      </c>
      <c r="U20" s="84">
        <f t="shared" si="12"/>
        <v>1.2129772727272727E-2</v>
      </c>
      <c r="V20" s="84">
        <f t="shared" si="13"/>
        <v>1.4340909090909092E-2</v>
      </c>
      <c r="W20" s="84">
        <f t="shared" si="14"/>
        <v>1.6552045454545455E-2</v>
      </c>
      <c r="X20" s="84">
        <f t="shared" si="15"/>
        <v>1.4340909090909092E-2</v>
      </c>
      <c r="Y20" s="214">
        <f t="shared" si="32"/>
        <v>28.821877272727281</v>
      </c>
      <c r="Z20" s="212">
        <f t="shared" si="33"/>
        <v>28.821877272727281</v>
      </c>
      <c r="AA20" s="212">
        <f t="shared" si="16"/>
        <v>27.264288795454554</v>
      </c>
      <c r="AB20" s="212">
        <f t="shared" si="17"/>
        <v>28.821877272727281</v>
      </c>
      <c r="AC20" s="212">
        <f t="shared" si="18"/>
        <v>30.379465750000008</v>
      </c>
      <c r="AD20" s="211">
        <f t="shared" si="19"/>
        <v>28.821877272727281</v>
      </c>
      <c r="AE20" s="213">
        <f t="shared" si="34"/>
        <v>3.8686500000000015</v>
      </c>
      <c r="AF20" s="212">
        <f t="shared" si="35"/>
        <v>3.8686500000000015</v>
      </c>
      <c r="AG20" s="212">
        <f t="shared" si="20"/>
        <v>3.6848992500000013</v>
      </c>
      <c r="AH20" s="212">
        <f t="shared" si="21"/>
        <v>3.8686500000000015</v>
      </c>
      <c r="AI20" s="212">
        <f t="shared" si="22"/>
        <v>4.0524007500000012</v>
      </c>
      <c r="AJ20" s="211">
        <f t="shared" si="23"/>
        <v>3.8686500000000015</v>
      </c>
    </row>
    <row r="21" spans="1:36" x14ac:dyDescent="0.2">
      <c r="A21" s="216">
        <f t="shared" si="24"/>
        <v>0.59835681818181807</v>
      </c>
      <c r="B21" s="84">
        <f t="shared" si="25"/>
        <v>0.59835681818181807</v>
      </c>
      <c r="C21" s="84">
        <f t="shared" si="0"/>
        <v>0.648260693181818</v>
      </c>
      <c r="D21" s="84">
        <f t="shared" si="1"/>
        <v>0.59835681818181807</v>
      </c>
      <c r="E21" s="84">
        <f t="shared" si="2"/>
        <v>0.54845294318181814</v>
      </c>
      <c r="F21" s="215">
        <f t="shared" si="3"/>
        <v>0.59835681818181807</v>
      </c>
      <c r="G21" s="84">
        <f t="shared" si="26"/>
        <v>6.5568181818181845E-2</v>
      </c>
      <c r="H21" s="84">
        <f t="shared" si="27"/>
        <v>6.5568181818181845E-2</v>
      </c>
      <c r="I21" s="84">
        <f t="shared" si="4"/>
        <v>6.038743181818184E-2</v>
      </c>
      <c r="J21" s="84">
        <f t="shared" si="5"/>
        <v>6.5568181818181845E-2</v>
      </c>
      <c r="K21" s="84">
        <f t="shared" si="6"/>
        <v>7.0748931818181843E-2</v>
      </c>
      <c r="L21" s="84">
        <f t="shared" si="7"/>
        <v>6.5568181818181845E-2</v>
      </c>
      <c r="M21" s="216">
        <f t="shared" si="28"/>
        <v>5.6140909090909109E-2</v>
      </c>
      <c r="N21" s="84">
        <f t="shared" si="29"/>
        <v>5.6140909090909109E-2</v>
      </c>
      <c r="O21" s="84">
        <f t="shared" si="8"/>
        <v>4.7453181818181832E-2</v>
      </c>
      <c r="P21" s="84">
        <f t="shared" si="9"/>
        <v>5.6140909090909109E-2</v>
      </c>
      <c r="Q21" s="84">
        <f t="shared" si="10"/>
        <v>6.482863636363638E-2</v>
      </c>
      <c r="R21" s="215">
        <f t="shared" si="11"/>
        <v>5.6140909090909109E-2</v>
      </c>
      <c r="S21" s="84">
        <f t="shared" si="30"/>
        <v>1.5279545454545455E-2</v>
      </c>
      <c r="T21" s="84">
        <f t="shared" si="31"/>
        <v>1.5279545454545455E-2</v>
      </c>
      <c r="U21" s="84">
        <f t="shared" si="12"/>
        <v>1.3068409090909091E-2</v>
      </c>
      <c r="V21" s="84">
        <f t="shared" si="13"/>
        <v>1.5279545454545455E-2</v>
      </c>
      <c r="W21" s="84">
        <f t="shared" si="14"/>
        <v>1.7490681818181818E-2</v>
      </c>
      <c r="X21" s="84">
        <f t="shared" si="15"/>
        <v>1.5279545454545455E-2</v>
      </c>
      <c r="Y21" s="214">
        <f t="shared" si="32"/>
        <v>29.639611363636373</v>
      </c>
      <c r="Z21" s="212">
        <f t="shared" si="33"/>
        <v>29.639611363636373</v>
      </c>
      <c r="AA21" s="212">
        <f t="shared" si="16"/>
        <v>28.082022886363646</v>
      </c>
      <c r="AB21" s="212">
        <f t="shared" si="17"/>
        <v>29.639611363636373</v>
      </c>
      <c r="AC21" s="212">
        <f t="shared" si="18"/>
        <v>31.1971998409091</v>
      </c>
      <c r="AD21" s="211">
        <f t="shared" si="19"/>
        <v>29.639611363636373</v>
      </c>
      <c r="AE21" s="213">
        <f t="shared" si="34"/>
        <v>4.0989750000000011</v>
      </c>
      <c r="AF21" s="212">
        <f t="shared" si="35"/>
        <v>4.0989750000000011</v>
      </c>
      <c r="AG21" s="212">
        <f t="shared" si="20"/>
        <v>3.915224250000001</v>
      </c>
      <c r="AH21" s="212">
        <f t="shared" si="21"/>
        <v>4.0989750000000011</v>
      </c>
      <c r="AI21" s="212">
        <f t="shared" si="22"/>
        <v>4.2827257500000009</v>
      </c>
      <c r="AJ21" s="211">
        <f t="shared" si="23"/>
        <v>4.0989750000000011</v>
      </c>
    </row>
    <row r="22" spans="1:36" x14ac:dyDescent="0.2">
      <c r="A22" s="216">
        <f t="shared" si="24"/>
        <v>0.62912727272727265</v>
      </c>
      <c r="B22" s="84">
        <f t="shared" si="25"/>
        <v>0.62912727272727265</v>
      </c>
      <c r="C22" s="84">
        <f t="shared" si="0"/>
        <v>0.67903114772727258</v>
      </c>
      <c r="D22" s="84">
        <f t="shared" si="1"/>
        <v>0.62912727272727265</v>
      </c>
      <c r="E22" s="84">
        <f t="shared" si="2"/>
        <v>0.57922339772727272</v>
      </c>
      <c r="F22" s="215">
        <f t="shared" si="3"/>
        <v>0.62912727272727265</v>
      </c>
      <c r="G22" s="84">
        <f t="shared" si="26"/>
        <v>6.9672727272727303E-2</v>
      </c>
      <c r="H22" s="84">
        <f t="shared" si="27"/>
        <v>6.9672727272727303E-2</v>
      </c>
      <c r="I22" s="84">
        <f t="shared" si="4"/>
        <v>6.4491977272727305E-2</v>
      </c>
      <c r="J22" s="84">
        <f t="shared" si="5"/>
        <v>6.9672727272727303E-2</v>
      </c>
      <c r="K22" s="84">
        <f t="shared" si="6"/>
        <v>7.4853477272727301E-2</v>
      </c>
      <c r="L22" s="84">
        <f t="shared" si="7"/>
        <v>6.9672727272727303E-2</v>
      </c>
      <c r="M22" s="216">
        <f t="shared" si="28"/>
        <v>5.8963636363636385E-2</v>
      </c>
      <c r="N22" s="84">
        <f t="shared" si="29"/>
        <v>5.8963636363636385E-2</v>
      </c>
      <c r="O22" s="84">
        <f t="shared" si="8"/>
        <v>5.0275909090909107E-2</v>
      </c>
      <c r="P22" s="84">
        <f t="shared" si="9"/>
        <v>5.8963636363636385E-2</v>
      </c>
      <c r="Q22" s="84">
        <f t="shared" si="10"/>
        <v>6.7651363636363662E-2</v>
      </c>
      <c r="R22" s="215">
        <f t="shared" si="11"/>
        <v>5.8963636363636385E-2</v>
      </c>
      <c r="S22" s="84">
        <f t="shared" si="30"/>
        <v>1.6218181818181819E-2</v>
      </c>
      <c r="T22" s="84">
        <f t="shared" si="31"/>
        <v>1.6218181818181819E-2</v>
      </c>
      <c r="U22" s="84">
        <f t="shared" si="12"/>
        <v>1.4007045454545454E-2</v>
      </c>
      <c r="V22" s="84">
        <f t="shared" si="13"/>
        <v>1.6218181818181819E-2</v>
      </c>
      <c r="W22" s="84">
        <f t="shared" si="14"/>
        <v>1.8429318181818182E-2</v>
      </c>
      <c r="X22" s="84">
        <f t="shared" si="15"/>
        <v>1.6218181818181819E-2</v>
      </c>
      <c r="Y22" s="214">
        <f t="shared" si="32"/>
        <v>30.457345454545464</v>
      </c>
      <c r="Z22" s="212">
        <f t="shared" si="33"/>
        <v>30.457345454545464</v>
      </c>
      <c r="AA22" s="212">
        <f t="shared" si="16"/>
        <v>28.899756977272737</v>
      </c>
      <c r="AB22" s="212">
        <f t="shared" si="17"/>
        <v>30.457345454545464</v>
      </c>
      <c r="AC22" s="212">
        <f t="shared" si="18"/>
        <v>32.014933931818192</v>
      </c>
      <c r="AD22" s="211">
        <f t="shared" si="19"/>
        <v>30.457345454545464</v>
      </c>
      <c r="AE22" s="213">
        <f t="shared" si="34"/>
        <v>4.3293000000000008</v>
      </c>
      <c r="AF22" s="212">
        <f t="shared" si="35"/>
        <v>4.3293000000000008</v>
      </c>
      <c r="AG22" s="212">
        <f t="shared" si="20"/>
        <v>4.1455492500000011</v>
      </c>
      <c r="AH22" s="212">
        <f t="shared" si="21"/>
        <v>4.3293000000000008</v>
      </c>
      <c r="AI22" s="212">
        <f t="shared" si="22"/>
        <v>4.5130507500000006</v>
      </c>
      <c r="AJ22" s="211">
        <f t="shared" si="23"/>
        <v>4.3293000000000008</v>
      </c>
    </row>
    <row r="23" spans="1:36" x14ac:dyDescent="0.2">
      <c r="A23" s="216">
        <f t="shared" si="24"/>
        <v>0.65989772727272722</v>
      </c>
      <c r="B23" s="84">
        <f t="shared" si="25"/>
        <v>0.65989772727272722</v>
      </c>
      <c r="C23" s="84">
        <f t="shared" si="0"/>
        <v>0.70980160227272715</v>
      </c>
      <c r="D23" s="84">
        <f t="shared" si="1"/>
        <v>0.65989772727272722</v>
      </c>
      <c r="E23" s="84">
        <f t="shared" si="2"/>
        <v>0.60999385227272729</v>
      </c>
      <c r="F23" s="215">
        <f t="shared" si="3"/>
        <v>0.65989772727272722</v>
      </c>
      <c r="G23" s="84">
        <f t="shared" si="26"/>
        <v>7.3777272727272761E-2</v>
      </c>
      <c r="H23" s="84">
        <f t="shared" si="27"/>
        <v>7.3777272727272761E-2</v>
      </c>
      <c r="I23" s="84">
        <f t="shared" si="4"/>
        <v>6.8596522727272763E-2</v>
      </c>
      <c r="J23" s="84">
        <f t="shared" si="5"/>
        <v>7.3777272727272761E-2</v>
      </c>
      <c r="K23" s="84">
        <f t="shared" si="6"/>
        <v>7.8958022727272759E-2</v>
      </c>
      <c r="L23" s="84">
        <f t="shared" si="7"/>
        <v>7.3777272727272761E-2</v>
      </c>
      <c r="M23" s="216">
        <f t="shared" si="28"/>
        <v>6.178636363636366E-2</v>
      </c>
      <c r="N23" s="84">
        <f t="shared" si="29"/>
        <v>6.178636363636366E-2</v>
      </c>
      <c r="O23" s="84">
        <f t="shared" si="8"/>
        <v>5.3098636363636383E-2</v>
      </c>
      <c r="P23" s="84">
        <f t="shared" si="9"/>
        <v>6.178636363636366E-2</v>
      </c>
      <c r="Q23" s="84">
        <f t="shared" si="10"/>
        <v>7.0474090909090931E-2</v>
      </c>
      <c r="R23" s="215">
        <f t="shared" si="11"/>
        <v>6.178636363636366E-2</v>
      </c>
      <c r="S23" s="84">
        <f t="shared" si="30"/>
        <v>1.7156818181818183E-2</v>
      </c>
      <c r="T23" s="84">
        <f t="shared" si="31"/>
        <v>1.7156818181818183E-2</v>
      </c>
      <c r="U23" s="84">
        <f t="shared" si="12"/>
        <v>1.4945681818181818E-2</v>
      </c>
      <c r="V23" s="84">
        <f t="shared" si="13"/>
        <v>1.7156818181818183E-2</v>
      </c>
      <c r="W23" s="84">
        <f t="shared" si="14"/>
        <v>1.9367954545454546E-2</v>
      </c>
      <c r="X23" s="84">
        <f t="shared" si="15"/>
        <v>1.7156818181818183E-2</v>
      </c>
      <c r="Y23" s="214">
        <f t="shared" si="32"/>
        <v>31.275079545454556</v>
      </c>
      <c r="Z23" s="212">
        <f t="shared" si="33"/>
        <v>31.275079545454556</v>
      </c>
      <c r="AA23" s="212">
        <f t="shared" si="16"/>
        <v>29.717491068181829</v>
      </c>
      <c r="AB23" s="212">
        <f t="shared" si="17"/>
        <v>31.275079545454556</v>
      </c>
      <c r="AC23" s="212">
        <f t="shared" si="18"/>
        <v>32.832668022727283</v>
      </c>
      <c r="AD23" s="211">
        <f t="shared" si="19"/>
        <v>31.275079545454556</v>
      </c>
      <c r="AE23" s="213">
        <f t="shared" si="34"/>
        <v>4.5596250000000005</v>
      </c>
      <c r="AF23" s="212">
        <f t="shared" si="35"/>
        <v>4.5596250000000005</v>
      </c>
      <c r="AG23" s="212">
        <f t="shared" si="20"/>
        <v>4.3758742500000007</v>
      </c>
      <c r="AH23" s="212">
        <f t="shared" si="21"/>
        <v>4.5596250000000005</v>
      </c>
      <c r="AI23" s="212">
        <f t="shared" si="22"/>
        <v>4.7433757500000002</v>
      </c>
      <c r="AJ23" s="211">
        <f t="shared" si="23"/>
        <v>4.5596250000000005</v>
      </c>
    </row>
    <row r="24" spans="1:36" x14ac:dyDescent="0.2">
      <c r="A24" s="216">
        <f t="shared" si="24"/>
        <v>0.69066818181818179</v>
      </c>
      <c r="B24" s="84">
        <f t="shared" si="25"/>
        <v>0.69066818181818179</v>
      </c>
      <c r="C24" s="84">
        <f t="shared" si="0"/>
        <v>0.74057205681818172</v>
      </c>
      <c r="D24" s="84">
        <f t="shared" si="1"/>
        <v>0.69066818181818179</v>
      </c>
      <c r="E24" s="84">
        <f t="shared" si="2"/>
        <v>0.64076430681818186</v>
      </c>
      <c r="F24" s="215">
        <f t="shared" si="3"/>
        <v>0.69066818181818179</v>
      </c>
      <c r="G24" s="84">
        <f t="shared" si="26"/>
        <v>7.7881818181818219E-2</v>
      </c>
      <c r="H24" s="84">
        <f t="shared" si="27"/>
        <v>7.7881818181818219E-2</v>
      </c>
      <c r="I24" s="84">
        <f t="shared" si="4"/>
        <v>7.2701068181818221E-2</v>
      </c>
      <c r="J24" s="84">
        <f t="shared" si="5"/>
        <v>7.7881818181818219E-2</v>
      </c>
      <c r="K24" s="84">
        <f t="shared" si="6"/>
        <v>8.3062568181818217E-2</v>
      </c>
      <c r="L24" s="84">
        <f t="shared" si="7"/>
        <v>7.7881818181818219E-2</v>
      </c>
      <c r="M24" s="216">
        <f t="shared" si="28"/>
        <v>6.4609090909090935E-2</v>
      </c>
      <c r="N24" s="84">
        <f t="shared" si="29"/>
        <v>6.4609090909090935E-2</v>
      </c>
      <c r="O24" s="84">
        <f t="shared" si="8"/>
        <v>5.5921363636363658E-2</v>
      </c>
      <c r="P24" s="84">
        <f t="shared" si="9"/>
        <v>6.4609090909090935E-2</v>
      </c>
      <c r="Q24" s="84">
        <f t="shared" si="10"/>
        <v>7.3296818181818213E-2</v>
      </c>
      <c r="R24" s="215">
        <f t="shared" si="11"/>
        <v>6.4609090909090935E-2</v>
      </c>
      <c r="S24" s="84">
        <f t="shared" si="30"/>
        <v>1.8095454545454547E-2</v>
      </c>
      <c r="T24" s="84">
        <f t="shared" si="31"/>
        <v>1.8095454545454547E-2</v>
      </c>
      <c r="U24" s="84">
        <f t="shared" si="12"/>
        <v>1.5884318181818183E-2</v>
      </c>
      <c r="V24" s="84">
        <f t="shared" si="13"/>
        <v>1.8095454545454547E-2</v>
      </c>
      <c r="W24" s="84">
        <f t="shared" si="14"/>
        <v>2.030659090909091E-2</v>
      </c>
      <c r="X24" s="84">
        <f t="shared" si="15"/>
        <v>1.8095454545454547E-2</v>
      </c>
      <c r="Y24" s="214">
        <f t="shared" si="32"/>
        <v>32.092813636363644</v>
      </c>
      <c r="Z24" s="212">
        <f t="shared" si="33"/>
        <v>32.092813636363644</v>
      </c>
      <c r="AA24" s="212">
        <f t="shared" si="16"/>
        <v>30.535225159090917</v>
      </c>
      <c r="AB24" s="212">
        <f t="shared" si="17"/>
        <v>32.092813636363644</v>
      </c>
      <c r="AC24" s="212">
        <f t="shared" si="18"/>
        <v>33.650402113636375</v>
      </c>
      <c r="AD24" s="211">
        <f t="shared" si="19"/>
        <v>32.092813636363644</v>
      </c>
      <c r="AE24" s="213">
        <f t="shared" si="34"/>
        <v>4.7899500000000002</v>
      </c>
      <c r="AF24" s="212">
        <f t="shared" si="35"/>
        <v>4.7899500000000002</v>
      </c>
      <c r="AG24" s="212">
        <f t="shared" si="20"/>
        <v>4.6061992500000004</v>
      </c>
      <c r="AH24" s="212">
        <f t="shared" si="21"/>
        <v>4.7899500000000002</v>
      </c>
      <c r="AI24" s="212">
        <f t="shared" si="22"/>
        <v>4.9737007499999999</v>
      </c>
      <c r="AJ24" s="211">
        <f t="shared" si="23"/>
        <v>4.7899500000000002</v>
      </c>
    </row>
    <row r="25" spans="1:36" x14ac:dyDescent="0.2">
      <c r="A25" s="216">
        <f t="shared" si="24"/>
        <v>0.72143863636363637</v>
      </c>
      <c r="B25" s="84">
        <f t="shared" si="25"/>
        <v>0.72143863636363637</v>
      </c>
      <c r="C25" s="84">
        <f t="shared" si="0"/>
        <v>0.7713425113636363</v>
      </c>
      <c r="D25" s="84">
        <f t="shared" si="1"/>
        <v>0.72143863636363637</v>
      </c>
      <c r="E25" s="84">
        <f t="shared" si="2"/>
        <v>0.67153476136363643</v>
      </c>
      <c r="F25" s="215">
        <f t="shared" si="3"/>
        <v>0.72143863636363637</v>
      </c>
      <c r="G25" s="84">
        <f t="shared" si="26"/>
        <v>8.1986363636363677E-2</v>
      </c>
      <c r="H25" s="84">
        <f t="shared" si="27"/>
        <v>8.1986363636363677E-2</v>
      </c>
      <c r="I25" s="84">
        <f t="shared" si="4"/>
        <v>7.6805613636363679E-2</v>
      </c>
      <c r="J25" s="84">
        <f t="shared" si="5"/>
        <v>8.1986363636363677E-2</v>
      </c>
      <c r="K25" s="84">
        <f t="shared" si="6"/>
        <v>8.7167113636363674E-2</v>
      </c>
      <c r="L25" s="84">
        <f t="shared" si="7"/>
        <v>8.1986363636363677E-2</v>
      </c>
      <c r="M25" s="216">
        <f t="shared" si="28"/>
        <v>6.7431818181818204E-2</v>
      </c>
      <c r="N25" s="84">
        <f t="shared" si="29"/>
        <v>6.7431818181818204E-2</v>
      </c>
      <c r="O25" s="84">
        <f t="shared" si="8"/>
        <v>5.8744090909090926E-2</v>
      </c>
      <c r="P25" s="84">
        <f t="shared" si="9"/>
        <v>6.7431818181818204E-2</v>
      </c>
      <c r="Q25" s="84">
        <f t="shared" si="10"/>
        <v>7.6119545454545481E-2</v>
      </c>
      <c r="R25" s="215">
        <f t="shared" si="11"/>
        <v>6.7431818181818204E-2</v>
      </c>
      <c r="S25" s="84">
        <f t="shared" si="30"/>
        <v>1.903409090909091E-2</v>
      </c>
      <c r="T25" s="84">
        <f t="shared" si="31"/>
        <v>1.903409090909091E-2</v>
      </c>
      <c r="U25" s="84">
        <f t="shared" si="12"/>
        <v>1.6822954545454547E-2</v>
      </c>
      <c r="V25" s="84">
        <f t="shared" si="13"/>
        <v>1.903409090909091E-2</v>
      </c>
      <c r="W25" s="84">
        <f t="shared" si="14"/>
        <v>2.1245227272727273E-2</v>
      </c>
      <c r="X25" s="84">
        <f t="shared" si="15"/>
        <v>1.903409090909091E-2</v>
      </c>
      <c r="Y25" s="214">
        <f t="shared" si="32"/>
        <v>32.910547727272736</v>
      </c>
      <c r="Z25" s="212">
        <f t="shared" si="33"/>
        <v>32.910547727272736</v>
      </c>
      <c r="AA25" s="212">
        <f t="shared" si="16"/>
        <v>31.352959250000008</v>
      </c>
      <c r="AB25" s="212">
        <f t="shared" si="17"/>
        <v>32.910547727272736</v>
      </c>
      <c r="AC25" s="212">
        <f t="shared" si="18"/>
        <v>34.468136204545466</v>
      </c>
      <c r="AD25" s="211">
        <f t="shared" si="19"/>
        <v>32.910547727272736</v>
      </c>
      <c r="AE25" s="213">
        <f t="shared" si="34"/>
        <v>5.0202749999999998</v>
      </c>
      <c r="AF25" s="212">
        <f t="shared" si="35"/>
        <v>5.0202749999999998</v>
      </c>
      <c r="AG25" s="212">
        <f t="shared" si="20"/>
        <v>4.8365242500000001</v>
      </c>
      <c r="AH25" s="212">
        <f t="shared" si="21"/>
        <v>5.0202749999999998</v>
      </c>
      <c r="AI25" s="212">
        <f t="shared" si="22"/>
        <v>5.2040257499999996</v>
      </c>
      <c r="AJ25" s="211">
        <f t="shared" si="23"/>
        <v>5.0202749999999998</v>
      </c>
    </row>
    <row r="26" spans="1:36" x14ac:dyDescent="0.2">
      <c r="A26" s="216">
        <f t="shared" si="24"/>
        <v>0.75220909090909094</v>
      </c>
      <c r="B26" s="84">
        <f t="shared" si="25"/>
        <v>0.75220909090909094</v>
      </c>
      <c r="C26" s="84">
        <f t="shared" si="0"/>
        <v>0.80211296590909087</v>
      </c>
      <c r="D26" s="84">
        <f t="shared" si="1"/>
        <v>0.75220909090909094</v>
      </c>
      <c r="E26" s="84">
        <f t="shared" si="2"/>
        <v>0.70230521590909101</v>
      </c>
      <c r="F26" s="215">
        <f t="shared" si="3"/>
        <v>0.75220909090909094</v>
      </c>
      <c r="G26" s="84">
        <f t="shared" si="26"/>
        <v>8.6090909090909135E-2</v>
      </c>
      <c r="H26" s="84">
        <f t="shared" si="27"/>
        <v>8.6090909090909135E-2</v>
      </c>
      <c r="I26" s="84">
        <f t="shared" si="4"/>
        <v>8.0910159090909137E-2</v>
      </c>
      <c r="J26" s="84">
        <f t="shared" si="5"/>
        <v>8.6090909090909135E-2</v>
      </c>
      <c r="K26" s="84">
        <f t="shared" si="6"/>
        <v>9.1271659090909132E-2</v>
      </c>
      <c r="L26" s="84">
        <f t="shared" si="7"/>
        <v>8.6090909090909135E-2</v>
      </c>
      <c r="M26" s="216">
        <f t="shared" si="28"/>
        <v>7.0254545454545472E-2</v>
      </c>
      <c r="N26" s="84">
        <f t="shared" si="29"/>
        <v>7.0254545454545472E-2</v>
      </c>
      <c r="O26" s="84">
        <f t="shared" si="8"/>
        <v>6.1566818181818195E-2</v>
      </c>
      <c r="P26" s="84">
        <f t="shared" si="9"/>
        <v>7.0254545454545472E-2</v>
      </c>
      <c r="Q26" s="84">
        <f t="shared" si="10"/>
        <v>7.894227272727275E-2</v>
      </c>
      <c r="R26" s="215">
        <f t="shared" si="11"/>
        <v>7.0254545454545472E-2</v>
      </c>
      <c r="S26" s="84">
        <f t="shared" si="30"/>
        <v>1.9972727272727274E-2</v>
      </c>
      <c r="T26" s="84">
        <f t="shared" si="31"/>
        <v>1.9972727272727274E-2</v>
      </c>
      <c r="U26" s="84">
        <f t="shared" si="12"/>
        <v>1.7761590909090911E-2</v>
      </c>
      <c r="V26" s="84">
        <f t="shared" si="13"/>
        <v>1.9972727272727274E-2</v>
      </c>
      <c r="W26" s="84">
        <f t="shared" si="14"/>
        <v>2.2183863636363637E-2</v>
      </c>
      <c r="X26" s="84">
        <f t="shared" si="15"/>
        <v>1.9972727272727274E-2</v>
      </c>
      <c r="Y26" s="214">
        <f t="shared" si="32"/>
        <v>33.728281818181827</v>
      </c>
      <c r="Z26" s="212">
        <f t="shared" si="33"/>
        <v>33.728281818181827</v>
      </c>
      <c r="AA26" s="212">
        <f t="shared" si="16"/>
        <v>32.170693340909096</v>
      </c>
      <c r="AB26" s="212">
        <f t="shared" si="17"/>
        <v>33.728281818181827</v>
      </c>
      <c r="AC26" s="212">
        <f t="shared" si="18"/>
        <v>35.285870295454558</v>
      </c>
      <c r="AD26" s="211">
        <f t="shared" si="19"/>
        <v>33.728281818181827</v>
      </c>
      <c r="AE26" s="213">
        <f t="shared" si="34"/>
        <v>5.2505999999999995</v>
      </c>
      <c r="AF26" s="212">
        <f t="shared" si="35"/>
        <v>5.2505999999999995</v>
      </c>
      <c r="AG26" s="212">
        <f t="shared" si="20"/>
        <v>5.0668492499999997</v>
      </c>
      <c r="AH26" s="212">
        <f t="shared" si="21"/>
        <v>5.2505999999999995</v>
      </c>
      <c r="AI26" s="212">
        <f t="shared" si="22"/>
        <v>5.4343507499999992</v>
      </c>
      <c r="AJ26" s="211">
        <f t="shared" si="23"/>
        <v>5.2505999999999995</v>
      </c>
    </row>
    <row r="27" spans="1:36" x14ac:dyDescent="0.2">
      <c r="A27" s="216">
        <f t="shared" si="24"/>
        <v>0.78297954545454551</v>
      </c>
      <c r="B27" s="84">
        <f t="shared" si="25"/>
        <v>0.78297954545454551</v>
      </c>
      <c r="C27" s="84">
        <f t="shared" si="0"/>
        <v>0.83288342045454544</v>
      </c>
      <c r="D27" s="84">
        <f t="shared" si="1"/>
        <v>0.78297954545454551</v>
      </c>
      <c r="E27" s="84">
        <f t="shared" si="2"/>
        <v>0.73307567045454558</v>
      </c>
      <c r="F27" s="215">
        <f t="shared" si="3"/>
        <v>0.78297954545454551</v>
      </c>
      <c r="G27" s="84">
        <f t="shared" si="26"/>
        <v>9.0195454545454593E-2</v>
      </c>
      <c r="H27" s="84">
        <f t="shared" si="27"/>
        <v>9.0195454545454593E-2</v>
      </c>
      <c r="I27" s="84">
        <f t="shared" si="4"/>
        <v>8.5014704545454595E-2</v>
      </c>
      <c r="J27" s="84">
        <f t="shared" si="5"/>
        <v>9.0195454545454593E-2</v>
      </c>
      <c r="K27" s="84">
        <f t="shared" si="6"/>
        <v>9.537620454545459E-2</v>
      </c>
      <c r="L27" s="84">
        <f t="shared" si="7"/>
        <v>9.0195454545454593E-2</v>
      </c>
      <c r="M27" s="216">
        <f t="shared" si="28"/>
        <v>7.3077272727272741E-2</v>
      </c>
      <c r="N27" s="84">
        <f t="shared" si="29"/>
        <v>7.3077272727272741E-2</v>
      </c>
      <c r="O27" s="84">
        <f t="shared" si="8"/>
        <v>6.4389545454545463E-2</v>
      </c>
      <c r="P27" s="84">
        <f t="shared" si="9"/>
        <v>7.3077272727272741E-2</v>
      </c>
      <c r="Q27" s="84">
        <f t="shared" si="10"/>
        <v>8.1765000000000018E-2</v>
      </c>
      <c r="R27" s="215">
        <f t="shared" si="11"/>
        <v>7.3077272727272741E-2</v>
      </c>
      <c r="S27" s="84">
        <f t="shared" si="30"/>
        <v>2.0911363636363638E-2</v>
      </c>
      <c r="T27" s="84">
        <f t="shared" si="31"/>
        <v>2.0911363636363638E-2</v>
      </c>
      <c r="U27" s="84">
        <f t="shared" si="12"/>
        <v>1.8700227272727275E-2</v>
      </c>
      <c r="V27" s="84">
        <f t="shared" si="13"/>
        <v>2.0911363636363638E-2</v>
      </c>
      <c r="W27" s="84">
        <f t="shared" si="14"/>
        <v>2.3122500000000001E-2</v>
      </c>
      <c r="X27" s="84">
        <f t="shared" si="15"/>
        <v>2.0911363636363638E-2</v>
      </c>
      <c r="Y27" s="214">
        <f t="shared" si="32"/>
        <v>34.546015909090919</v>
      </c>
      <c r="Z27" s="212">
        <f t="shared" si="33"/>
        <v>34.546015909090919</v>
      </c>
      <c r="AA27" s="212">
        <f t="shared" si="16"/>
        <v>32.988427431818188</v>
      </c>
      <c r="AB27" s="212">
        <f t="shared" si="17"/>
        <v>34.546015909090919</v>
      </c>
      <c r="AC27" s="212">
        <f t="shared" si="18"/>
        <v>36.103604386363649</v>
      </c>
      <c r="AD27" s="211">
        <f t="shared" si="19"/>
        <v>34.546015909090919</v>
      </c>
      <c r="AE27" s="213">
        <f t="shared" si="34"/>
        <v>5.4809249999999992</v>
      </c>
      <c r="AF27" s="212">
        <f t="shared" si="35"/>
        <v>5.4809249999999992</v>
      </c>
      <c r="AG27" s="212">
        <f t="shared" si="20"/>
        <v>5.2971742499999994</v>
      </c>
      <c r="AH27" s="212">
        <f t="shared" si="21"/>
        <v>5.4809249999999992</v>
      </c>
      <c r="AI27" s="212">
        <f t="shared" si="22"/>
        <v>5.6646757499999989</v>
      </c>
      <c r="AJ27" s="211">
        <f t="shared" si="23"/>
        <v>5.4809249999999992</v>
      </c>
    </row>
    <row r="28" spans="1:36" x14ac:dyDescent="0.2">
      <c r="A28" s="216">
        <v>0</v>
      </c>
      <c r="B28" s="84">
        <v>0</v>
      </c>
      <c r="C28" s="84">
        <f t="shared" si="0"/>
        <v>4.990387499999998E-2</v>
      </c>
      <c r="D28" s="84">
        <f t="shared" si="1"/>
        <v>0</v>
      </c>
      <c r="E28" s="84">
        <f t="shared" si="2"/>
        <v>-4.990387499999998E-2</v>
      </c>
      <c r="F28" s="215">
        <f t="shared" si="3"/>
        <v>0</v>
      </c>
      <c r="G28" s="84">
        <v>0</v>
      </c>
      <c r="H28" s="84">
        <v>0</v>
      </c>
      <c r="I28" s="84">
        <f t="shared" si="4"/>
        <v>-5.1807500000000022E-3</v>
      </c>
      <c r="J28" s="84">
        <f t="shared" si="5"/>
        <v>0</v>
      </c>
      <c r="K28" s="84">
        <f t="shared" si="6"/>
        <v>5.1807500000000022E-3</v>
      </c>
      <c r="L28" s="84">
        <f t="shared" si="7"/>
        <v>0</v>
      </c>
      <c r="M28" s="216">
        <v>0</v>
      </c>
      <c r="N28" s="84">
        <v>0</v>
      </c>
      <c r="O28" s="84">
        <f t="shared" si="8"/>
        <v>-8.6877272727272758E-3</v>
      </c>
      <c r="P28" s="84">
        <f t="shared" si="9"/>
        <v>0</v>
      </c>
      <c r="Q28" s="84">
        <f t="shared" si="10"/>
        <v>8.6877272727272758E-3</v>
      </c>
      <c r="R28" s="215">
        <f t="shared" si="11"/>
        <v>0</v>
      </c>
      <c r="S28" s="84">
        <v>0</v>
      </c>
      <c r="T28" s="84">
        <v>0</v>
      </c>
      <c r="U28" s="84">
        <f t="shared" si="12"/>
        <v>-2.2111363636363643E-3</v>
      </c>
      <c r="V28" s="84">
        <f t="shared" si="13"/>
        <v>0</v>
      </c>
      <c r="W28" s="84">
        <f t="shared" si="14"/>
        <v>2.2111363636363643E-3</v>
      </c>
      <c r="X28" s="84">
        <f t="shared" si="15"/>
        <v>0</v>
      </c>
      <c r="Y28" s="214">
        <v>20</v>
      </c>
      <c r="Z28" s="212">
        <v>20</v>
      </c>
      <c r="AA28" s="212">
        <f t="shared" si="16"/>
        <v>18.442411522727273</v>
      </c>
      <c r="AB28" s="212">
        <f t="shared" si="17"/>
        <v>20</v>
      </c>
      <c r="AC28" s="212">
        <f t="shared" si="18"/>
        <v>21.557588477272727</v>
      </c>
      <c r="AD28" s="211">
        <f t="shared" si="19"/>
        <v>20</v>
      </c>
      <c r="AE28" s="213">
        <v>0</v>
      </c>
      <c r="AF28" s="212">
        <v>0</v>
      </c>
      <c r="AG28" s="212">
        <f t="shared" si="20"/>
        <v>-0.18375074999999999</v>
      </c>
      <c r="AH28" s="212">
        <f t="shared" si="21"/>
        <v>0</v>
      </c>
      <c r="AI28" s="212">
        <f t="shared" si="22"/>
        <v>0.18375074999999999</v>
      </c>
      <c r="AJ28" s="211">
        <f t="shared" si="23"/>
        <v>0</v>
      </c>
    </row>
    <row r="29" spans="1:36" ht="13.5" thickBot="1" x14ac:dyDescent="0.25">
      <c r="A29" s="210">
        <v>1</v>
      </c>
      <c r="B29" s="208">
        <v>1</v>
      </c>
      <c r="C29" s="208">
        <f t="shared" si="0"/>
        <v>1.049903875</v>
      </c>
      <c r="D29" s="208">
        <f t="shared" si="1"/>
        <v>1</v>
      </c>
      <c r="E29" s="208">
        <f t="shared" si="2"/>
        <v>0.95009612500000007</v>
      </c>
      <c r="F29" s="209">
        <f t="shared" si="3"/>
        <v>1</v>
      </c>
      <c r="G29" s="208">
        <v>0.06</v>
      </c>
      <c r="H29" s="208">
        <v>0.06</v>
      </c>
      <c r="I29" s="208">
        <f t="shared" si="4"/>
        <v>5.4819249999999993E-2</v>
      </c>
      <c r="J29" s="208">
        <f t="shared" si="5"/>
        <v>0.06</v>
      </c>
      <c r="K29" s="208">
        <f t="shared" si="6"/>
        <v>6.5180749999999996E-2</v>
      </c>
      <c r="L29" s="208">
        <f t="shared" si="7"/>
        <v>0.06</v>
      </c>
      <c r="M29" s="210">
        <v>0.1</v>
      </c>
      <c r="N29" s="208">
        <v>0.1</v>
      </c>
      <c r="O29" s="208">
        <f t="shared" si="8"/>
        <v>9.1312272727272728E-2</v>
      </c>
      <c r="P29" s="208">
        <f t="shared" si="9"/>
        <v>0.1</v>
      </c>
      <c r="Q29" s="208">
        <f t="shared" si="10"/>
        <v>0.10868772727272728</v>
      </c>
      <c r="R29" s="209">
        <f t="shared" si="11"/>
        <v>0.1</v>
      </c>
      <c r="S29" s="208">
        <v>0.02</v>
      </c>
      <c r="T29" s="208">
        <v>0.02</v>
      </c>
      <c r="U29" s="208">
        <f t="shared" si="12"/>
        <v>1.7788863636363637E-2</v>
      </c>
      <c r="V29" s="208">
        <f t="shared" si="13"/>
        <v>0.02</v>
      </c>
      <c r="W29" s="208">
        <f t="shared" si="14"/>
        <v>2.2211136363636363E-2</v>
      </c>
      <c r="X29" s="208">
        <f t="shared" si="15"/>
        <v>0.02</v>
      </c>
      <c r="Y29" s="207">
        <v>35</v>
      </c>
      <c r="Z29" s="205">
        <v>35</v>
      </c>
      <c r="AA29" s="205">
        <f t="shared" si="16"/>
        <v>33.442411522727269</v>
      </c>
      <c r="AB29" s="205">
        <f t="shared" si="17"/>
        <v>35</v>
      </c>
      <c r="AC29" s="205">
        <f t="shared" si="18"/>
        <v>36.557588477272731</v>
      </c>
      <c r="AD29" s="204">
        <f t="shared" si="19"/>
        <v>35</v>
      </c>
      <c r="AE29" s="206">
        <v>2.5</v>
      </c>
      <c r="AF29" s="205">
        <v>2.5</v>
      </c>
      <c r="AG29" s="205">
        <f t="shared" si="20"/>
        <v>2.3162492499999998</v>
      </c>
      <c r="AH29" s="205">
        <f t="shared" si="21"/>
        <v>2.5</v>
      </c>
      <c r="AI29" s="205">
        <f t="shared" si="22"/>
        <v>2.6837507500000002</v>
      </c>
      <c r="AJ29" s="204">
        <f t="shared" si="23"/>
        <v>2.5</v>
      </c>
    </row>
    <row r="30" spans="1:36" ht="13.5" thickBot="1" x14ac:dyDescent="0.25"/>
    <row r="31" spans="1:36" ht="13.5" thickBot="1" x14ac:dyDescent="0.25">
      <c r="F31" s="203" t="s">
        <v>187</v>
      </c>
      <c r="G31" s="203" t="s">
        <v>188</v>
      </c>
    </row>
    <row r="32" spans="1:36" ht="13.5" thickBot="1" x14ac:dyDescent="0.25">
      <c r="A32" s="202" t="s">
        <v>189</v>
      </c>
      <c r="B32" s="387" t="s">
        <v>190</v>
      </c>
      <c r="C32" s="201" t="s">
        <v>191</v>
      </c>
      <c r="D32" s="200">
        <v>0.11</v>
      </c>
      <c r="E32" s="197" t="s">
        <v>191</v>
      </c>
      <c r="F32" s="196">
        <f>I1</f>
        <v>4.990387499999998E-2</v>
      </c>
      <c r="G32" s="195">
        <f t="shared" ref="G32:G37" si="36">F32*2</f>
        <v>9.9807749999999959E-2</v>
      </c>
    </row>
    <row r="33" spans="1:7" ht="13.5" thickBot="1" x14ac:dyDescent="0.25">
      <c r="B33" s="388"/>
      <c r="C33" s="194" t="s">
        <v>192</v>
      </c>
      <c r="D33" s="193">
        <v>0.11</v>
      </c>
      <c r="E33" s="192" t="s">
        <v>192</v>
      </c>
      <c r="F33" s="196">
        <f>J1</f>
        <v>5.1807500000000022E-3</v>
      </c>
      <c r="G33" s="195">
        <f t="shared" si="36"/>
        <v>1.0361500000000004E-2</v>
      </c>
    </row>
    <row r="34" spans="1:7" x14ac:dyDescent="0.2">
      <c r="B34" s="387" t="s">
        <v>193</v>
      </c>
      <c r="C34" s="201" t="s">
        <v>191</v>
      </c>
      <c r="D34" s="200">
        <v>0.2</v>
      </c>
      <c r="E34" s="197" t="s">
        <v>191</v>
      </c>
      <c r="F34" s="196">
        <f>U1</f>
        <v>8.6877272727272758E-3</v>
      </c>
      <c r="G34" s="195">
        <f t="shared" si="36"/>
        <v>1.7375454545454552E-2</v>
      </c>
    </row>
    <row r="35" spans="1:7" ht="13.5" thickBot="1" x14ac:dyDescent="0.25">
      <c r="B35" s="388"/>
      <c r="C35" s="179" t="s">
        <v>192</v>
      </c>
      <c r="D35" s="193">
        <v>0.2</v>
      </c>
      <c r="E35" s="192" t="s">
        <v>192</v>
      </c>
      <c r="F35" s="196">
        <f>V1</f>
        <v>2.2111363636363643E-3</v>
      </c>
      <c r="G35" s="195">
        <f t="shared" si="36"/>
        <v>4.4222727272727287E-3</v>
      </c>
    </row>
    <row r="36" spans="1:7" x14ac:dyDescent="0.2">
      <c r="B36" s="387" t="s">
        <v>194</v>
      </c>
      <c r="C36" s="199" t="s">
        <v>191</v>
      </c>
      <c r="D36" s="198">
        <v>0.06</v>
      </c>
      <c r="E36" s="197" t="s">
        <v>191</v>
      </c>
      <c r="F36" s="196">
        <f xml:space="preserve"> AH1</f>
        <v>1.5575884772727273</v>
      </c>
      <c r="G36" s="195">
        <f t="shared" si="36"/>
        <v>3.1151769545454546</v>
      </c>
    </row>
    <row r="37" spans="1:7" ht="13.5" thickBot="1" x14ac:dyDescent="0.25">
      <c r="B37" s="388"/>
      <c r="C37" s="194" t="s">
        <v>192</v>
      </c>
      <c r="D37" s="193">
        <v>0.06</v>
      </c>
      <c r="E37" s="192" t="s">
        <v>192</v>
      </c>
      <c r="F37" s="191">
        <f>AI1</f>
        <v>0.18375074999999999</v>
      </c>
      <c r="G37" s="190">
        <f t="shared" si="36"/>
        <v>0.36750149999999998</v>
      </c>
    </row>
    <row r="38" spans="1:7" ht="13.5" thickBot="1" x14ac:dyDescent="0.25"/>
    <row r="39" spans="1:7" ht="13.5" thickBot="1" x14ac:dyDescent="0.25">
      <c r="B39" s="387" t="s">
        <v>190</v>
      </c>
      <c r="C39" s="389"/>
      <c r="D39" s="389" t="s">
        <v>193</v>
      </c>
      <c r="E39" s="389"/>
      <c r="F39" s="389" t="s">
        <v>195</v>
      </c>
      <c r="G39" s="390"/>
    </row>
    <row r="40" spans="1:7" ht="13.5" thickBot="1" x14ac:dyDescent="0.25">
      <c r="B40" s="189" t="s">
        <v>191</v>
      </c>
      <c r="C40" s="188" t="s">
        <v>192</v>
      </c>
      <c r="D40" s="188" t="s">
        <v>191</v>
      </c>
      <c r="E40" s="188" t="s">
        <v>192</v>
      </c>
      <c r="F40" s="188" t="s">
        <v>191</v>
      </c>
      <c r="G40" s="187" t="s">
        <v>192</v>
      </c>
    </row>
    <row r="41" spans="1:7" x14ac:dyDescent="0.2">
      <c r="A41" s="174" t="s">
        <v>174</v>
      </c>
      <c r="B41" s="345">
        <f>COUNTIF(TABLA!G4:G64,"&lt;"&amp;F32)</f>
        <v>39</v>
      </c>
      <c r="C41" s="186">
        <f>COUNTIF(TABLA!N4:N64,"&lt;"&amp;F33)</f>
        <v>26</v>
      </c>
      <c r="D41" s="186">
        <f>COUNTIF(TABLA!AG4:AG64,"&lt;"&amp;F34)</f>
        <v>33</v>
      </c>
      <c r="E41" s="186">
        <f>COUNTIF(TABLA!AN4:AN64,"&lt;"&amp;F35)</f>
        <v>36</v>
      </c>
      <c r="F41" s="186">
        <f>COUNTIF(TABLA!AZ4:AZ64,"&lt;"&amp;F36)</f>
        <v>36</v>
      </c>
      <c r="G41" s="185">
        <f>COUNTIF(TABLA!BG4:BG64,"&lt;"&amp;F37)</f>
        <v>20</v>
      </c>
    </row>
    <row r="42" spans="1:7" x14ac:dyDescent="0.2">
      <c r="A42" s="170" t="s">
        <v>175</v>
      </c>
      <c r="B42" s="184">
        <f>COUNTIF(TABLA!G4:G64,"&gt;"&amp;F32)</f>
        <v>21</v>
      </c>
      <c r="C42" s="183">
        <f>COUNTIF(TABLA!N4:N64,"&gt;"&amp;F33)</f>
        <v>34</v>
      </c>
      <c r="D42" s="183">
        <f>COUNTIF(TABLA!AG4:AG64,"&gt;"&amp;F34)</f>
        <v>27</v>
      </c>
      <c r="E42" s="183">
        <f>COUNTIF(TABLA!AN4:AN64,"&gt;"&amp;F35)</f>
        <v>24</v>
      </c>
      <c r="F42" s="183">
        <f>COUNTIF(TABLA!AZ4:AZ64,"&gt;"&amp;F36)</f>
        <v>24</v>
      </c>
      <c r="G42" s="182">
        <f>COUNTIF(TABLA!BG4:BG64,"&gt;"&amp;F37)</f>
        <v>40</v>
      </c>
    </row>
    <row r="43" spans="1:7" ht="13.5" thickBot="1" x14ac:dyDescent="0.25">
      <c r="A43" s="181" t="s">
        <v>176</v>
      </c>
      <c r="B43" s="180">
        <f t="shared" ref="B43:G43" si="37">SUM(B41:B42)</f>
        <v>60</v>
      </c>
      <c r="C43" s="179">
        <f t="shared" si="37"/>
        <v>60</v>
      </c>
      <c r="D43" s="179">
        <f t="shared" si="37"/>
        <v>60</v>
      </c>
      <c r="E43" s="179">
        <f t="shared" si="37"/>
        <v>60</v>
      </c>
      <c r="F43" s="179">
        <f t="shared" si="37"/>
        <v>60</v>
      </c>
      <c r="G43" s="178">
        <f t="shared" si="37"/>
        <v>60</v>
      </c>
    </row>
    <row r="44" spans="1:7" x14ac:dyDescent="0.2">
      <c r="B44" s="384" t="s">
        <v>190</v>
      </c>
      <c r="C44" s="385"/>
      <c r="D44" s="385" t="s">
        <v>193</v>
      </c>
      <c r="E44" s="385"/>
      <c r="F44" s="385" t="s">
        <v>195</v>
      </c>
      <c r="G44" s="386"/>
    </row>
    <row r="45" spans="1:7" ht="13.5" thickBot="1" x14ac:dyDescent="0.25">
      <c r="B45" s="177" t="s">
        <v>191</v>
      </c>
      <c r="C45" s="176" t="s">
        <v>192</v>
      </c>
      <c r="D45" s="176" t="s">
        <v>191</v>
      </c>
      <c r="E45" s="176" t="s">
        <v>192</v>
      </c>
      <c r="F45" s="176" t="s">
        <v>191</v>
      </c>
      <c r="G45" s="175" t="s">
        <v>192</v>
      </c>
    </row>
    <row r="46" spans="1:7" x14ac:dyDescent="0.2">
      <c r="A46" s="174" t="s">
        <v>174</v>
      </c>
      <c r="B46" s="173">
        <f t="shared" ref="B46:G47" si="38">B41/B$43*100</f>
        <v>65</v>
      </c>
      <c r="C46" s="172">
        <f t="shared" si="38"/>
        <v>43.333333333333336</v>
      </c>
      <c r="D46" s="172">
        <f t="shared" si="38"/>
        <v>55.000000000000007</v>
      </c>
      <c r="E46" s="172">
        <f t="shared" si="38"/>
        <v>60</v>
      </c>
      <c r="F46" s="172">
        <f t="shared" si="38"/>
        <v>60</v>
      </c>
      <c r="G46" s="171">
        <f t="shared" si="38"/>
        <v>33.333333333333329</v>
      </c>
    </row>
    <row r="47" spans="1:7" ht="13.5" thickBot="1" x14ac:dyDescent="0.25">
      <c r="A47" s="170" t="s">
        <v>175</v>
      </c>
      <c r="B47" s="169">
        <f t="shared" si="38"/>
        <v>35</v>
      </c>
      <c r="C47" s="168">
        <f t="shared" si="38"/>
        <v>56.666666666666664</v>
      </c>
      <c r="D47" s="168">
        <f t="shared" si="38"/>
        <v>45</v>
      </c>
      <c r="E47" s="168">
        <f t="shared" si="38"/>
        <v>40</v>
      </c>
      <c r="F47" s="168">
        <f t="shared" si="38"/>
        <v>40</v>
      </c>
      <c r="G47" s="167">
        <f t="shared" si="38"/>
        <v>66.666666666666657</v>
      </c>
    </row>
  </sheetData>
  <customSheetViews>
    <customSheetView guid="{C5BD3E9A-0945-47FE-8A56-1987B427C3E6}" showGridLines="0" state="hidden" topLeftCell="E1">
      <selection activeCell="H30" sqref="H30"/>
      <pageMargins left="0.7" right="0.7" top="0.75" bottom="0.75" header="0.3" footer="0.3"/>
      <pageSetup orientation="portrait" r:id="rId1"/>
    </customSheetView>
  </customSheetViews>
  <mergeCells count="36">
    <mergeCell ref="A2:L2"/>
    <mergeCell ref="M2:X2"/>
    <mergeCell ref="Y2:AJ2"/>
    <mergeCell ref="A3:F3"/>
    <mergeCell ref="G3:L3"/>
    <mergeCell ref="M3:R3"/>
    <mergeCell ref="S3:X3"/>
    <mergeCell ref="Y3:AD3"/>
    <mergeCell ref="AE3:AJ3"/>
    <mergeCell ref="A4:B4"/>
    <mergeCell ref="C4:D4"/>
    <mergeCell ref="E4:F4"/>
    <mergeCell ref="G4:H4"/>
    <mergeCell ref="I4:J4"/>
    <mergeCell ref="AC4:AD4"/>
    <mergeCell ref="K4:L4"/>
    <mergeCell ref="M4:N4"/>
    <mergeCell ref="O4:P4"/>
    <mergeCell ref="Q4:R4"/>
    <mergeCell ref="S4:T4"/>
    <mergeCell ref="AE4:AF4"/>
    <mergeCell ref="AG4:AH4"/>
    <mergeCell ref="AI4:AJ4"/>
    <mergeCell ref="B44:C44"/>
    <mergeCell ref="D44:E44"/>
    <mergeCell ref="F44:G44"/>
    <mergeCell ref="B32:B33"/>
    <mergeCell ref="B34:B35"/>
    <mergeCell ref="B36:B37"/>
    <mergeCell ref="B39:C39"/>
    <mergeCell ref="D39:E39"/>
    <mergeCell ref="F39:G39"/>
    <mergeCell ref="U4:V4"/>
    <mergeCell ref="W4:X4"/>
    <mergeCell ref="Y4:Z4"/>
    <mergeCell ref="AA4:AB4"/>
  </mergeCells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AJ47"/>
  <sheetViews>
    <sheetView topLeftCell="A3" workbookViewId="0">
      <selection activeCell="K40" sqref="K40"/>
    </sheetView>
  </sheetViews>
  <sheetFormatPr defaultColWidth="9.140625" defaultRowHeight="12.75" x14ac:dyDescent="0.2"/>
  <cols>
    <col min="1" max="1" width="13.5703125" bestFit="1" customWidth="1"/>
    <col min="3" max="3" width="9.5703125" bestFit="1" customWidth="1"/>
    <col min="4" max="4" width="8" customWidth="1"/>
    <col min="5" max="5" width="9.5703125" bestFit="1" customWidth="1"/>
    <col min="6" max="6" width="13.42578125" bestFit="1" customWidth="1"/>
    <col min="7" max="7" width="12.140625" bestFit="1" customWidth="1"/>
    <col min="13" max="13" width="9.5703125" bestFit="1" customWidth="1"/>
    <col min="14" max="14" width="7.85546875" bestFit="1" customWidth="1"/>
    <col min="16" max="16" width="8.42578125" customWidth="1"/>
    <col min="18" max="18" width="6.28515625" bestFit="1" customWidth="1"/>
    <col min="19" max="19" width="9.5703125" bestFit="1" customWidth="1"/>
    <col min="20" max="20" width="7.85546875" bestFit="1" customWidth="1"/>
    <col min="21" max="21" width="9.5703125" bestFit="1" customWidth="1"/>
    <col min="22" max="22" width="9.42578125" customWidth="1"/>
    <col min="23" max="23" width="9.5703125" bestFit="1" customWidth="1"/>
    <col min="24" max="24" width="6.28515625" customWidth="1"/>
    <col min="31" max="31" width="9.5703125" bestFit="1" customWidth="1"/>
    <col min="33" max="33" width="9.5703125" bestFit="1" customWidth="1"/>
  </cols>
  <sheetData>
    <row r="1" spans="1:36" ht="13.5" thickBot="1" x14ac:dyDescent="0.25">
      <c r="A1" s="234" t="s">
        <v>177</v>
      </c>
      <c r="B1" s="233">
        <f>MIN(TABLA_M!E4:E64)</f>
        <v>17.710999999999999</v>
      </c>
      <c r="C1" s="130">
        <f>MAX(TABLA_M!E4:E65)</f>
        <v>26.792999999999999</v>
      </c>
      <c r="D1" s="234" t="s">
        <v>178</v>
      </c>
      <c r="E1" s="233">
        <f>MIN(TABLA_M!L4:L65)</f>
        <v>0.95399999999999996</v>
      </c>
      <c r="F1" s="130">
        <f>MAX(TABLA_M!L4:L65)</f>
        <v>5.9749999999999996</v>
      </c>
      <c r="G1" s="232" t="s">
        <v>179</v>
      </c>
      <c r="I1" s="231">
        <f>AVERAGE(B7:B28)*D32</f>
        <v>2.2302216249999991</v>
      </c>
      <c r="J1" s="231">
        <f>AVERAGE(H6:H27)*$D$33</f>
        <v>0.382682625</v>
      </c>
      <c r="M1" s="234" t="s">
        <v>177</v>
      </c>
      <c r="N1" s="233">
        <f>MIN(TABLA_M!Z4:Z65)</f>
        <v>19.402999999999999</v>
      </c>
      <c r="O1" s="130">
        <f>MAX(TABLA_M!Z4:Z65)</f>
        <v>27.766999999999999</v>
      </c>
      <c r="P1" s="234" t="s">
        <v>178</v>
      </c>
      <c r="Q1" s="233">
        <f>MIN(TABLA_M!AG4:AG65)</f>
        <v>2.7E-2</v>
      </c>
      <c r="R1" s="130">
        <f>MAX(TABLA_M!AG4:AG65)</f>
        <v>0.57699999999999996</v>
      </c>
      <c r="S1" s="232"/>
      <c r="U1" s="231">
        <f>AVERAGE(N6:N27)*$D$34</f>
        <v>1.0662891477272729</v>
      </c>
      <c r="V1" s="231">
        <f>AVERAGE(T6:T27)*$D$35</f>
        <v>3.2516250000000003E-2</v>
      </c>
      <c r="Y1" s="234" t="s">
        <v>177</v>
      </c>
      <c r="Z1" s="233">
        <f>MIN(TABLA_M!AU4:AU65)</f>
        <v>0.39300000000000002</v>
      </c>
      <c r="AA1" s="130">
        <f>MAX(TABLA_M!AU4:AU65)</f>
        <v>2.198</v>
      </c>
      <c r="AB1" s="234" t="s">
        <v>178</v>
      </c>
      <c r="AC1" s="233">
        <f>MIN(TABLA_M!BB4:BB65)</f>
        <v>51.384</v>
      </c>
      <c r="AD1" s="130">
        <f>MAX(TABLA_M!BB4:BB65)</f>
        <v>58.036999999999999</v>
      </c>
      <c r="AE1" s="232"/>
      <c r="AG1" s="231"/>
      <c r="AH1" s="231">
        <f>AVERAGE(Z6:Z27)*$D$36</f>
        <v>8.3191193181818196E-2</v>
      </c>
      <c r="AI1" s="231">
        <f>AVERAGE(AF6:AF27)*$D$37</f>
        <v>1.4830847050619838</v>
      </c>
    </row>
    <row r="2" spans="1:36" ht="13.5" thickBot="1" x14ac:dyDescent="0.25">
      <c r="A2" s="399" t="s">
        <v>180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1"/>
      <c r="M2" s="402" t="s">
        <v>227</v>
      </c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4"/>
      <c r="Y2" s="405" t="s">
        <v>228</v>
      </c>
      <c r="Z2" s="406"/>
      <c r="AA2" s="406"/>
      <c r="AB2" s="406"/>
      <c r="AC2" s="406"/>
      <c r="AD2" s="406"/>
      <c r="AE2" s="406"/>
      <c r="AF2" s="406"/>
      <c r="AG2" s="406"/>
      <c r="AH2" s="406"/>
      <c r="AI2" s="406"/>
      <c r="AJ2" s="407"/>
    </row>
    <row r="3" spans="1:36" ht="13.5" thickBot="1" x14ac:dyDescent="0.25">
      <c r="A3" s="399" t="s">
        <v>177</v>
      </c>
      <c r="B3" s="400"/>
      <c r="C3" s="400"/>
      <c r="D3" s="400"/>
      <c r="E3" s="400"/>
      <c r="F3" s="401"/>
      <c r="G3" s="400" t="s">
        <v>178</v>
      </c>
      <c r="H3" s="400"/>
      <c r="I3" s="400"/>
      <c r="J3" s="400"/>
      <c r="K3" s="400"/>
      <c r="L3" s="401"/>
      <c r="M3" s="402" t="s">
        <v>177</v>
      </c>
      <c r="N3" s="403"/>
      <c r="O3" s="403"/>
      <c r="P3" s="403"/>
      <c r="Q3" s="403"/>
      <c r="R3" s="404"/>
      <c r="S3" s="408">
        <f>AVERAGE(T6:T27)*$D$35</f>
        <v>3.2516250000000003E-2</v>
      </c>
      <c r="T3" s="408"/>
      <c r="U3" s="408"/>
      <c r="V3" s="408"/>
      <c r="W3" s="408"/>
      <c r="X3" s="408"/>
      <c r="Y3" s="409" t="s">
        <v>177</v>
      </c>
      <c r="Z3" s="410"/>
      <c r="AA3" s="410"/>
      <c r="AB3" s="410"/>
      <c r="AC3" s="410"/>
      <c r="AD3" s="411"/>
      <c r="AE3" s="410" t="s">
        <v>178</v>
      </c>
      <c r="AF3" s="410"/>
      <c r="AG3" s="410"/>
      <c r="AH3" s="410"/>
      <c r="AI3" s="410"/>
      <c r="AJ3" s="411"/>
    </row>
    <row r="4" spans="1:36" x14ac:dyDescent="0.2">
      <c r="A4" s="395" t="s">
        <v>181</v>
      </c>
      <c r="B4" s="396"/>
      <c r="C4" s="395" t="s">
        <v>182</v>
      </c>
      <c r="D4" s="398"/>
      <c r="E4" s="396" t="s">
        <v>183</v>
      </c>
      <c r="F4" s="398"/>
      <c r="G4" s="396" t="s">
        <v>181</v>
      </c>
      <c r="H4" s="398"/>
      <c r="I4" s="395" t="s">
        <v>182</v>
      </c>
      <c r="J4" s="398"/>
      <c r="K4" s="395" t="s">
        <v>183</v>
      </c>
      <c r="L4" s="396"/>
      <c r="M4" s="391" t="s">
        <v>181</v>
      </c>
      <c r="N4" s="393"/>
      <c r="O4" s="391" t="s">
        <v>182</v>
      </c>
      <c r="P4" s="392"/>
      <c r="Q4" s="397" t="s">
        <v>183</v>
      </c>
      <c r="R4" s="392"/>
      <c r="S4" s="397" t="s">
        <v>181</v>
      </c>
      <c r="T4" s="392"/>
      <c r="U4" s="391" t="s">
        <v>182</v>
      </c>
      <c r="V4" s="392"/>
      <c r="W4" s="391" t="s">
        <v>183</v>
      </c>
      <c r="X4" s="393"/>
      <c r="Y4" s="382" t="s">
        <v>181</v>
      </c>
      <c r="Z4" s="383"/>
      <c r="AA4" s="382" t="s">
        <v>182</v>
      </c>
      <c r="AB4" s="383"/>
      <c r="AC4" s="382" t="s">
        <v>183</v>
      </c>
      <c r="AD4" s="394"/>
      <c r="AE4" s="382" t="s">
        <v>181</v>
      </c>
      <c r="AF4" s="383"/>
      <c r="AG4" s="382" t="s">
        <v>182</v>
      </c>
      <c r="AH4" s="383"/>
      <c r="AI4" s="382" t="s">
        <v>183</v>
      </c>
      <c r="AJ4" s="383"/>
    </row>
    <row r="5" spans="1:36" ht="13.5" thickBot="1" x14ac:dyDescent="0.25">
      <c r="A5" s="225" t="s">
        <v>184</v>
      </c>
      <c r="B5" s="226" t="s">
        <v>185</v>
      </c>
      <c r="C5" s="225" t="s">
        <v>184</v>
      </c>
      <c r="D5" s="224" t="s">
        <v>186</v>
      </c>
      <c r="E5" s="227" t="s">
        <v>184</v>
      </c>
      <c r="F5" s="224" t="s">
        <v>186</v>
      </c>
      <c r="G5" s="228" t="s">
        <v>184</v>
      </c>
      <c r="H5" s="230" t="s">
        <v>185</v>
      </c>
      <c r="I5" s="229" t="s">
        <v>184</v>
      </c>
      <c r="J5" s="230" t="s">
        <v>186</v>
      </c>
      <c r="K5" s="229" t="s">
        <v>184</v>
      </c>
      <c r="L5" s="228" t="s">
        <v>186</v>
      </c>
      <c r="M5" s="225" t="s">
        <v>184</v>
      </c>
      <c r="N5" s="226" t="s">
        <v>185</v>
      </c>
      <c r="O5" s="225" t="s">
        <v>184</v>
      </c>
      <c r="P5" s="224" t="s">
        <v>186</v>
      </c>
      <c r="Q5" s="227" t="s">
        <v>184</v>
      </c>
      <c r="R5" s="224" t="s">
        <v>186</v>
      </c>
      <c r="S5" s="227" t="s">
        <v>184</v>
      </c>
      <c r="T5" s="224" t="s">
        <v>185</v>
      </c>
      <c r="U5" s="225" t="s">
        <v>184</v>
      </c>
      <c r="V5" s="224" t="s">
        <v>186</v>
      </c>
      <c r="W5" s="225" t="s">
        <v>184</v>
      </c>
      <c r="X5" s="226" t="s">
        <v>186</v>
      </c>
      <c r="Y5" s="225" t="s">
        <v>184</v>
      </c>
      <c r="Z5" s="224" t="s">
        <v>185</v>
      </c>
      <c r="AA5" s="225" t="s">
        <v>184</v>
      </c>
      <c r="AB5" s="224" t="s">
        <v>186</v>
      </c>
      <c r="AC5" s="225" t="s">
        <v>184</v>
      </c>
      <c r="AD5" s="226" t="s">
        <v>186</v>
      </c>
      <c r="AE5" s="225" t="s">
        <v>184</v>
      </c>
      <c r="AF5" s="224" t="s">
        <v>185</v>
      </c>
      <c r="AG5" s="225" t="s">
        <v>184</v>
      </c>
      <c r="AH5" s="224" t="s">
        <v>186</v>
      </c>
      <c r="AI5" s="225" t="s">
        <v>184</v>
      </c>
      <c r="AJ5" s="224" t="s">
        <v>186</v>
      </c>
    </row>
    <row r="6" spans="1:36" x14ac:dyDescent="0.2">
      <c r="A6" s="223">
        <f>B1-(B1*0.6)</f>
        <v>7.0844000000000005</v>
      </c>
      <c r="B6" s="221">
        <f>B1-B1*0.6</f>
        <v>7.0844000000000005</v>
      </c>
      <c r="C6" s="223">
        <f>D6-$I$1</f>
        <v>4.8541783750000018</v>
      </c>
      <c r="D6" s="222">
        <f>B6</f>
        <v>7.0844000000000005</v>
      </c>
      <c r="E6" s="221">
        <f>F6+$I$1</f>
        <v>9.3146216249999991</v>
      </c>
      <c r="F6" s="222">
        <f>B6</f>
        <v>7.0844000000000005</v>
      </c>
      <c r="G6" s="223">
        <f>E1-E1*0.6</f>
        <v>0.38160000000000005</v>
      </c>
      <c r="H6" s="221">
        <f>G6</f>
        <v>0.38160000000000005</v>
      </c>
      <c r="I6" s="221">
        <f>J6-$J$1</f>
        <v>-1.0826249999999482E-3</v>
      </c>
      <c r="J6" s="221">
        <f>H6</f>
        <v>0.38160000000000005</v>
      </c>
      <c r="K6" s="221">
        <f>L6+$J$1</f>
        <v>0.7642826250000001</v>
      </c>
      <c r="L6" s="222">
        <f>H6</f>
        <v>0.38160000000000005</v>
      </c>
      <c r="M6" s="223">
        <f>N1-N1*0.4</f>
        <v>11.6418</v>
      </c>
      <c r="N6" s="221">
        <f>M6</f>
        <v>11.6418</v>
      </c>
      <c r="O6" s="221">
        <f>P6-U1</f>
        <v>10.575510852272727</v>
      </c>
      <c r="P6" s="221">
        <f>N6</f>
        <v>11.6418</v>
      </c>
      <c r="Q6" s="221">
        <f>R6+$U$1</f>
        <v>12.708089147727273</v>
      </c>
      <c r="R6" s="222">
        <f>P6</f>
        <v>11.6418</v>
      </c>
      <c r="S6" s="221">
        <f>Q1-Q1*0.4</f>
        <v>1.6199999999999999E-2</v>
      </c>
      <c r="T6" s="221">
        <f>S6</f>
        <v>1.6199999999999999E-2</v>
      </c>
      <c r="U6" s="221">
        <f>V6-$V$1</f>
        <v>-1.6316250000000004E-2</v>
      </c>
      <c r="V6" s="221">
        <f>T6</f>
        <v>1.6199999999999999E-2</v>
      </c>
      <c r="W6" s="221">
        <f>X6+V1</f>
        <v>4.8716250000000003E-2</v>
      </c>
      <c r="X6" s="222">
        <f>V6</f>
        <v>1.6199999999999999E-2</v>
      </c>
      <c r="Y6" s="220">
        <f>Z1-Z1*0.05</f>
        <v>0.37335000000000002</v>
      </c>
      <c r="Z6" s="218">
        <f>Z1-Z1*0.05</f>
        <v>0.37335000000000002</v>
      </c>
      <c r="AA6" s="218">
        <f>Y6-$AH$1</f>
        <v>0.29015880681818185</v>
      </c>
      <c r="AB6" s="218">
        <f>Z6</f>
        <v>0.37335000000000002</v>
      </c>
      <c r="AC6" s="218">
        <f>Y6+$AH$1</f>
        <v>0.45654119318181818</v>
      </c>
      <c r="AD6" s="217">
        <f t="shared" ref="AD6:AD29" si="0">Z6</f>
        <v>0.37335000000000002</v>
      </c>
      <c r="AE6" s="219">
        <f>AC1-AC1*0.08</f>
        <v>47.27328</v>
      </c>
      <c r="AF6" s="218">
        <f>AC1-AC1*0.08</f>
        <v>47.27328</v>
      </c>
      <c r="AG6" s="218">
        <f t="shared" ref="AG6:AG29" si="1">AE6-$AI$1</f>
        <v>45.790195294938016</v>
      </c>
      <c r="AH6" s="218">
        <f t="shared" ref="AH6:AH29" si="2">AF6</f>
        <v>47.27328</v>
      </c>
      <c r="AI6" s="218">
        <f>AE6+$AI$1</f>
        <v>48.756364705061983</v>
      </c>
      <c r="AJ6" s="217">
        <f t="shared" ref="AJ6:AJ29" si="3">AF6</f>
        <v>47.27328</v>
      </c>
    </row>
    <row r="7" spans="1:36" x14ac:dyDescent="0.2">
      <c r="A7" s="216">
        <f>A6+((($C$1+$C$1*0.25)-$A$6)/22)</f>
        <v>8.2847113636363634</v>
      </c>
      <c r="B7" s="84">
        <f>A6+((($C$1+$C$1*0.25)-$A$6)/22)</f>
        <v>8.2847113636363634</v>
      </c>
      <c r="C7" s="216">
        <f>D7-$I$1</f>
        <v>6.0544897386363647</v>
      </c>
      <c r="D7" s="215">
        <f>B7</f>
        <v>8.2847113636363634</v>
      </c>
      <c r="E7" s="84">
        <f>F7+$I$1</f>
        <v>10.514932988636362</v>
      </c>
      <c r="F7" s="215">
        <f>B7</f>
        <v>8.2847113636363634</v>
      </c>
      <c r="G7" s="216">
        <f>G6+((($F$1+$F$1*0.15)-$G$6)/22)</f>
        <v>0.676584090909091</v>
      </c>
      <c r="H7" s="84">
        <f>G7</f>
        <v>0.676584090909091</v>
      </c>
      <c r="I7" s="84">
        <f>J7-$J$1</f>
        <v>0.293901465909091</v>
      </c>
      <c r="J7" s="84">
        <f>H7</f>
        <v>0.676584090909091</v>
      </c>
      <c r="K7" s="84">
        <f>L7+$J$1</f>
        <v>1.0592667159090909</v>
      </c>
      <c r="L7" s="215">
        <f>H7</f>
        <v>0.676584090909091</v>
      </c>
      <c r="M7" s="216">
        <f>M6+((($O$1+$O$1*0.15)-$M$6)/22)</f>
        <v>12.564084090909091</v>
      </c>
      <c r="N7" s="84">
        <f>M7</f>
        <v>12.564084090909091</v>
      </c>
      <c r="O7" s="84">
        <f>P7-$U$1</f>
        <v>11.497794943181818</v>
      </c>
      <c r="P7" s="84">
        <f>N7</f>
        <v>12.564084090909091</v>
      </c>
      <c r="Q7" s="84">
        <f>R7+$U$1</f>
        <v>13.630373238636365</v>
      </c>
      <c r="R7" s="215">
        <f>P7</f>
        <v>12.564084090909091</v>
      </c>
      <c r="S7" s="84">
        <f>S6+((($R$1+$R$1*0.15)-$S$6)/22)</f>
        <v>4.5624999999999999E-2</v>
      </c>
      <c r="T7" s="84">
        <f>S7</f>
        <v>4.5624999999999999E-2</v>
      </c>
      <c r="U7" s="84">
        <f>V7-$V$1</f>
        <v>1.3108749999999995E-2</v>
      </c>
      <c r="V7" s="84">
        <f>T7</f>
        <v>4.5624999999999999E-2</v>
      </c>
      <c r="W7" s="84">
        <f>X7+$V$1</f>
        <v>7.8141249999999995E-2</v>
      </c>
      <c r="X7" s="215">
        <f>V7</f>
        <v>4.5624999999999999E-2</v>
      </c>
      <c r="Y7" s="214">
        <f t="shared" ref="Y7:Z11" si="4">Y6+((($AA$1+$AA$1*0.4)-$Y$6)/22)</f>
        <v>0.49625227272727274</v>
      </c>
      <c r="Z7" s="214">
        <f t="shared" si="4"/>
        <v>0.49625227272727274</v>
      </c>
      <c r="AA7" s="212">
        <f t="shared" ref="AA7:AA26" si="5">Y7-$AH$1</f>
        <v>0.41306107954545457</v>
      </c>
      <c r="AB7" s="212">
        <f t="shared" ref="AB7:AB28" si="6">Z7</f>
        <v>0.49625227272727274</v>
      </c>
      <c r="AC7" s="212">
        <f>Y7+$AH$1</f>
        <v>0.5794434659090909</v>
      </c>
      <c r="AD7" s="211">
        <f t="shared" si="0"/>
        <v>0.49625227272727274</v>
      </c>
      <c r="AE7" s="213">
        <f t="shared" ref="AE7:AE12" si="7">AE6+((($AD$1+$AD$1*0.25)-$AE$6)/22)</f>
        <v>48.422051363636363</v>
      </c>
      <c r="AF7" s="212">
        <f>AE6+((($AD$1+$AD$1*0.25)-$AE$6)/22)</f>
        <v>48.422051363636363</v>
      </c>
      <c r="AG7" s="212">
        <f t="shared" si="1"/>
        <v>46.93896665857438</v>
      </c>
      <c r="AH7" s="212">
        <f t="shared" si="2"/>
        <v>48.422051363636363</v>
      </c>
      <c r="AI7" s="212">
        <f>AE7+$AI$1</f>
        <v>49.905136068698347</v>
      </c>
      <c r="AJ7" s="211">
        <f t="shared" si="3"/>
        <v>48.422051363636363</v>
      </c>
    </row>
    <row r="8" spans="1:36" x14ac:dyDescent="0.2">
      <c r="A8" s="216">
        <f>A7+((($C$1+$C$1*0.25)-$A$6)/22)</f>
        <v>9.4850227272727263</v>
      </c>
      <c r="B8" s="84">
        <f t="shared" ref="B8:B27" si="8">A7+((($C$1+$C$1*0.25)-$A$6)/22)</f>
        <v>9.4850227272727263</v>
      </c>
      <c r="C8" s="216">
        <f>D8-$I$1</f>
        <v>7.2548011022727277</v>
      </c>
      <c r="D8" s="215">
        <f>B8</f>
        <v>9.4850227272727263</v>
      </c>
      <c r="E8" s="84">
        <f>F8+$I$1</f>
        <v>11.715244352272725</v>
      </c>
      <c r="F8" s="215">
        <f>B8</f>
        <v>9.4850227272727263</v>
      </c>
      <c r="G8" s="216">
        <f>G7+((($F$1+$F$1*0.15)-$G$6)/22)</f>
        <v>0.97156818181818183</v>
      </c>
      <c r="H8" s="84">
        <f>G8</f>
        <v>0.97156818181818183</v>
      </c>
      <c r="I8" s="84">
        <f>J8-$J$1</f>
        <v>0.58888555681818189</v>
      </c>
      <c r="J8" s="84">
        <f>H8</f>
        <v>0.97156818181818183</v>
      </c>
      <c r="K8" s="84">
        <f>L8+$J$1</f>
        <v>1.3542508068181818</v>
      </c>
      <c r="L8" s="215">
        <f>H8</f>
        <v>0.97156818181818183</v>
      </c>
      <c r="M8" s="216">
        <f>M7+((($O$1+$O$1*0.15)-$M$6)/22)</f>
        <v>13.486368181818182</v>
      </c>
      <c r="N8" s="84">
        <f>M8</f>
        <v>13.486368181818182</v>
      </c>
      <c r="O8" s="84">
        <f>P8-$U$1</f>
        <v>12.420079034090909</v>
      </c>
      <c r="P8" s="84">
        <f>N8</f>
        <v>13.486368181818182</v>
      </c>
      <c r="Q8" s="84">
        <f>R8+$U$1</f>
        <v>14.552657329545456</v>
      </c>
      <c r="R8" s="215">
        <f>P8</f>
        <v>13.486368181818182</v>
      </c>
      <c r="S8" s="84">
        <f>S7+((($R$1+$R$1*0.15)-$S$6)/22)</f>
        <v>7.5050000000000006E-2</v>
      </c>
      <c r="T8" s="84">
        <f>S8</f>
        <v>7.5050000000000006E-2</v>
      </c>
      <c r="U8" s="84">
        <f>V8-$V$1</f>
        <v>4.2533750000000002E-2</v>
      </c>
      <c r="V8" s="84">
        <f>T8</f>
        <v>7.5050000000000006E-2</v>
      </c>
      <c r="W8" s="84">
        <f>X8+$V$1</f>
        <v>0.10756625</v>
      </c>
      <c r="X8" s="215">
        <f>V8</f>
        <v>7.5050000000000006E-2</v>
      </c>
      <c r="Y8" s="214">
        <f t="shared" si="4"/>
        <v>0.61915454545454551</v>
      </c>
      <c r="Z8" s="214">
        <f t="shared" si="4"/>
        <v>0.61915454545454551</v>
      </c>
      <c r="AA8" s="212">
        <f>Y8-$AH$1</f>
        <v>0.53596335227272729</v>
      </c>
      <c r="AB8" s="212">
        <f t="shared" si="6"/>
        <v>0.61915454545454551</v>
      </c>
      <c r="AC8" s="212">
        <f t="shared" ref="AC8:AC26" si="9">Y8+$AH$1</f>
        <v>0.70234573863636374</v>
      </c>
      <c r="AD8" s="211">
        <f t="shared" si="0"/>
        <v>0.61915454545454551</v>
      </c>
      <c r="AE8" s="213">
        <f t="shared" si="7"/>
        <v>49.570822727272727</v>
      </c>
      <c r="AF8" s="212">
        <f>AE7+((($AD$1+$AD$1*0.15)-$AE$6)/22)</f>
        <v>49.307018181818179</v>
      </c>
      <c r="AG8" s="212">
        <f t="shared" si="1"/>
        <v>48.087738022210743</v>
      </c>
      <c r="AH8" s="212">
        <f t="shared" si="2"/>
        <v>49.307018181818179</v>
      </c>
      <c r="AI8" s="212">
        <f t="shared" ref="AI8:AI29" si="10">AE8+$AI$1</f>
        <v>51.053907432334711</v>
      </c>
      <c r="AJ8" s="211">
        <f t="shared" si="3"/>
        <v>49.307018181818179</v>
      </c>
    </row>
    <row r="9" spans="1:36" x14ac:dyDescent="0.2">
      <c r="A9" s="216">
        <f>A8+((($C$1+$C$1*0.25)-$A$6)/22)</f>
        <v>10.685334090909089</v>
      </c>
      <c r="B9" s="84">
        <f t="shared" si="8"/>
        <v>10.685334090909089</v>
      </c>
      <c r="C9" s="216">
        <f t="shared" ref="C9:C29" si="11">D9-$I$1</f>
        <v>8.4551124659090906</v>
      </c>
      <c r="D9" s="215">
        <f t="shared" ref="D9:D28" si="12">B9</f>
        <v>10.685334090909089</v>
      </c>
      <c r="E9" s="84">
        <f t="shared" ref="E9:E29" si="13">F9+$I$1</f>
        <v>12.915555715909088</v>
      </c>
      <c r="F9" s="215">
        <f t="shared" ref="F9:F29" si="14">B9</f>
        <v>10.685334090909089</v>
      </c>
      <c r="G9" s="216">
        <f t="shared" ref="G9:G27" si="15">G8+((($F$1+$F$1*0.15)-$G$6)/22)</f>
        <v>1.2665522727272727</v>
      </c>
      <c r="H9" s="84">
        <f t="shared" ref="H9:H29" si="16">G9</f>
        <v>1.2665522727272727</v>
      </c>
      <c r="I9" s="84">
        <f t="shared" ref="I9:I29" si="17">J9-$J$1</f>
        <v>0.88386964772727272</v>
      </c>
      <c r="J9" s="84">
        <f t="shared" ref="J9:J29" si="18">H9</f>
        <v>1.2665522727272727</v>
      </c>
      <c r="K9" s="84">
        <f t="shared" ref="K9:K29" si="19">L9+$J$1</f>
        <v>1.6492348977272726</v>
      </c>
      <c r="L9" s="215">
        <f t="shared" ref="L9:L28" si="20">H9</f>
        <v>1.2665522727272727</v>
      </c>
      <c r="M9" s="216">
        <f t="shared" ref="M9:M29" si="21">M8+((($O$1+$O$1*0.15)-$M$6)/22)</f>
        <v>14.408652272727274</v>
      </c>
      <c r="N9" s="84">
        <f t="shared" ref="N9:N29" si="22">M9</f>
        <v>14.408652272727274</v>
      </c>
      <c r="O9" s="84">
        <f t="shared" ref="O9:O29" si="23">P9-$U$1</f>
        <v>13.342363125</v>
      </c>
      <c r="P9" s="84">
        <f t="shared" ref="P9:P29" si="24">N9</f>
        <v>14.408652272727274</v>
      </c>
      <c r="Q9" s="84">
        <f t="shared" ref="Q9:Q29" si="25">R9+$U$1</f>
        <v>15.474941420454547</v>
      </c>
      <c r="R9" s="215">
        <f t="shared" ref="R9:R29" si="26">P9</f>
        <v>14.408652272727274</v>
      </c>
      <c r="S9" s="84">
        <f t="shared" ref="S9:S29" si="27">S8+((($R$1+$R$1*0.15)-$S$6)/22)</f>
        <v>0.10447500000000001</v>
      </c>
      <c r="T9" s="84">
        <f t="shared" ref="T9:T29" si="28">S9</f>
        <v>0.10447500000000001</v>
      </c>
      <c r="U9" s="84">
        <f t="shared" ref="U9:U29" si="29">V9-$V$1</f>
        <v>7.1958750000000016E-2</v>
      </c>
      <c r="V9" s="84">
        <f t="shared" ref="V9:V29" si="30">T9</f>
        <v>0.10447500000000001</v>
      </c>
      <c r="W9" s="84">
        <f t="shared" ref="W9:W29" si="31">X9+$V$1</f>
        <v>0.13699125000000001</v>
      </c>
      <c r="X9" s="215">
        <f t="shared" ref="X9:X29" si="32">V9</f>
        <v>0.10447500000000001</v>
      </c>
      <c r="Y9" s="214">
        <f t="shared" si="4"/>
        <v>0.74205681818181823</v>
      </c>
      <c r="Z9" s="214">
        <f t="shared" si="4"/>
        <v>0.74205681818181823</v>
      </c>
      <c r="AA9" s="212">
        <f t="shared" si="5"/>
        <v>0.65886562500000001</v>
      </c>
      <c r="AB9" s="212">
        <f t="shared" si="6"/>
        <v>0.74205681818181823</v>
      </c>
      <c r="AC9" s="212">
        <f>Y9+$AH$1</f>
        <v>0.82524801136363646</v>
      </c>
      <c r="AD9" s="211">
        <f t="shared" si="0"/>
        <v>0.74205681818181823</v>
      </c>
      <c r="AE9" s="213">
        <f t="shared" si="7"/>
        <v>50.719594090909091</v>
      </c>
      <c r="AF9" s="212">
        <f>AE8+((($AD$1+$AD$1*0.25)-$AE$6)/22)</f>
        <v>50.719594090909091</v>
      </c>
      <c r="AG9" s="212">
        <f t="shared" si="1"/>
        <v>49.236509385847107</v>
      </c>
      <c r="AH9" s="212">
        <f t="shared" si="2"/>
        <v>50.719594090909091</v>
      </c>
      <c r="AI9" s="212">
        <f>AE9+$AI$1</f>
        <v>52.202678795971075</v>
      </c>
      <c r="AJ9" s="211">
        <f t="shared" si="3"/>
        <v>50.719594090909091</v>
      </c>
    </row>
    <row r="10" spans="1:36" x14ac:dyDescent="0.2">
      <c r="A10" s="216">
        <f>A9+((($C$1+$C$1*0.25)-$A$6)/22)</f>
        <v>11.885645454545452</v>
      </c>
      <c r="B10" s="84">
        <f t="shared" si="8"/>
        <v>11.885645454545452</v>
      </c>
      <c r="C10" s="216">
        <f t="shared" si="11"/>
        <v>9.6554238295454535</v>
      </c>
      <c r="D10" s="215">
        <f t="shared" si="12"/>
        <v>11.885645454545452</v>
      </c>
      <c r="E10" s="84">
        <f t="shared" si="13"/>
        <v>14.115867079545451</v>
      </c>
      <c r="F10" s="215">
        <f t="shared" si="14"/>
        <v>11.885645454545452</v>
      </c>
      <c r="G10" s="216">
        <f t="shared" si="15"/>
        <v>1.5615363636363635</v>
      </c>
      <c r="H10" s="84">
        <f t="shared" si="16"/>
        <v>1.5615363636363635</v>
      </c>
      <c r="I10" s="84">
        <f t="shared" si="17"/>
        <v>1.1788537386363636</v>
      </c>
      <c r="J10" s="84">
        <f t="shared" si="18"/>
        <v>1.5615363636363635</v>
      </c>
      <c r="K10" s="84">
        <f t="shared" si="19"/>
        <v>1.9442189886363634</v>
      </c>
      <c r="L10" s="215">
        <f t="shared" si="20"/>
        <v>1.5615363636363635</v>
      </c>
      <c r="M10" s="216">
        <f t="shared" si="21"/>
        <v>15.330936363636365</v>
      </c>
      <c r="N10" s="84">
        <f t="shared" si="22"/>
        <v>15.330936363636365</v>
      </c>
      <c r="O10" s="84">
        <f t="shared" si="23"/>
        <v>14.264647215909092</v>
      </c>
      <c r="P10" s="84">
        <f t="shared" si="24"/>
        <v>15.330936363636365</v>
      </c>
      <c r="Q10" s="84">
        <f t="shared" si="25"/>
        <v>16.397225511363636</v>
      </c>
      <c r="R10" s="215">
        <f t="shared" si="26"/>
        <v>15.330936363636365</v>
      </c>
      <c r="S10" s="84">
        <f t="shared" si="27"/>
        <v>0.13390000000000002</v>
      </c>
      <c r="T10" s="84">
        <f t="shared" si="28"/>
        <v>0.13390000000000002</v>
      </c>
      <c r="U10" s="84">
        <f t="shared" si="29"/>
        <v>0.10138375000000002</v>
      </c>
      <c r="V10" s="84">
        <f t="shared" si="30"/>
        <v>0.13390000000000002</v>
      </c>
      <c r="W10" s="84">
        <f t="shared" si="31"/>
        <v>0.16641625000000002</v>
      </c>
      <c r="X10" s="215">
        <f t="shared" si="32"/>
        <v>0.13390000000000002</v>
      </c>
      <c r="Y10" s="214">
        <f t="shared" si="4"/>
        <v>0.86495909090909096</v>
      </c>
      <c r="Z10" s="214">
        <f t="shared" si="4"/>
        <v>0.86495909090909096</v>
      </c>
      <c r="AA10" s="212">
        <f>Y10-$AH$1</f>
        <v>0.78176789772727273</v>
      </c>
      <c r="AB10" s="212">
        <f t="shared" si="6"/>
        <v>0.86495909090909096</v>
      </c>
      <c r="AC10" s="212">
        <f t="shared" si="9"/>
        <v>0.94815028409090918</v>
      </c>
      <c r="AD10" s="211">
        <f t="shared" si="0"/>
        <v>0.86495909090909096</v>
      </c>
      <c r="AE10" s="213">
        <f t="shared" si="7"/>
        <v>51.868365454545454</v>
      </c>
      <c r="AF10" s="212">
        <f t="shared" ref="AF10:AF27" si="33">AE9+((($AD$1+$AD$1*0.25)-$AE$6)/22)</f>
        <v>51.868365454545454</v>
      </c>
      <c r="AG10" s="212">
        <f t="shared" si="1"/>
        <v>50.385280749483471</v>
      </c>
      <c r="AH10" s="212">
        <f t="shared" si="2"/>
        <v>51.868365454545454</v>
      </c>
      <c r="AI10" s="212">
        <f t="shared" si="10"/>
        <v>53.351450159607438</v>
      </c>
      <c r="AJ10" s="211">
        <f t="shared" si="3"/>
        <v>51.868365454545454</v>
      </c>
    </row>
    <row r="11" spans="1:36" x14ac:dyDescent="0.2">
      <c r="A11" s="216">
        <f t="shared" ref="A11:A24" si="34">A10+((($C$1+$C$1*0.25)-$A$6)/22)</f>
        <v>13.085956818181815</v>
      </c>
      <c r="B11" s="84">
        <f t="shared" si="8"/>
        <v>13.085956818181815</v>
      </c>
      <c r="C11" s="216">
        <f t="shared" si="11"/>
        <v>10.855735193181816</v>
      </c>
      <c r="D11" s="215">
        <f t="shared" si="12"/>
        <v>13.085956818181815</v>
      </c>
      <c r="E11" s="84">
        <f t="shared" si="13"/>
        <v>15.316178443181814</v>
      </c>
      <c r="F11" s="215">
        <f t="shared" si="14"/>
        <v>13.085956818181815</v>
      </c>
      <c r="G11" s="216">
        <f t="shared" si="15"/>
        <v>1.8565204545454543</v>
      </c>
      <c r="H11" s="84">
        <f t="shared" si="16"/>
        <v>1.8565204545454543</v>
      </c>
      <c r="I11" s="84">
        <f t="shared" si="17"/>
        <v>1.4738378295454544</v>
      </c>
      <c r="J11" s="84">
        <f t="shared" si="18"/>
        <v>1.8565204545454543</v>
      </c>
      <c r="K11" s="84">
        <f t="shared" si="19"/>
        <v>2.2392030795454545</v>
      </c>
      <c r="L11" s="215">
        <f t="shared" si="20"/>
        <v>1.8565204545454543</v>
      </c>
      <c r="M11" s="216">
        <f t="shared" si="21"/>
        <v>16.253220454545456</v>
      </c>
      <c r="N11" s="84">
        <f t="shared" si="22"/>
        <v>16.253220454545456</v>
      </c>
      <c r="O11" s="84">
        <f t="shared" si="23"/>
        <v>15.186931306818183</v>
      </c>
      <c r="P11" s="84">
        <f t="shared" si="24"/>
        <v>16.253220454545456</v>
      </c>
      <c r="Q11" s="84">
        <f t="shared" si="25"/>
        <v>17.319509602272728</v>
      </c>
      <c r="R11" s="215">
        <f t="shared" si="26"/>
        <v>16.253220454545456</v>
      </c>
      <c r="S11" s="84">
        <f t="shared" si="27"/>
        <v>0.16332500000000003</v>
      </c>
      <c r="T11" s="84">
        <f t="shared" si="28"/>
        <v>0.16332500000000003</v>
      </c>
      <c r="U11" s="84">
        <f t="shared" si="29"/>
        <v>0.13080875000000003</v>
      </c>
      <c r="V11" s="84">
        <f t="shared" si="30"/>
        <v>0.16332500000000003</v>
      </c>
      <c r="W11" s="84">
        <f t="shared" si="31"/>
        <v>0.19584125000000002</v>
      </c>
      <c r="X11" s="215">
        <f t="shared" si="32"/>
        <v>0.16332500000000003</v>
      </c>
      <c r="Y11" s="214">
        <f t="shared" si="4"/>
        <v>0.98786136363636368</v>
      </c>
      <c r="Z11" s="214">
        <f t="shared" si="4"/>
        <v>0.98786136363636368</v>
      </c>
      <c r="AA11" s="212">
        <f t="shared" si="5"/>
        <v>0.90467017045454545</v>
      </c>
      <c r="AB11" s="212">
        <f t="shared" si="6"/>
        <v>0.98786136363636368</v>
      </c>
      <c r="AC11" s="212">
        <f>Y11+$AH$1</f>
        <v>1.0710525568181819</v>
      </c>
      <c r="AD11" s="211">
        <f t="shared" si="0"/>
        <v>0.98786136363636368</v>
      </c>
      <c r="AE11" s="213">
        <f t="shared" si="7"/>
        <v>53.017136818181818</v>
      </c>
      <c r="AF11" s="212">
        <f>AE10+((($AD$1+$AD$1*0.25)-$AE$6)/22)</f>
        <v>53.017136818181818</v>
      </c>
      <c r="AG11" s="212">
        <f t="shared" si="1"/>
        <v>51.534052113119834</v>
      </c>
      <c r="AH11" s="212">
        <f t="shared" si="2"/>
        <v>53.017136818181818</v>
      </c>
      <c r="AI11" s="212">
        <f>AE11+$AI$1</f>
        <v>54.500221523243802</v>
      </c>
      <c r="AJ11" s="211">
        <f t="shared" si="3"/>
        <v>53.017136818181818</v>
      </c>
    </row>
    <row r="12" spans="1:36" x14ac:dyDescent="0.2">
      <c r="A12" s="216">
        <f>A11+((($C$1+$C$1*0.25)-$A$6)/22)</f>
        <v>14.286268181818178</v>
      </c>
      <c r="B12" s="84">
        <f t="shared" si="8"/>
        <v>14.286268181818178</v>
      </c>
      <c r="C12" s="216">
        <f t="shared" si="11"/>
        <v>12.056046556818179</v>
      </c>
      <c r="D12" s="215">
        <f t="shared" si="12"/>
        <v>14.286268181818178</v>
      </c>
      <c r="E12" s="84">
        <f t="shared" si="13"/>
        <v>16.516489806818178</v>
      </c>
      <c r="F12" s="215">
        <f t="shared" si="14"/>
        <v>14.286268181818178</v>
      </c>
      <c r="G12" s="216">
        <f t="shared" si="15"/>
        <v>2.1515045454545452</v>
      </c>
      <c r="H12" s="84">
        <f t="shared" si="16"/>
        <v>2.1515045454545452</v>
      </c>
      <c r="I12" s="84">
        <f t="shared" si="17"/>
        <v>1.7688219204545452</v>
      </c>
      <c r="J12" s="84">
        <f t="shared" si="18"/>
        <v>2.1515045454545452</v>
      </c>
      <c r="K12" s="84">
        <f t="shared" si="19"/>
        <v>2.5341871704545453</v>
      </c>
      <c r="L12" s="215">
        <f t="shared" si="20"/>
        <v>2.1515045454545452</v>
      </c>
      <c r="M12" s="216">
        <f t="shared" si="21"/>
        <v>17.175504545454547</v>
      </c>
      <c r="N12" s="84">
        <f t="shared" si="22"/>
        <v>17.175504545454547</v>
      </c>
      <c r="O12" s="84">
        <f t="shared" si="23"/>
        <v>16.109215397727276</v>
      </c>
      <c r="P12" s="84">
        <f t="shared" si="24"/>
        <v>17.175504545454547</v>
      </c>
      <c r="Q12" s="84">
        <f t="shared" si="25"/>
        <v>18.241793693181819</v>
      </c>
      <c r="R12" s="215">
        <f t="shared" si="26"/>
        <v>17.175504545454547</v>
      </c>
      <c r="S12" s="84">
        <f t="shared" si="27"/>
        <v>0.19275000000000003</v>
      </c>
      <c r="T12" s="84">
        <f t="shared" si="28"/>
        <v>0.19275000000000003</v>
      </c>
      <c r="U12" s="84">
        <f t="shared" si="29"/>
        <v>0.16023375000000004</v>
      </c>
      <c r="V12" s="84">
        <f t="shared" si="30"/>
        <v>0.19275000000000003</v>
      </c>
      <c r="W12" s="84">
        <f t="shared" si="31"/>
        <v>0.22526625000000003</v>
      </c>
      <c r="X12" s="215">
        <f t="shared" si="32"/>
        <v>0.19275000000000003</v>
      </c>
      <c r="Y12" s="214">
        <f t="shared" ref="Y12:Z27" si="35">Y11+((($AA$1+$AA$1*0.4)-$Y$6)/22)</f>
        <v>1.1107636363636364</v>
      </c>
      <c r="Z12" s="214">
        <f t="shared" si="35"/>
        <v>1.1107636363636364</v>
      </c>
      <c r="AA12" s="212">
        <f>Y12-$AH$1</f>
        <v>1.0275724431818183</v>
      </c>
      <c r="AB12" s="212">
        <f t="shared" si="6"/>
        <v>1.1107636363636364</v>
      </c>
      <c r="AC12" s="212">
        <f t="shared" si="9"/>
        <v>1.1939548295454545</v>
      </c>
      <c r="AD12" s="211">
        <f t="shared" si="0"/>
        <v>1.1107636363636364</v>
      </c>
      <c r="AE12" s="213">
        <f t="shared" si="7"/>
        <v>54.165908181818182</v>
      </c>
      <c r="AF12" s="212">
        <f t="shared" si="33"/>
        <v>54.165908181818182</v>
      </c>
      <c r="AG12" s="212">
        <f t="shared" si="1"/>
        <v>52.682823476756198</v>
      </c>
      <c r="AH12" s="212">
        <f t="shared" si="2"/>
        <v>54.165908181818182</v>
      </c>
      <c r="AI12" s="212">
        <f t="shared" si="10"/>
        <v>55.648992886880166</v>
      </c>
      <c r="AJ12" s="211">
        <f t="shared" si="3"/>
        <v>54.165908181818182</v>
      </c>
    </row>
    <row r="13" spans="1:36" x14ac:dyDescent="0.2">
      <c r="A13" s="216">
        <f>A12+((($C$1+$C$1*0.25)-$A$6)/22)</f>
        <v>15.486579545454541</v>
      </c>
      <c r="B13" s="84">
        <f t="shared" si="8"/>
        <v>15.486579545454541</v>
      </c>
      <c r="C13" s="216">
        <f t="shared" si="11"/>
        <v>13.256357920454542</v>
      </c>
      <c r="D13" s="215">
        <f t="shared" si="12"/>
        <v>15.486579545454541</v>
      </c>
      <c r="E13" s="84">
        <f t="shared" si="13"/>
        <v>17.716801170454541</v>
      </c>
      <c r="F13" s="215">
        <f t="shared" si="14"/>
        <v>15.486579545454541</v>
      </c>
      <c r="G13" s="216">
        <f t="shared" si="15"/>
        <v>2.446488636363636</v>
      </c>
      <c r="H13" s="84">
        <f t="shared" si="16"/>
        <v>2.446488636363636</v>
      </c>
      <c r="I13" s="84">
        <f t="shared" si="17"/>
        <v>2.0638060113636358</v>
      </c>
      <c r="J13" s="84">
        <f t="shared" si="18"/>
        <v>2.446488636363636</v>
      </c>
      <c r="K13" s="84">
        <f t="shared" si="19"/>
        <v>2.8291712613636362</v>
      </c>
      <c r="L13" s="215">
        <f t="shared" si="20"/>
        <v>2.446488636363636</v>
      </c>
      <c r="M13" s="216">
        <f t="shared" si="21"/>
        <v>18.097788636363639</v>
      </c>
      <c r="N13" s="84">
        <f t="shared" si="22"/>
        <v>18.097788636363639</v>
      </c>
      <c r="O13" s="84">
        <f t="shared" si="23"/>
        <v>17.031499488636367</v>
      </c>
      <c r="P13" s="84">
        <f t="shared" si="24"/>
        <v>18.097788636363639</v>
      </c>
      <c r="Q13" s="84">
        <f t="shared" si="25"/>
        <v>19.16407778409091</v>
      </c>
      <c r="R13" s="215">
        <f t="shared" si="26"/>
        <v>18.097788636363639</v>
      </c>
      <c r="S13" s="84">
        <f t="shared" si="27"/>
        <v>0.22217500000000004</v>
      </c>
      <c r="T13" s="84">
        <f t="shared" si="28"/>
        <v>0.22217500000000004</v>
      </c>
      <c r="U13" s="84">
        <f t="shared" si="29"/>
        <v>0.18965875000000004</v>
      </c>
      <c r="V13" s="84">
        <f t="shared" si="30"/>
        <v>0.22217500000000004</v>
      </c>
      <c r="W13" s="84">
        <f t="shared" si="31"/>
        <v>0.25469125000000004</v>
      </c>
      <c r="X13" s="215">
        <f t="shared" si="32"/>
        <v>0.22217500000000004</v>
      </c>
      <c r="Y13" s="214">
        <f t="shared" si="35"/>
        <v>1.2336659090909092</v>
      </c>
      <c r="Z13" s="214">
        <f t="shared" si="35"/>
        <v>1.2336659090909092</v>
      </c>
      <c r="AA13" s="212">
        <f t="shared" si="5"/>
        <v>1.1504747159090911</v>
      </c>
      <c r="AB13" s="212">
        <f t="shared" si="6"/>
        <v>1.2336659090909092</v>
      </c>
      <c r="AC13" s="212">
        <f>Y13+$AH$1</f>
        <v>1.3168571022727273</v>
      </c>
      <c r="AD13" s="211">
        <f t="shared" si="0"/>
        <v>1.2336659090909092</v>
      </c>
      <c r="AE13" s="213">
        <f t="shared" ref="AE13:AE27" si="36">AE12+((($AD$1+$AD$1*0.25)-$AE$6)/22)</f>
        <v>55.314679545454545</v>
      </c>
      <c r="AF13" s="212">
        <f>AE12+((($AD$1+$AD$1*0.25)-$AE$6)/22)</f>
        <v>55.314679545454545</v>
      </c>
      <c r="AG13" s="212">
        <f t="shared" si="1"/>
        <v>53.831594840392562</v>
      </c>
      <c r="AH13" s="212">
        <f t="shared" si="2"/>
        <v>55.314679545454545</v>
      </c>
      <c r="AI13" s="212">
        <f>AE13+$AI$1</f>
        <v>56.797764250516529</v>
      </c>
      <c r="AJ13" s="211">
        <f t="shared" si="3"/>
        <v>55.314679545454545</v>
      </c>
    </row>
    <row r="14" spans="1:36" x14ac:dyDescent="0.2">
      <c r="A14" s="216">
        <f t="shared" si="34"/>
        <v>16.686890909090906</v>
      </c>
      <c r="B14" s="84">
        <f t="shared" si="8"/>
        <v>16.686890909090906</v>
      </c>
      <c r="C14" s="216">
        <f t="shared" si="11"/>
        <v>14.456669284090907</v>
      </c>
      <c r="D14" s="215">
        <f t="shared" si="12"/>
        <v>16.686890909090906</v>
      </c>
      <c r="E14" s="84">
        <f t="shared" si="13"/>
        <v>18.917112534090904</v>
      </c>
      <c r="F14" s="215">
        <f t="shared" si="14"/>
        <v>16.686890909090906</v>
      </c>
      <c r="G14" s="216">
        <f t="shared" si="15"/>
        <v>2.7414727272727268</v>
      </c>
      <c r="H14" s="84">
        <f t="shared" si="16"/>
        <v>2.7414727272727268</v>
      </c>
      <c r="I14" s="84">
        <f t="shared" si="17"/>
        <v>2.3587901022727267</v>
      </c>
      <c r="J14" s="84">
        <f t="shared" si="18"/>
        <v>2.7414727272727268</v>
      </c>
      <c r="K14" s="84">
        <f t="shared" si="19"/>
        <v>3.124155352272727</v>
      </c>
      <c r="L14" s="215">
        <f t="shared" si="20"/>
        <v>2.7414727272727268</v>
      </c>
      <c r="M14" s="216">
        <f t="shared" si="21"/>
        <v>19.02007272727273</v>
      </c>
      <c r="N14" s="84">
        <f t="shared" si="22"/>
        <v>19.02007272727273</v>
      </c>
      <c r="O14" s="84">
        <f t="shared" si="23"/>
        <v>17.953783579545458</v>
      </c>
      <c r="P14" s="84">
        <f t="shared" si="24"/>
        <v>19.02007272727273</v>
      </c>
      <c r="Q14" s="84">
        <f t="shared" si="25"/>
        <v>20.086361875000001</v>
      </c>
      <c r="R14" s="215">
        <f t="shared" si="26"/>
        <v>19.02007272727273</v>
      </c>
      <c r="S14" s="84">
        <f t="shared" si="27"/>
        <v>0.25160000000000005</v>
      </c>
      <c r="T14" s="84">
        <f t="shared" si="28"/>
        <v>0.25160000000000005</v>
      </c>
      <c r="U14" s="84">
        <f t="shared" si="29"/>
        <v>0.21908375000000005</v>
      </c>
      <c r="V14" s="84">
        <f t="shared" si="30"/>
        <v>0.25160000000000005</v>
      </c>
      <c r="W14" s="84">
        <f t="shared" si="31"/>
        <v>0.28411625000000007</v>
      </c>
      <c r="X14" s="215">
        <f t="shared" si="32"/>
        <v>0.25160000000000005</v>
      </c>
      <c r="Y14" s="214">
        <f t="shared" si="35"/>
        <v>1.3565681818181821</v>
      </c>
      <c r="Z14" s="214">
        <f t="shared" si="35"/>
        <v>1.3565681818181821</v>
      </c>
      <c r="AA14" s="212">
        <f>Y14-$AH$1</f>
        <v>1.2733769886363639</v>
      </c>
      <c r="AB14" s="212">
        <f t="shared" si="6"/>
        <v>1.3565681818181821</v>
      </c>
      <c r="AC14" s="212">
        <f t="shared" si="9"/>
        <v>1.4397593750000002</v>
      </c>
      <c r="AD14" s="211">
        <f t="shared" si="0"/>
        <v>1.3565681818181821</v>
      </c>
      <c r="AE14" s="213">
        <f t="shared" si="36"/>
        <v>56.463450909090909</v>
      </c>
      <c r="AF14" s="212">
        <f t="shared" si="33"/>
        <v>56.463450909090909</v>
      </c>
      <c r="AG14" s="212">
        <f t="shared" si="1"/>
        <v>54.980366204028925</v>
      </c>
      <c r="AH14" s="212">
        <f t="shared" si="2"/>
        <v>56.463450909090909</v>
      </c>
      <c r="AI14" s="212">
        <f t="shared" si="10"/>
        <v>57.946535614152893</v>
      </c>
      <c r="AJ14" s="211">
        <f t="shared" si="3"/>
        <v>56.463450909090909</v>
      </c>
    </row>
    <row r="15" spans="1:36" x14ac:dyDescent="0.2">
      <c r="A15" s="216">
        <f>A14+((($C$1+$C$1*0.25)-$A$6)/22)</f>
        <v>17.887202272727269</v>
      </c>
      <c r="B15" s="84">
        <f t="shared" si="8"/>
        <v>17.887202272727269</v>
      </c>
      <c r="C15" s="216">
        <f t="shared" si="11"/>
        <v>15.65698064772727</v>
      </c>
      <c r="D15" s="215">
        <f t="shared" si="12"/>
        <v>17.887202272727269</v>
      </c>
      <c r="E15" s="84">
        <f t="shared" si="13"/>
        <v>20.117423897727267</v>
      </c>
      <c r="F15" s="215">
        <f t="shared" si="14"/>
        <v>17.887202272727269</v>
      </c>
      <c r="G15" s="216">
        <f t="shared" si="15"/>
        <v>3.0364568181818177</v>
      </c>
      <c r="H15" s="84">
        <f t="shared" si="16"/>
        <v>3.0364568181818177</v>
      </c>
      <c r="I15" s="84">
        <f t="shared" si="17"/>
        <v>2.6537741931818175</v>
      </c>
      <c r="J15" s="84">
        <f t="shared" si="18"/>
        <v>3.0364568181818177</v>
      </c>
      <c r="K15" s="84">
        <f t="shared" si="19"/>
        <v>3.4191394431818178</v>
      </c>
      <c r="L15" s="215">
        <f t="shared" si="20"/>
        <v>3.0364568181818177</v>
      </c>
      <c r="M15" s="216">
        <f t="shared" si="21"/>
        <v>19.942356818181821</v>
      </c>
      <c r="N15" s="84">
        <f t="shared" si="22"/>
        <v>19.942356818181821</v>
      </c>
      <c r="O15" s="84">
        <f t="shared" si="23"/>
        <v>18.87606767045455</v>
      </c>
      <c r="P15" s="84">
        <f t="shared" si="24"/>
        <v>19.942356818181821</v>
      </c>
      <c r="Q15" s="84">
        <f t="shared" si="25"/>
        <v>21.008645965909093</v>
      </c>
      <c r="R15" s="215">
        <f t="shared" si="26"/>
        <v>19.942356818181821</v>
      </c>
      <c r="S15" s="84">
        <f t="shared" si="27"/>
        <v>0.28102500000000002</v>
      </c>
      <c r="T15" s="84">
        <f t="shared" si="28"/>
        <v>0.28102500000000002</v>
      </c>
      <c r="U15" s="84">
        <f t="shared" si="29"/>
        <v>0.24850875000000003</v>
      </c>
      <c r="V15" s="84">
        <f t="shared" si="30"/>
        <v>0.28102500000000002</v>
      </c>
      <c r="W15" s="84">
        <f t="shared" si="31"/>
        <v>0.31354125000000005</v>
      </c>
      <c r="X15" s="215">
        <f t="shared" si="32"/>
        <v>0.28102500000000002</v>
      </c>
      <c r="Y15" s="214">
        <f t="shared" si="35"/>
        <v>1.4794704545454549</v>
      </c>
      <c r="Z15" s="214">
        <f t="shared" si="35"/>
        <v>1.4794704545454549</v>
      </c>
      <c r="AA15" s="212">
        <f t="shared" si="5"/>
        <v>1.3962792613636368</v>
      </c>
      <c r="AB15" s="212">
        <f t="shared" si="6"/>
        <v>1.4794704545454549</v>
      </c>
      <c r="AC15" s="212">
        <f>Y15+$AH$1</f>
        <v>1.562661647727273</v>
      </c>
      <c r="AD15" s="211">
        <f t="shared" si="0"/>
        <v>1.4794704545454549</v>
      </c>
      <c r="AE15" s="213">
        <f t="shared" si="36"/>
        <v>57.612222272727273</v>
      </c>
      <c r="AF15" s="212">
        <f>AE14+((($AD$1+$AD$1*0.25)-$AE$6)/22)</f>
        <v>57.612222272727273</v>
      </c>
      <c r="AG15" s="212">
        <f t="shared" si="1"/>
        <v>56.129137567665289</v>
      </c>
      <c r="AH15" s="212">
        <f t="shared" si="2"/>
        <v>57.612222272727273</v>
      </c>
      <c r="AI15" s="212">
        <f>AE15+$AI$1</f>
        <v>59.095306977789257</v>
      </c>
      <c r="AJ15" s="211">
        <f t="shared" si="3"/>
        <v>57.612222272727273</v>
      </c>
    </row>
    <row r="16" spans="1:36" x14ac:dyDescent="0.2">
      <c r="A16" s="216">
        <f t="shared" si="34"/>
        <v>19.087513636363632</v>
      </c>
      <c r="B16" s="84">
        <f t="shared" si="8"/>
        <v>19.087513636363632</v>
      </c>
      <c r="C16" s="216">
        <f t="shared" si="11"/>
        <v>16.857292011363633</v>
      </c>
      <c r="D16" s="215">
        <f t="shared" si="12"/>
        <v>19.087513636363632</v>
      </c>
      <c r="E16" s="84">
        <f t="shared" si="13"/>
        <v>21.31773526136363</v>
      </c>
      <c r="F16" s="215">
        <f t="shared" si="14"/>
        <v>19.087513636363632</v>
      </c>
      <c r="G16" s="216">
        <f t="shared" si="15"/>
        <v>3.3314409090909085</v>
      </c>
      <c r="H16" s="84">
        <f t="shared" si="16"/>
        <v>3.3314409090909085</v>
      </c>
      <c r="I16" s="84">
        <f t="shared" si="17"/>
        <v>2.9487582840909083</v>
      </c>
      <c r="J16" s="84">
        <f t="shared" si="18"/>
        <v>3.3314409090909085</v>
      </c>
      <c r="K16" s="84">
        <f t="shared" si="19"/>
        <v>3.7141235340909087</v>
      </c>
      <c r="L16" s="215">
        <f t="shared" si="20"/>
        <v>3.3314409090909085</v>
      </c>
      <c r="M16" s="216">
        <f t="shared" si="21"/>
        <v>20.864640909090912</v>
      </c>
      <c r="N16" s="84">
        <f t="shared" si="22"/>
        <v>20.864640909090912</v>
      </c>
      <c r="O16" s="84">
        <f t="shared" si="23"/>
        <v>19.798351761363641</v>
      </c>
      <c r="P16" s="84">
        <f t="shared" si="24"/>
        <v>20.864640909090912</v>
      </c>
      <c r="Q16" s="84">
        <f t="shared" si="25"/>
        <v>21.930930056818184</v>
      </c>
      <c r="R16" s="215">
        <f t="shared" si="26"/>
        <v>20.864640909090912</v>
      </c>
      <c r="S16" s="84">
        <f t="shared" si="27"/>
        <v>0.31045</v>
      </c>
      <c r="T16" s="84">
        <f t="shared" si="28"/>
        <v>0.31045</v>
      </c>
      <c r="U16" s="84">
        <f t="shared" si="29"/>
        <v>0.27793374999999998</v>
      </c>
      <c r="V16" s="84">
        <f t="shared" si="30"/>
        <v>0.31045</v>
      </c>
      <c r="W16" s="84">
        <f t="shared" si="31"/>
        <v>0.34296625000000003</v>
      </c>
      <c r="X16" s="215">
        <f t="shared" si="32"/>
        <v>0.31045</v>
      </c>
      <c r="Y16" s="214">
        <f t="shared" si="35"/>
        <v>1.6023727272727277</v>
      </c>
      <c r="Z16" s="214">
        <f t="shared" si="35"/>
        <v>1.6023727272727277</v>
      </c>
      <c r="AA16" s="212">
        <f>Y16-$AH$1</f>
        <v>1.5191815340909096</v>
      </c>
      <c r="AB16" s="212">
        <f t="shared" si="6"/>
        <v>1.6023727272727277</v>
      </c>
      <c r="AC16" s="212">
        <f t="shared" si="9"/>
        <v>1.6855639204545458</v>
      </c>
      <c r="AD16" s="211">
        <f t="shared" si="0"/>
        <v>1.6023727272727277</v>
      </c>
      <c r="AE16" s="213">
        <f t="shared" si="36"/>
        <v>58.760993636363636</v>
      </c>
      <c r="AF16" s="212">
        <f t="shared" si="33"/>
        <v>58.760993636363636</v>
      </c>
      <c r="AG16" s="212">
        <f t="shared" si="1"/>
        <v>57.277908931301653</v>
      </c>
      <c r="AH16" s="212">
        <f t="shared" si="2"/>
        <v>58.760993636363636</v>
      </c>
      <c r="AI16" s="212">
        <f>AE16+$AI$1</f>
        <v>60.24407834142562</v>
      </c>
      <c r="AJ16" s="211">
        <f t="shared" si="3"/>
        <v>58.760993636363636</v>
      </c>
    </row>
    <row r="17" spans="1:36" x14ac:dyDescent="0.2">
      <c r="A17" s="216">
        <f>A16+((($C$1+$C$1*0.25)-$A$6)/22)</f>
        <v>20.287824999999994</v>
      </c>
      <c r="B17" s="84">
        <f t="shared" si="8"/>
        <v>20.287824999999994</v>
      </c>
      <c r="C17" s="216">
        <f t="shared" si="11"/>
        <v>18.057603374999996</v>
      </c>
      <c r="D17" s="215">
        <f t="shared" si="12"/>
        <v>20.287824999999994</v>
      </c>
      <c r="E17" s="84">
        <f t="shared" si="13"/>
        <v>22.518046624999993</v>
      </c>
      <c r="F17" s="215">
        <f t="shared" si="14"/>
        <v>20.287824999999994</v>
      </c>
      <c r="G17" s="216">
        <f t="shared" si="15"/>
        <v>3.6264249999999993</v>
      </c>
      <c r="H17" s="84">
        <f t="shared" si="16"/>
        <v>3.6264249999999993</v>
      </c>
      <c r="I17" s="84">
        <f t="shared" si="17"/>
        <v>3.2437423749999992</v>
      </c>
      <c r="J17" s="84">
        <f t="shared" si="18"/>
        <v>3.6264249999999993</v>
      </c>
      <c r="K17" s="84">
        <f t="shared" si="19"/>
        <v>4.0091076249999995</v>
      </c>
      <c r="L17" s="215">
        <f t="shared" si="20"/>
        <v>3.6264249999999993</v>
      </c>
      <c r="M17" s="216">
        <f t="shared" si="21"/>
        <v>21.786925000000004</v>
      </c>
      <c r="N17" s="84">
        <f t="shared" si="22"/>
        <v>21.786925000000004</v>
      </c>
      <c r="O17" s="84">
        <f t="shared" si="23"/>
        <v>20.720635852272732</v>
      </c>
      <c r="P17" s="84">
        <f t="shared" si="24"/>
        <v>21.786925000000004</v>
      </c>
      <c r="Q17" s="84">
        <f t="shared" si="25"/>
        <v>22.853214147727275</v>
      </c>
      <c r="R17" s="215">
        <f t="shared" si="26"/>
        <v>21.786925000000004</v>
      </c>
      <c r="S17" s="84">
        <f t="shared" si="27"/>
        <v>0.33987499999999998</v>
      </c>
      <c r="T17" s="84">
        <f t="shared" si="28"/>
        <v>0.33987499999999998</v>
      </c>
      <c r="U17" s="84">
        <f t="shared" si="29"/>
        <v>0.30735874999999996</v>
      </c>
      <c r="V17" s="84">
        <f t="shared" si="30"/>
        <v>0.33987499999999998</v>
      </c>
      <c r="W17" s="84">
        <f t="shared" si="31"/>
        <v>0.37239125000000001</v>
      </c>
      <c r="X17" s="215">
        <f t="shared" si="32"/>
        <v>0.33987499999999998</v>
      </c>
      <c r="Y17" s="214">
        <f t="shared" si="35"/>
        <v>1.7252750000000006</v>
      </c>
      <c r="Z17" s="214">
        <f t="shared" si="35"/>
        <v>1.7252750000000006</v>
      </c>
      <c r="AA17" s="212">
        <f>Y17-$AH$1</f>
        <v>1.6420838068181824</v>
      </c>
      <c r="AB17" s="212">
        <f t="shared" si="6"/>
        <v>1.7252750000000006</v>
      </c>
      <c r="AC17" s="212">
        <f>Y17+$AH$1</f>
        <v>1.8084661931818187</v>
      </c>
      <c r="AD17" s="211">
        <f t="shared" si="0"/>
        <v>1.7252750000000006</v>
      </c>
      <c r="AE17" s="213">
        <f t="shared" si="36"/>
        <v>59.909765</v>
      </c>
      <c r="AF17" s="212">
        <f>AE16+((($AD$1+$AD$1*0.25)-$AE$6)/22)</f>
        <v>59.909765</v>
      </c>
      <c r="AG17" s="212">
        <f t="shared" si="1"/>
        <v>58.426680294938016</v>
      </c>
      <c r="AH17" s="212">
        <f t="shared" si="2"/>
        <v>59.909765</v>
      </c>
      <c r="AI17" s="212">
        <f>AE17+$AI$1</f>
        <v>61.392849705061984</v>
      </c>
      <c r="AJ17" s="211">
        <f t="shared" si="3"/>
        <v>59.909765</v>
      </c>
    </row>
    <row r="18" spans="1:36" x14ac:dyDescent="0.2">
      <c r="A18" s="216">
        <f t="shared" si="34"/>
        <v>21.488136363636357</v>
      </c>
      <c r="B18" s="84">
        <f t="shared" si="8"/>
        <v>21.488136363636357</v>
      </c>
      <c r="C18" s="216">
        <f t="shared" si="11"/>
        <v>19.257914738636359</v>
      </c>
      <c r="D18" s="215">
        <f t="shared" si="12"/>
        <v>21.488136363636357</v>
      </c>
      <c r="E18" s="84">
        <f t="shared" si="13"/>
        <v>23.718357988636356</v>
      </c>
      <c r="F18" s="215">
        <f t="shared" si="14"/>
        <v>21.488136363636357</v>
      </c>
      <c r="G18" s="216">
        <f t="shared" si="15"/>
        <v>3.9214090909090902</v>
      </c>
      <c r="H18" s="84">
        <f t="shared" si="16"/>
        <v>3.9214090909090902</v>
      </c>
      <c r="I18" s="84">
        <f t="shared" si="17"/>
        <v>3.53872646590909</v>
      </c>
      <c r="J18" s="84">
        <f t="shared" si="18"/>
        <v>3.9214090909090902</v>
      </c>
      <c r="K18" s="84">
        <f t="shared" si="19"/>
        <v>4.3040917159090899</v>
      </c>
      <c r="L18" s="215">
        <f t="shared" si="20"/>
        <v>3.9214090909090902</v>
      </c>
      <c r="M18" s="216">
        <f t="shared" si="21"/>
        <v>22.709209090909095</v>
      </c>
      <c r="N18" s="84">
        <f t="shared" si="22"/>
        <v>22.709209090909095</v>
      </c>
      <c r="O18" s="84">
        <f t="shared" si="23"/>
        <v>21.642919943181823</v>
      </c>
      <c r="P18" s="84">
        <f t="shared" si="24"/>
        <v>22.709209090909095</v>
      </c>
      <c r="Q18" s="84">
        <f t="shared" si="25"/>
        <v>23.775498238636366</v>
      </c>
      <c r="R18" s="215">
        <f t="shared" si="26"/>
        <v>22.709209090909095</v>
      </c>
      <c r="S18" s="84">
        <f t="shared" si="27"/>
        <v>0.36929999999999996</v>
      </c>
      <c r="T18" s="84">
        <f t="shared" si="28"/>
        <v>0.36929999999999996</v>
      </c>
      <c r="U18" s="84">
        <f t="shared" si="29"/>
        <v>0.33678374999999994</v>
      </c>
      <c r="V18" s="84">
        <f t="shared" si="30"/>
        <v>0.36929999999999996</v>
      </c>
      <c r="W18" s="84">
        <f t="shared" si="31"/>
        <v>0.40181624999999999</v>
      </c>
      <c r="X18" s="215">
        <f t="shared" si="32"/>
        <v>0.36929999999999996</v>
      </c>
      <c r="Y18" s="214">
        <f t="shared" si="35"/>
        <v>1.8481772727272734</v>
      </c>
      <c r="Z18" s="214">
        <f t="shared" si="35"/>
        <v>1.8481772727272734</v>
      </c>
      <c r="AA18" s="212">
        <f t="shared" si="5"/>
        <v>1.7649860795454553</v>
      </c>
      <c r="AB18" s="212">
        <f t="shared" si="6"/>
        <v>1.8481772727272734</v>
      </c>
      <c r="AC18" s="212">
        <f t="shared" si="9"/>
        <v>1.9313684659090915</v>
      </c>
      <c r="AD18" s="211">
        <f t="shared" si="0"/>
        <v>1.8481772727272734</v>
      </c>
      <c r="AE18" s="213">
        <f t="shared" si="36"/>
        <v>61.058536363636364</v>
      </c>
      <c r="AF18" s="212">
        <f t="shared" si="33"/>
        <v>61.058536363636364</v>
      </c>
      <c r="AG18" s="212">
        <f t="shared" si="1"/>
        <v>59.57545165857438</v>
      </c>
      <c r="AH18" s="212">
        <f t="shared" si="2"/>
        <v>61.058536363636364</v>
      </c>
      <c r="AI18" s="212">
        <f t="shared" si="10"/>
        <v>62.541621068698348</v>
      </c>
      <c r="AJ18" s="211">
        <f t="shared" si="3"/>
        <v>61.058536363636364</v>
      </c>
    </row>
    <row r="19" spans="1:36" x14ac:dyDescent="0.2">
      <c r="A19" s="216">
        <f>A18+((($C$1+$C$1*0.25)-$A$6)/22)</f>
        <v>22.68844772727272</v>
      </c>
      <c r="B19" s="84">
        <f t="shared" si="8"/>
        <v>22.68844772727272</v>
      </c>
      <c r="C19" s="216">
        <f t="shared" si="11"/>
        <v>20.458226102272722</v>
      </c>
      <c r="D19" s="215">
        <f t="shared" si="12"/>
        <v>22.68844772727272</v>
      </c>
      <c r="E19" s="84">
        <f t="shared" si="13"/>
        <v>24.918669352272719</v>
      </c>
      <c r="F19" s="215">
        <f t="shared" si="14"/>
        <v>22.68844772727272</v>
      </c>
      <c r="G19" s="216">
        <f t="shared" si="15"/>
        <v>4.216393181818181</v>
      </c>
      <c r="H19" s="84">
        <f t="shared" si="16"/>
        <v>4.216393181818181</v>
      </c>
      <c r="I19" s="84">
        <f t="shared" si="17"/>
        <v>3.8337105568181808</v>
      </c>
      <c r="J19" s="84">
        <f t="shared" si="18"/>
        <v>4.216393181818181</v>
      </c>
      <c r="K19" s="84">
        <f t="shared" si="19"/>
        <v>4.5990758068181812</v>
      </c>
      <c r="L19" s="215">
        <f t="shared" si="20"/>
        <v>4.216393181818181</v>
      </c>
      <c r="M19" s="216">
        <f t="shared" si="21"/>
        <v>23.631493181818186</v>
      </c>
      <c r="N19" s="84">
        <f t="shared" si="22"/>
        <v>23.631493181818186</v>
      </c>
      <c r="O19" s="84">
        <f t="shared" si="23"/>
        <v>22.565204034090915</v>
      </c>
      <c r="P19" s="84">
        <f t="shared" si="24"/>
        <v>23.631493181818186</v>
      </c>
      <c r="Q19" s="84">
        <f t="shared" si="25"/>
        <v>24.697782329545458</v>
      </c>
      <c r="R19" s="215">
        <f t="shared" si="26"/>
        <v>23.631493181818186</v>
      </c>
      <c r="S19" s="84">
        <f t="shared" si="27"/>
        <v>0.39872499999999994</v>
      </c>
      <c r="T19" s="84">
        <f t="shared" si="28"/>
        <v>0.39872499999999994</v>
      </c>
      <c r="U19" s="84">
        <f t="shared" si="29"/>
        <v>0.36620874999999992</v>
      </c>
      <c r="V19" s="84">
        <f t="shared" si="30"/>
        <v>0.39872499999999994</v>
      </c>
      <c r="W19" s="84">
        <f t="shared" si="31"/>
        <v>0.43124124999999996</v>
      </c>
      <c r="X19" s="215">
        <f t="shared" si="32"/>
        <v>0.39872499999999994</v>
      </c>
      <c r="Y19" s="214">
        <f t="shared" si="35"/>
        <v>1.9710795454545462</v>
      </c>
      <c r="Z19" s="214">
        <f t="shared" si="35"/>
        <v>1.9710795454545462</v>
      </c>
      <c r="AA19" s="212">
        <f>Y19-$AH$1</f>
        <v>1.8878883522727281</v>
      </c>
      <c r="AB19" s="212">
        <f t="shared" si="6"/>
        <v>1.9710795454545462</v>
      </c>
      <c r="AC19" s="212">
        <f>Y19+$AH$1</f>
        <v>2.0542707386363643</v>
      </c>
      <c r="AD19" s="211">
        <f t="shared" si="0"/>
        <v>1.9710795454545462</v>
      </c>
      <c r="AE19" s="213">
        <f t="shared" si="36"/>
        <v>62.207307727272728</v>
      </c>
      <c r="AF19" s="212">
        <f>AE18+((($AD$1+$AD$1*0.25)-$AE$6)/22)</f>
        <v>62.207307727272728</v>
      </c>
      <c r="AG19" s="212">
        <f t="shared" si="1"/>
        <v>60.724223022210744</v>
      </c>
      <c r="AH19" s="212">
        <f t="shared" si="2"/>
        <v>62.207307727272728</v>
      </c>
      <c r="AI19" s="212">
        <f>AE19+$AI$1</f>
        <v>63.690392432334711</v>
      </c>
      <c r="AJ19" s="211">
        <f t="shared" si="3"/>
        <v>62.207307727272728</v>
      </c>
    </row>
    <row r="20" spans="1:36" x14ac:dyDescent="0.2">
      <c r="A20" s="216">
        <f t="shared" si="34"/>
        <v>23.888759090909083</v>
      </c>
      <c r="B20" s="84">
        <f t="shared" si="8"/>
        <v>23.888759090909083</v>
      </c>
      <c r="C20" s="216">
        <f t="shared" si="11"/>
        <v>21.658537465909085</v>
      </c>
      <c r="D20" s="215">
        <f t="shared" si="12"/>
        <v>23.888759090909083</v>
      </c>
      <c r="E20" s="84">
        <f t="shared" si="13"/>
        <v>26.118980715909082</v>
      </c>
      <c r="F20" s="215">
        <f t="shared" si="14"/>
        <v>23.888759090909083</v>
      </c>
      <c r="G20" s="216">
        <f t="shared" si="15"/>
        <v>4.5113772727272723</v>
      </c>
      <c r="H20" s="84">
        <f t="shared" si="16"/>
        <v>4.5113772727272723</v>
      </c>
      <c r="I20" s="84">
        <f t="shared" si="17"/>
        <v>4.1286946477272721</v>
      </c>
      <c r="J20" s="84">
        <f t="shared" si="18"/>
        <v>4.5113772727272723</v>
      </c>
      <c r="K20" s="84">
        <f t="shared" si="19"/>
        <v>4.8940598977272725</v>
      </c>
      <c r="L20" s="215">
        <f t="shared" si="20"/>
        <v>4.5113772727272723</v>
      </c>
      <c r="M20" s="216">
        <f t="shared" si="21"/>
        <v>24.553777272727277</v>
      </c>
      <c r="N20" s="84">
        <f t="shared" si="22"/>
        <v>24.553777272727277</v>
      </c>
      <c r="O20" s="84">
        <f t="shared" si="23"/>
        <v>23.487488125000006</v>
      </c>
      <c r="P20" s="84">
        <f t="shared" si="24"/>
        <v>24.553777272727277</v>
      </c>
      <c r="Q20" s="84">
        <f t="shared" si="25"/>
        <v>25.620066420454549</v>
      </c>
      <c r="R20" s="215">
        <f t="shared" si="26"/>
        <v>24.553777272727277</v>
      </c>
      <c r="S20" s="84">
        <f t="shared" si="27"/>
        <v>0.42814999999999992</v>
      </c>
      <c r="T20" s="84">
        <f t="shared" si="28"/>
        <v>0.42814999999999992</v>
      </c>
      <c r="U20" s="84">
        <f t="shared" si="29"/>
        <v>0.3956337499999999</v>
      </c>
      <c r="V20" s="84">
        <f t="shared" si="30"/>
        <v>0.42814999999999992</v>
      </c>
      <c r="W20" s="84">
        <f t="shared" si="31"/>
        <v>0.46066624999999994</v>
      </c>
      <c r="X20" s="215">
        <f t="shared" si="32"/>
        <v>0.42814999999999992</v>
      </c>
      <c r="Y20" s="214">
        <f t="shared" si="35"/>
        <v>2.0939818181818191</v>
      </c>
      <c r="Z20" s="214">
        <f t="shared" si="35"/>
        <v>2.0939818181818191</v>
      </c>
      <c r="AA20" s="212">
        <f>Y20-$AH$1</f>
        <v>2.0107906250000007</v>
      </c>
      <c r="AB20" s="212">
        <f t="shared" si="6"/>
        <v>2.0939818181818191</v>
      </c>
      <c r="AC20" s="212">
        <f t="shared" si="9"/>
        <v>2.1771730113636374</v>
      </c>
      <c r="AD20" s="211">
        <f t="shared" si="0"/>
        <v>2.0939818181818191</v>
      </c>
      <c r="AE20" s="213">
        <f>AE19+((($AD$1+$AD$1*0.25)-$AE$6)/22)</f>
        <v>63.356079090909091</v>
      </c>
      <c r="AF20" s="212">
        <f t="shared" si="33"/>
        <v>63.356079090909091</v>
      </c>
      <c r="AG20" s="212">
        <f t="shared" si="1"/>
        <v>61.872994385847107</v>
      </c>
      <c r="AH20" s="212">
        <f t="shared" si="2"/>
        <v>63.356079090909091</v>
      </c>
      <c r="AI20" s="212">
        <f>AE20+$AI$1</f>
        <v>64.839163795971075</v>
      </c>
      <c r="AJ20" s="211">
        <f t="shared" si="3"/>
        <v>63.356079090909091</v>
      </c>
    </row>
    <row r="21" spans="1:36" x14ac:dyDescent="0.2">
      <c r="A21" s="216">
        <f>A20+((($C$1+$C$1*0.25)-$A$6)/22)</f>
        <v>25.089070454545446</v>
      </c>
      <c r="B21" s="84">
        <f t="shared" si="8"/>
        <v>25.089070454545446</v>
      </c>
      <c r="C21" s="216">
        <f t="shared" si="11"/>
        <v>22.858848829545448</v>
      </c>
      <c r="D21" s="215">
        <f t="shared" si="12"/>
        <v>25.089070454545446</v>
      </c>
      <c r="E21" s="84">
        <f t="shared" si="13"/>
        <v>27.319292079545445</v>
      </c>
      <c r="F21" s="215">
        <f t="shared" si="14"/>
        <v>25.089070454545446</v>
      </c>
      <c r="G21" s="216">
        <f t="shared" si="15"/>
        <v>4.8063613636363636</v>
      </c>
      <c r="H21" s="84">
        <f t="shared" si="16"/>
        <v>4.8063613636363636</v>
      </c>
      <c r="I21" s="84">
        <f t="shared" si="17"/>
        <v>4.4236787386363634</v>
      </c>
      <c r="J21" s="84">
        <f t="shared" si="18"/>
        <v>4.8063613636363636</v>
      </c>
      <c r="K21" s="84">
        <f t="shared" si="19"/>
        <v>5.1890439886363637</v>
      </c>
      <c r="L21" s="215">
        <f t="shared" si="20"/>
        <v>4.8063613636363636</v>
      </c>
      <c r="M21" s="216">
        <f t="shared" si="21"/>
        <v>25.476061363636369</v>
      </c>
      <c r="N21" s="84">
        <f t="shared" si="22"/>
        <v>25.476061363636369</v>
      </c>
      <c r="O21" s="84">
        <f t="shared" si="23"/>
        <v>24.409772215909097</v>
      </c>
      <c r="P21" s="84">
        <f t="shared" si="24"/>
        <v>25.476061363636369</v>
      </c>
      <c r="Q21" s="84">
        <f t="shared" si="25"/>
        <v>26.54235051136364</v>
      </c>
      <c r="R21" s="215">
        <f t="shared" si="26"/>
        <v>25.476061363636369</v>
      </c>
      <c r="S21" s="84">
        <f t="shared" si="27"/>
        <v>0.4575749999999999</v>
      </c>
      <c r="T21" s="84">
        <f t="shared" si="28"/>
        <v>0.4575749999999999</v>
      </c>
      <c r="U21" s="84">
        <f t="shared" si="29"/>
        <v>0.42505874999999987</v>
      </c>
      <c r="V21" s="84">
        <f t="shared" si="30"/>
        <v>0.4575749999999999</v>
      </c>
      <c r="W21" s="84">
        <f t="shared" si="31"/>
        <v>0.49009124999999992</v>
      </c>
      <c r="X21" s="215">
        <f t="shared" si="32"/>
        <v>0.4575749999999999</v>
      </c>
      <c r="Y21" s="214">
        <f t="shared" si="35"/>
        <v>2.2168840909090917</v>
      </c>
      <c r="Z21" s="214">
        <f t="shared" si="35"/>
        <v>2.2168840909090917</v>
      </c>
      <c r="AA21" s="212">
        <f t="shared" si="5"/>
        <v>2.1336928977272733</v>
      </c>
      <c r="AB21" s="212">
        <f t="shared" si="6"/>
        <v>2.2168840909090917</v>
      </c>
      <c r="AC21" s="212">
        <f>Y21+$AH$1</f>
        <v>2.30007528409091</v>
      </c>
      <c r="AD21" s="211">
        <f t="shared" si="0"/>
        <v>2.2168840909090917</v>
      </c>
      <c r="AE21" s="213">
        <f t="shared" si="36"/>
        <v>64.504850454545448</v>
      </c>
      <c r="AF21" s="212">
        <f>AE20+((($AD$1+$AD$1*0.25)-$AE$6)/22)</f>
        <v>64.504850454545448</v>
      </c>
      <c r="AG21" s="212">
        <f t="shared" si="1"/>
        <v>63.021765749483464</v>
      </c>
      <c r="AH21" s="212">
        <f t="shared" si="2"/>
        <v>64.504850454545448</v>
      </c>
      <c r="AI21" s="212">
        <f>AE21+$AI$1</f>
        <v>65.987935159607432</v>
      </c>
      <c r="AJ21" s="211">
        <f t="shared" si="3"/>
        <v>64.504850454545448</v>
      </c>
    </row>
    <row r="22" spans="1:36" x14ac:dyDescent="0.2">
      <c r="A22" s="216">
        <f t="shared" si="34"/>
        <v>26.289381818181809</v>
      </c>
      <c r="B22" s="84">
        <f t="shared" si="8"/>
        <v>26.289381818181809</v>
      </c>
      <c r="C22" s="216">
        <f t="shared" si="11"/>
        <v>24.05916019318181</v>
      </c>
      <c r="D22" s="215">
        <f t="shared" si="12"/>
        <v>26.289381818181809</v>
      </c>
      <c r="E22" s="84">
        <f t="shared" si="13"/>
        <v>28.519603443181808</v>
      </c>
      <c r="F22" s="215">
        <f t="shared" si="14"/>
        <v>26.289381818181809</v>
      </c>
      <c r="G22" s="216">
        <f t="shared" si="15"/>
        <v>5.1013454545454548</v>
      </c>
      <c r="H22" s="84">
        <f t="shared" si="16"/>
        <v>5.1013454545454548</v>
      </c>
      <c r="I22" s="84">
        <f t="shared" si="17"/>
        <v>4.7186628295454547</v>
      </c>
      <c r="J22" s="84">
        <f t="shared" si="18"/>
        <v>5.1013454545454548</v>
      </c>
      <c r="K22" s="84">
        <f t="shared" si="19"/>
        <v>5.484028079545455</v>
      </c>
      <c r="L22" s="215">
        <f t="shared" si="20"/>
        <v>5.1013454545454548</v>
      </c>
      <c r="M22" s="216">
        <f t="shared" si="21"/>
        <v>26.39834545454546</v>
      </c>
      <c r="N22" s="84">
        <f t="shared" si="22"/>
        <v>26.39834545454546</v>
      </c>
      <c r="O22" s="84">
        <f t="shared" si="23"/>
        <v>25.332056306818188</v>
      </c>
      <c r="P22" s="84">
        <f t="shared" si="24"/>
        <v>26.39834545454546</v>
      </c>
      <c r="Q22" s="84">
        <f t="shared" si="25"/>
        <v>27.464634602272731</v>
      </c>
      <c r="R22" s="215">
        <f t="shared" si="26"/>
        <v>26.39834545454546</v>
      </c>
      <c r="S22" s="84">
        <f t="shared" si="27"/>
        <v>0.48699999999999988</v>
      </c>
      <c r="T22" s="84">
        <f t="shared" si="28"/>
        <v>0.48699999999999988</v>
      </c>
      <c r="U22" s="84">
        <f t="shared" si="29"/>
        <v>0.45448374999999985</v>
      </c>
      <c r="V22" s="84">
        <f t="shared" si="30"/>
        <v>0.48699999999999988</v>
      </c>
      <c r="W22" s="84">
        <f t="shared" si="31"/>
        <v>0.5195162499999999</v>
      </c>
      <c r="X22" s="215">
        <f t="shared" si="32"/>
        <v>0.48699999999999988</v>
      </c>
      <c r="Y22" s="214">
        <f t="shared" si="35"/>
        <v>2.3397863636363643</v>
      </c>
      <c r="Z22" s="214">
        <f t="shared" si="35"/>
        <v>2.3397863636363643</v>
      </c>
      <c r="AA22" s="212">
        <f>Y22-$AH$1</f>
        <v>2.2565951704545459</v>
      </c>
      <c r="AB22" s="212">
        <f t="shared" si="6"/>
        <v>2.3397863636363643</v>
      </c>
      <c r="AC22" s="212">
        <f t="shared" si="9"/>
        <v>2.4229775568181826</v>
      </c>
      <c r="AD22" s="211">
        <f t="shared" si="0"/>
        <v>2.3397863636363643</v>
      </c>
      <c r="AE22" s="213">
        <f>AE21+((($AD$1+$AD$1*0.25)-$AE$6)/22)</f>
        <v>65.653621818181819</v>
      </c>
      <c r="AF22" s="212">
        <f>AE21+((($AD$1+$AD$1*0.25)-$AE$6)/22)</f>
        <v>65.653621818181819</v>
      </c>
      <c r="AG22" s="212">
        <f t="shared" si="1"/>
        <v>64.170537113119835</v>
      </c>
      <c r="AH22" s="212">
        <f t="shared" si="2"/>
        <v>65.653621818181819</v>
      </c>
      <c r="AI22" s="212">
        <f>AE22+$AI$1</f>
        <v>67.136706523243802</v>
      </c>
      <c r="AJ22" s="211">
        <f t="shared" si="3"/>
        <v>65.653621818181819</v>
      </c>
    </row>
    <row r="23" spans="1:36" x14ac:dyDescent="0.2">
      <c r="A23" s="216">
        <f>A22+((($C$1+$C$1*0.25)-$A$6)/22)</f>
        <v>27.489693181818172</v>
      </c>
      <c r="B23" s="84">
        <f t="shared" si="8"/>
        <v>27.489693181818172</v>
      </c>
      <c r="C23" s="216">
        <f t="shared" si="11"/>
        <v>25.259471556818173</v>
      </c>
      <c r="D23" s="215">
        <f t="shared" si="12"/>
        <v>27.489693181818172</v>
      </c>
      <c r="E23" s="84">
        <f t="shared" si="13"/>
        <v>29.719914806818171</v>
      </c>
      <c r="F23" s="215">
        <f t="shared" si="14"/>
        <v>27.489693181818172</v>
      </c>
      <c r="G23" s="216">
        <f t="shared" si="15"/>
        <v>5.3963295454545461</v>
      </c>
      <c r="H23" s="84">
        <f t="shared" si="16"/>
        <v>5.3963295454545461</v>
      </c>
      <c r="I23" s="84">
        <f t="shared" si="17"/>
        <v>5.013646920454546</v>
      </c>
      <c r="J23" s="84">
        <f t="shared" si="18"/>
        <v>5.3963295454545461</v>
      </c>
      <c r="K23" s="84">
        <f t="shared" si="19"/>
        <v>5.7790121704545463</v>
      </c>
      <c r="L23" s="215">
        <f t="shared" si="20"/>
        <v>5.3963295454545461</v>
      </c>
      <c r="M23" s="216">
        <f t="shared" si="21"/>
        <v>27.320629545454551</v>
      </c>
      <c r="N23" s="84">
        <f t="shared" si="22"/>
        <v>27.320629545454551</v>
      </c>
      <c r="O23" s="84">
        <f t="shared" si="23"/>
        <v>26.25434039772728</v>
      </c>
      <c r="P23" s="84">
        <f t="shared" si="24"/>
        <v>27.320629545454551</v>
      </c>
      <c r="Q23" s="84">
        <f t="shared" si="25"/>
        <v>28.386918693181823</v>
      </c>
      <c r="R23" s="215">
        <f t="shared" si="26"/>
        <v>27.320629545454551</v>
      </c>
      <c r="S23" s="84">
        <f t="shared" si="27"/>
        <v>0.51642499999999991</v>
      </c>
      <c r="T23" s="84">
        <f t="shared" si="28"/>
        <v>0.51642499999999991</v>
      </c>
      <c r="U23" s="84">
        <f t="shared" si="29"/>
        <v>0.48390874999999989</v>
      </c>
      <c r="V23" s="84">
        <f t="shared" si="30"/>
        <v>0.51642499999999991</v>
      </c>
      <c r="W23" s="84">
        <f t="shared" si="31"/>
        <v>0.54894124999999994</v>
      </c>
      <c r="X23" s="215">
        <f t="shared" si="32"/>
        <v>0.51642499999999991</v>
      </c>
      <c r="Y23" s="214">
        <f t="shared" si="35"/>
        <v>2.4626886363636369</v>
      </c>
      <c r="Z23" s="214">
        <f t="shared" si="35"/>
        <v>2.4626886363636369</v>
      </c>
      <c r="AA23" s="212">
        <f t="shared" si="5"/>
        <v>2.3794974431818186</v>
      </c>
      <c r="AB23" s="212">
        <f t="shared" si="6"/>
        <v>2.4626886363636369</v>
      </c>
      <c r="AC23" s="212">
        <f>Y23+$AH$1</f>
        <v>2.5458798295454552</v>
      </c>
      <c r="AD23" s="211">
        <f t="shared" si="0"/>
        <v>2.4626886363636369</v>
      </c>
      <c r="AE23" s="213">
        <f t="shared" si="36"/>
        <v>66.802393181818189</v>
      </c>
      <c r="AF23" s="212">
        <f>AE22+((($AD$1+$AD$1*0.25)-$AE$6)/22)</f>
        <v>66.802393181818189</v>
      </c>
      <c r="AG23" s="212">
        <f t="shared" si="1"/>
        <v>65.319308476756206</v>
      </c>
      <c r="AH23" s="212">
        <f t="shared" si="2"/>
        <v>66.802393181818189</v>
      </c>
      <c r="AI23" s="212">
        <f t="shared" si="10"/>
        <v>68.285477886880173</v>
      </c>
      <c r="AJ23" s="211">
        <f t="shared" si="3"/>
        <v>66.802393181818189</v>
      </c>
    </row>
    <row r="24" spans="1:36" x14ac:dyDescent="0.2">
      <c r="A24" s="216">
        <f t="shared" si="34"/>
        <v>28.690004545454535</v>
      </c>
      <c r="B24" s="84">
        <f t="shared" si="8"/>
        <v>28.690004545454535</v>
      </c>
      <c r="C24" s="216">
        <f t="shared" si="11"/>
        <v>26.459782920454536</v>
      </c>
      <c r="D24" s="215">
        <f t="shared" si="12"/>
        <v>28.690004545454535</v>
      </c>
      <c r="E24" s="84">
        <f t="shared" si="13"/>
        <v>30.920226170454534</v>
      </c>
      <c r="F24" s="215">
        <f t="shared" si="14"/>
        <v>28.690004545454535</v>
      </c>
      <c r="G24" s="216">
        <f t="shared" si="15"/>
        <v>5.6913136363636374</v>
      </c>
      <c r="H24" s="84">
        <f t="shared" si="16"/>
        <v>5.6913136363636374</v>
      </c>
      <c r="I24" s="84">
        <f t="shared" si="17"/>
        <v>5.3086310113636372</v>
      </c>
      <c r="J24" s="84">
        <f t="shared" si="18"/>
        <v>5.6913136363636374</v>
      </c>
      <c r="K24" s="84">
        <f t="shared" si="19"/>
        <v>6.0739962613636376</v>
      </c>
      <c r="L24" s="215">
        <f t="shared" si="20"/>
        <v>5.6913136363636374</v>
      </c>
      <c r="M24" s="216">
        <f t="shared" si="21"/>
        <v>28.242913636363642</v>
      </c>
      <c r="N24" s="84">
        <f t="shared" si="22"/>
        <v>28.242913636363642</v>
      </c>
      <c r="O24" s="84">
        <f t="shared" si="23"/>
        <v>27.176624488636371</v>
      </c>
      <c r="P24" s="84">
        <f t="shared" si="24"/>
        <v>28.242913636363642</v>
      </c>
      <c r="Q24" s="84">
        <f t="shared" si="25"/>
        <v>29.309202784090914</v>
      </c>
      <c r="R24" s="215">
        <f t="shared" si="26"/>
        <v>28.242913636363642</v>
      </c>
      <c r="S24" s="84">
        <f t="shared" si="27"/>
        <v>0.54584999999999995</v>
      </c>
      <c r="T24" s="84">
        <f t="shared" si="28"/>
        <v>0.54584999999999995</v>
      </c>
      <c r="U24" s="84">
        <f t="shared" si="29"/>
        <v>0.51333374999999992</v>
      </c>
      <c r="V24" s="84">
        <f t="shared" si="30"/>
        <v>0.54584999999999995</v>
      </c>
      <c r="W24" s="84">
        <f t="shared" si="31"/>
        <v>0.57836624999999997</v>
      </c>
      <c r="X24" s="215">
        <f t="shared" si="32"/>
        <v>0.54584999999999995</v>
      </c>
      <c r="Y24" s="214">
        <f t="shared" si="35"/>
        <v>2.5855909090909095</v>
      </c>
      <c r="Z24" s="214">
        <f t="shared" si="35"/>
        <v>2.5855909090909095</v>
      </c>
      <c r="AA24" s="212">
        <f>Y24-$AH$1</f>
        <v>2.5023997159090912</v>
      </c>
      <c r="AB24" s="212">
        <f t="shared" si="6"/>
        <v>2.5855909090909095</v>
      </c>
      <c r="AC24" s="212">
        <f t="shared" si="9"/>
        <v>2.6687821022727278</v>
      </c>
      <c r="AD24" s="211">
        <f t="shared" si="0"/>
        <v>2.5855909090909095</v>
      </c>
      <c r="AE24" s="213">
        <f t="shared" si="36"/>
        <v>67.95116454545456</v>
      </c>
      <c r="AF24" s="212">
        <f>AE23+((($AD$1+$AD$1*0.25)-$AE$6)/22)</f>
        <v>67.95116454545456</v>
      </c>
      <c r="AG24" s="212">
        <f t="shared" si="1"/>
        <v>66.468079840392576</v>
      </c>
      <c r="AH24" s="212">
        <f t="shared" si="2"/>
        <v>67.95116454545456</v>
      </c>
      <c r="AI24" s="212">
        <f>AE24+$AI$1</f>
        <v>69.434249250516544</v>
      </c>
      <c r="AJ24" s="211">
        <f t="shared" si="3"/>
        <v>67.95116454545456</v>
      </c>
    </row>
    <row r="25" spans="1:36" x14ac:dyDescent="0.2">
      <c r="A25" s="216">
        <f>A24+((($C$1+$C$1*0.25)-$A$6)/22)</f>
        <v>29.890315909090898</v>
      </c>
      <c r="B25" s="84">
        <f t="shared" si="8"/>
        <v>29.890315909090898</v>
      </c>
      <c r="C25" s="216">
        <f t="shared" si="11"/>
        <v>27.660094284090899</v>
      </c>
      <c r="D25" s="215">
        <f t="shared" si="12"/>
        <v>29.890315909090898</v>
      </c>
      <c r="E25" s="84">
        <f t="shared" si="13"/>
        <v>32.1205375340909</v>
      </c>
      <c r="F25" s="215">
        <f t="shared" si="14"/>
        <v>29.890315909090898</v>
      </c>
      <c r="G25" s="216">
        <f t="shared" si="15"/>
        <v>5.9862977272727287</v>
      </c>
      <c r="H25" s="84">
        <f t="shared" si="16"/>
        <v>5.9862977272727287</v>
      </c>
      <c r="I25" s="84">
        <f t="shared" si="17"/>
        <v>5.6036151022727285</v>
      </c>
      <c r="J25" s="84">
        <f t="shared" si="18"/>
        <v>5.9862977272727287</v>
      </c>
      <c r="K25" s="84">
        <f t="shared" si="19"/>
        <v>6.3689803522727289</v>
      </c>
      <c r="L25" s="215">
        <f t="shared" si="20"/>
        <v>5.9862977272727287</v>
      </c>
      <c r="M25" s="216">
        <f t="shared" si="21"/>
        <v>29.165197727272734</v>
      </c>
      <c r="N25" s="84">
        <f t="shared" si="22"/>
        <v>29.165197727272734</v>
      </c>
      <c r="O25" s="84">
        <f t="shared" si="23"/>
        <v>28.098908579545462</v>
      </c>
      <c r="P25" s="84">
        <f t="shared" si="24"/>
        <v>29.165197727272734</v>
      </c>
      <c r="Q25" s="84">
        <f t="shared" si="25"/>
        <v>30.231486875000005</v>
      </c>
      <c r="R25" s="215">
        <f t="shared" si="26"/>
        <v>29.165197727272734</v>
      </c>
      <c r="S25" s="84">
        <f t="shared" si="27"/>
        <v>0.57527499999999998</v>
      </c>
      <c r="T25" s="84">
        <f t="shared" si="28"/>
        <v>0.57527499999999998</v>
      </c>
      <c r="U25" s="84">
        <f t="shared" si="29"/>
        <v>0.54275874999999996</v>
      </c>
      <c r="V25" s="84">
        <f t="shared" si="30"/>
        <v>0.57527499999999998</v>
      </c>
      <c r="W25" s="84">
        <f t="shared" si="31"/>
        <v>0.60779125000000001</v>
      </c>
      <c r="X25" s="215">
        <f t="shared" si="32"/>
        <v>0.57527499999999998</v>
      </c>
      <c r="Y25" s="214">
        <f t="shared" si="35"/>
        <v>2.7084931818181821</v>
      </c>
      <c r="Z25" s="214">
        <f t="shared" si="35"/>
        <v>2.7084931818181821</v>
      </c>
      <c r="AA25" s="212">
        <f>Y25-$AH$1</f>
        <v>2.6253019886363638</v>
      </c>
      <c r="AB25" s="212">
        <f t="shared" si="6"/>
        <v>2.7084931818181821</v>
      </c>
      <c r="AC25" s="212">
        <f>Y25+$AH$1</f>
        <v>2.7916843750000004</v>
      </c>
      <c r="AD25" s="211">
        <f t="shared" si="0"/>
        <v>2.7084931818181821</v>
      </c>
      <c r="AE25" s="213">
        <f t="shared" si="36"/>
        <v>69.099935909090931</v>
      </c>
      <c r="AF25" s="212">
        <f t="shared" si="33"/>
        <v>69.099935909090931</v>
      </c>
      <c r="AG25" s="212">
        <f t="shared" si="1"/>
        <v>67.616851204028947</v>
      </c>
      <c r="AH25" s="212">
        <f t="shared" si="2"/>
        <v>69.099935909090931</v>
      </c>
      <c r="AI25" s="212">
        <f t="shared" si="10"/>
        <v>70.583020614152915</v>
      </c>
      <c r="AJ25" s="211">
        <f t="shared" si="3"/>
        <v>69.099935909090931</v>
      </c>
    </row>
    <row r="26" spans="1:36" x14ac:dyDescent="0.2">
      <c r="A26" s="216">
        <f>A25+((($C$1+$C$1*0.25)-$A$6)/22)</f>
        <v>31.090627272727261</v>
      </c>
      <c r="B26" s="84">
        <f t="shared" si="8"/>
        <v>31.090627272727261</v>
      </c>
      <c r="C26" s="216">
        <f t="shared" si="11"/>
        <v>28.860405647727262</v>
      </c>
      <c r="D26" s="215">
        <f t="shared" si="12"/>
        <v>31.090627272727261</v>
      </c>
      <c r="E26" s="84">
        <f t="shared" si="13"/>
        <v>33.320848897727259</v>
      </c>
      <c r="F26" s="215">
        <f t="shared" si="14"/>
        <v>31.090627272727261</v>
      </c>
      <c r="G26" s="216">
        <f t="shared" si="15"/>
        <v>6.28128181818182</v>
      </c>
      <c r="H26" s="84">
        <f t="shared" si="16"/>
        <v>6.28128181818182</v>
      </c>
      <c r="I26" s="84">
        <f t="shared" si="17"/>
        <v>5.8985991931818198</v>
      </c>
      <c r="J26" s="84">
        <f t="shared" si="18"/>
        <v>6.28128181818182</v>
      </c>
      <c r="K26" s="84">
        <f t="shared" si="19"/>
        <v>6.6639644431818201</v>
      </c>
      <c r="L26" s="215">
        <f t="shared" si="20"/>
        <v>6.28128181818182</v>
      </c>
      <c r="M26" s="216">
        <f t="shared" si="21"/>
        <v>30.087481818181825</v>
      </c>
      <c r="N26" s="84">
        <f t="shared" si="22"/>
        <v>30.087481818181825</v>
      </c>
      <c r="O26" s="84">
        <f t="shared" si="23"/>
        <v>29.021192670454553</v>
      </c>
      <c r="P26" s="84">
        <f t="shared" si="24"/>
        <v>30.087481818181825</v>
      </c>
      <c r="Q26" s="84">
        <f t="shared" si="25"/>
        <v>31.153770965909096</v>
      </c>
      <c r="R26" s="215">
        <f t="shared" si="26"/>
        <v>30.087481818181825</v>
      </c>
      <c r="S26" s="84">
        <f t="shared" si="27"/>
        <v>0.60470000000000002</v>
      </c>
      <c r="T26" s="84">
        <f t="shared" si="28"/>
        <v>0.60470000000000002</v>
      </c>
      <c r="U26" s="84">
        <f t="shared" si="29"/>
        <v>0.57218374999999999</v>
      </c>
      <c r="V26" s="84">
        <f t="shared" si="30"/>
        <v>0.60470000000000002</v>
      </c>
      <c r="W26" s="84">
        <f t="shared" si="31"/>
        <v>0.63721625000000004</v>
      </c>
      <c r="X26" s="215">
        <f t="shared" si="32"/>
        <v>0.60470000000000002</v>
      </c>
      <c r="Y26" s="214">
        <f t="shared" si="35"/>
        <v>2.8313954545454547</v>
      </c>
      <c r="Z26" s="214">
        <f t="shared" si="35"/>
        <v>2.8313954545454547</v>
      </c>
      <c r="AA26" s="212">
        <f t="shared" si="5"/>
        <v>2.7482042613636364</v>
      </c>
      <c r="AB26" s="212">
        <f t="shared" si="6"/>
        <v>2.8313954545454547</v>
      </c>
      <c r="AC26" s="212">
        <f t="shared" si="9"/>
        <v>2.914586647727273</v>
      </c>
      <c r="AD26" s="211">
        <f t="shared" si="0"/>
        <v>2.8313954545454547</v>
      </c>
      <c r="AE26" s="213">
        <f t="shared" si="36"/>
        <v>70.248707272727302</v>
      </c>
      <c r="AF26" s="212">
        <f>AE25+((($AD$1+$AD$1*0.25)-$AE$6)/22)</f>
        <v>70.248707272727302</v>
      </c>
      <c r="AG26" s="212">
        <f t="shared" si="1"/>
        <v>68.765622567665318</v>
      </c>
      <c r="AH26" s="212">
        <f t="shared" si="2"/>
        <v>70.248707272727302</v>
      </c>
      <c r="AI26" s="212">
        <f>AE26+$AI$1</f>
        <v>71.731791977789285</v>
      </c>
      <c r="AJ26" s="211">
        <f t="shared" si="3"/>
        <v>70.248707272727302</v>
      </c>
    </row>
    <row r="27" spans="1:36" x14ac:dyDescent="0.2">
      <c r="A27" s="216">
        <f>A26+((($C$1+$C$1*0.25)-$A$6)/22)</f>
        <v>32.290938636363627</v>
      </c>
      <c r="B27" s="84">
        <f t="shared" si="8"/>
        <v>32.290938636363627</v>
      </c>
      <c r="C27" s="216">
        <f t="shared" si="11"/>
        <v>30.060717011363629</v>
      </c>
      <c r="D27" s="215">
        <f t="shared" si="12"/>
        <v>32.290938636363627</v>
      </c>
      <c r="E27" s="84">
        <f t="shared" si="13"/>
        <v>34.521160261363626</v>
      </c>
      <c r="F27" s="215">
        <f t="shared" si="14"/>
        <v>32.290938636363627</v>
      </c>
      <c r="G27" s="216">
        <f t="shared" si="15"/>
        <v>6.5762659090909112</v>
      </c>
      <c r="H27" s="84">
        <f t="shared" si="16"/>
        <v>6.5762659090909112</v>
      </c>
      <c r="I27" s="84">
        <f t="shared" si="17"/>
        <v>6.1935832840909111</v>
      </c>
      <c r="J27" s="84">
        <f t="shared" si="18"/>
        <v>6.5762659090909112</v>
      </c>
      <c r="K27" s="84">
        <f t="shared" si="19"/>
        <v>6.9589485340909114</v>
      </c>
      <c r="L27" s="215">
        <f t="shared" si="20"/>
        <v>6.5762659090909112</v>
      </c>
      <c r="M27" s="216">
        <f t="shared" si="21"/>
        <v>31.009765909090916</v>
      </c>
      <c r="N27" s="84">
        <f t="shared" si="22"/>
        <v>31.009765909090916</v>
      </c>
      <c r="O27" s="84">
        <f t="shared" si="23"/>
        <v>29.943476761363645</v>
      </c>
      <c r="P27" s="84">
        <f t="shared" si="24"/>
        <v>31.009765909090916</v>
      </c>
      <c r="Q27" s="84">
        <f t="shared" si="25"/>
        <v>32.076055056818191</v>
      </c>
      <c r="R27" s="215">
        <f t="shared" si="26"/>
        <v>31.009765909090916</v>
      </c>
      <c r="S27" s="84">
        <f t="shared" si="27"/>
        <v>0.63412500000000005</v>
      </c>
      <c r="T27" s="84">
        <f t="shared" si="28"/>
        <v>0.63412500000000005</v>
      </c>
      <c r="U27" s="84">
        <f t="shared" si="29"/>
        <v>0.60160875000000003</v>
      </c>
      <c r="V27" s="84">
        <f t="shared" si="30"/>
        <v>0.63412500000000005</v>
      </c>
      <c r="W27" s="84">
        <f t="shared" si="31"/>
        <v>0.66664125000000007</v>
      </c>
      <c r="X27" s="215">
        <f t="shared" si="32"/>
        <v>0.63412500000000005</v>
      </c>
      <c r="Y27" s="214">
        <f t="shared" si="35"/>
        <v>2.9542977272727273</v>
      </c>
      <c r="Z27" s="214">
        <f t="shared" si="35"/>
        <v>2.9542977272727273</v>
      </c>
      <c r="AA27" s="212">
        <f>Y27-$AH$1</f>
        <v>2.871106534090909</v>
      </c>
      <c r="AB27" s="212">
        <f t="shared" si="6"/>
        <v>2.9542977272727273</v>
      </c>
      <c r="AC27" s="212">
        <f>Y27+$AH$1</f>
        <v>3.0374889204545457</v>
      </c>
      <c r="AD27" s="211">
        <f t="shared" si="0"/>
        <v>2.9542977272727273</v>
      </c>
      <c r="AE27" s="213">
        <f t="shared" si="36"/>
        <v>71.397478636363672</v>
      </c>
      <c r="AF27" s="212">
        <f t="shared" si="33"/>
        <v>71.397478636363672</v>
      </c>
      <c r="AG27" s="212">
        <f t="shared" si="1"/>
        <v>69.914393931301689</v>
      </c>
      <c r="AH27" s="212">
        <f t="shared" si="2"/>
        <v>71.397478636363672</v>
      </c>
      <c r="AI27" s="212">
        <f t="shared" si="10"/>
        <v>72.880563341425656</v>
      </c>
      <c r="AJ27" s="211">
        <f t="shared" si="3"/>
        <v>71.397478636363672</v>
      </c>
    </row>
    <row r="28" spans="1:36" x14ac:dyDescent="0.2">
      <c r="A28" s="216">
        <v>20</v>
      </c>
      <c r="B28" s="84">
        <v>20</v>
      </c>
      <c r="C28" s="216">
        <f t="shared" si="11"/>
        <v>17.769778375000001</v>
      </c>
      <c r="D28" s="215">
        <f t="shared" si="12"/>
        <v>20</v>
      </c>
      <c r="E28" s="84">
        <f t="shared" si="13"/>
        <v>22.230221624999999</v>
      </c>
      <c r="F28" s="215">
        <f t="shared" si="14"/>
        <v>20</v>
      </c>
      <c r="G28" s="216">
        <v>0</v>
      </c>
      <c r="H28" s="84">
        <f t="shared" si="16"/>
        <v>0</v>
      </c>
      <c r="I28" s="84">
        <f t="shared" si="17"/>
        <v>-0.382682625</v>
      </c>
      <c r="J28" s="84">
        <f t="shared" si="18"/>
        <v>0</v>
      </c>
      <c r="K28" s="84">
        <f t="shared" si="19"/>
        <v>0.382682625</v>
      </c>
      <c r="L28" s="215">
        <f t="shared" si="20"/>
        <v>0</v>
      </c>
      <c r="M28" s="216">
        <f t="shared" si="21"/>
        <v>31.932050000000007</v>
      </c>
      <c r="N28" s="84">
        <f t="shared" si="22"/>
        <v>31.932050000000007</v>
      </c>
      <c r="O28" s="84">
        <f t="shared" si="23"/>
        <v>30.865760852272736</v>
      </c>
      <c r="P28" s="84">
        <f t="shared" si="24"/>
        <v>31.932050000000007</v>
      </c>
      <c r="Q28" s="84">
        <f t="shared" si="25"/>
        <v>32.998339147727279</v>
      </c>
      <c r="R28" s="215">
        <f t="shared" si="26"/>
        <v>31.932050000000007</v>
      </c>
      <c r="S28" s="84">
        <v>0</v>
      </c>
      <c r="T28" s="84">
        <f t="shared" si="28"/>
        <v>0</v>
      </c>
      <c r="U28" s="84">
        <f t="shared" si="29"/>
        <v>-3.2516250000000003E-2</v>
      </c>
      <c r="V28" s="84">
        <f t="shared" si="30"/>
        <v>0</v>
      </c>
      <c r="W28" s="84">
        <f t="shared" si="31"/>
        <v>3.2516250000000003E-2</v>
      </c>
      <c r="X28" s="215">
        <f t="shared" si="32"/>
        <v>0</v>
      </c>
      <c r="Y28" s="214">
        <v>0.2</v>
      </c>
      <c r="Z28" s="212">
        <v>0.2</v>
      </c>
      <c r="AA28" s="212">
        <f>Y28-$AH$1</f>
        <v>0.11680880681818182</v>
      </c>
      <c r="AB28" s="212">
        <f t="shared" si="6"/>
        <v>0.2</v>
      </c>
      <c r="AC28" s="212">
        <f>Y28+$AH$1</f>
        <v>0.28319119318181818</v>
      </c>
      <c r="AD28" s="211">
        <f t="shared" si="0"/>
        <v>0.2</v>
      </c>
      <c r="AE28" s="213">
        <v>45</v>
      </c>
      <c r="AF28" s="212">
        <v>45</v>
      </c>
      <c r="AG28" s="212">
        <f t="shared" si="1"/>
        <v>43.516915294938016</v>
      </c>
      <c r="AH28" s="212">
        <f t="shared" si="2"/>
        <v>45</v>
      </c>
      <c r="AI28" s="212">
        <f>AE28+$AI$1</f>
        <v>46.483084705061984</v>
      </c>
      <c r="AJ28" s="211">
        <f t="shared" si="3"/>
        <v>45</v>
      </c>
    </row>
    <row r="29" spans="1:36" ht="13.5" thickBot="1" x14ac:dyDescent="0.25">
      <c r="A29" s="210">
        <v>35</v>
      </c>
      <c r="B29" s="208">
        <v>35</v>
      </c>
      <c r="C29" s="210">
        <f t="shared" si="11"/>
        <v>32.769778375000001</v>
      </c>
      <c r="D29" s="209">
        <f>B29</f>
        <v>35</v>
      </c>
      <c r="E29" s="208">
        <f t="shared" si="13"/>
        <v>37.230221624999999</v>
      </c>
      <c r="F29" s="209">
        <f t="shared" si="14"/>
        <v>35</v>
      </c>
      <c r="G29" s="210">
        <v>2.5</v>
      </c>
      <c r="H29" s="208">
        <f t="shared" si="16"/>
        <v>2.5</v>
      </c>
      <c r="I29" s="208">
        <f t="shared" si="17"/>
        <v>2.1173173749999998</v>
      </c>
      <c r="J29" s="208">
        <f t="shared" si="18"/>
        <v>2.5</v>
      </c>
      <c r="K29" s="208">
        <f t="shared" si="19"/>
        <v>2.8826826250000002</v>
      </c>
      <c r="L29" s="209">
        <f>H29</f>
        <v>2.5</v>
      </c>
      <c r="M29" s="210">
        <f t="shared" si="21"/>
        <v>32.854334090909099</v>
      </c>
      <c r="N29" s="208">
        <f t="shared" si="22"/>
        <v>32.854334090909099</v>
      </c>
      <c r="O29" s="208">
        <f t="shared" si="23"/>
        <v>31.788044943181827</v>
      </c>
      <c r="P29" s="208">
        <f t="shared" si="24"/>
        <v>32.854334090909099</v>
      </c>
      <c r="Q29" s="208">
        <f t="shared" si="25"/>
        <v>33.920623238636374</v>
      </c>
      <c r="R29" s="209">
        <f t="shared" si="26"/>
        <v>32.854334090909099</v>
      </c>
      <c r="S29" s="208">
        <f t="shared" si="27"/>
        <v>2.9425E-2</v>
      </c>
      <c r="T29" s="208">
        <f t="shared" si="28"/>
        <v>2.9425E-2</v>
      </c>
      <c r="U29" s="208">
        <f t="shared" si="29"/>
        <v>-3.0912500000000037E-3</v>
      </c>
      <c r="V29" s="208">
        <f t="shared" si="30"/>
        <v>2.9425E-2</v>
      </c>
      <c r="W29" s="208">
        <f t="shared" si="31"/>
        <v>6.1941250000000003E-2</v>
      </c>
      <c r="X29" s="209">
        <f t="shared" si="32"/>
        <v>2.9425E-2</v>
      </c>
      <c r="Y29" s="207">
        <v>1.2</v>
      </c>
      <c r="Z29" s="205">
        <v>1.2</v>
      </c>
      <c r="AA29" s="205">
        <f>Y29-$AH$1</f>
        <v>1.1168088068181818</v>
      </c>
      <c r="AB29" s="205">
        <v>1.2</v>
      </c>
      <c r="AC29" s="205">
        <f>Y29+$AH$1</f>
        <v>1.2831911931818181</v>
      </c>
      <c r="AD29" s="204">
        <f t="shared" si="0"/>
        <v>1.2</v>
      </c>
      <c r="AE29" s="206">
        <v>60</v>
      </c>
      <c r="AF29" s="205">
        <v>60</v>
      </c>
      <c r="AG29" s="205">
        <f t="shared" si="1"/>
        <v>58.516915294938016</v>
      </c>
      <c r="AH29" s="205">
        <f t="shared" si="2"/>
        <v>60</v>
      </c>
      <c r="AI29" s="205">
        <f t="shared" si="10"/>
        <v>61.483084705061984</v>
      </c>
      <c r="AJ29" s="204">
        <f t="shared" si="3"/>
        <v>60</v>
      </c>
    </row>
    <row r="30" spans="1:36" ht="13.5" thickBot="1" x14ac:dyDescent="0.25"/>
    <row r="31" spans="1:36" ht="13.5" thickBot="1" x14ac:dyDescent="0.25">
      <c r="F31" s="203" t="s">
        <v>187</v>
      </c>
      <c r="G31" s="203" t="s">
        <v>188</v>
      </c>
    </row>
    <row r="32" spans="1:36" ht="13.5" thickBot="1" x14ac:dyDescent="0.25">
      <c r="A32" s="202" t="s">
        <v>189</v>
      </c>
      <c r="B32" s="387" t="s">
        <v>190</v>
      </c>
      <c r="C32" s="201" t="s">
        <v>191</v>
      </c>
      <c r="D32" s="200">
        <v>0.11</v>
      </c>
      <c r="E32" s="197" t="s">
        <v>191</v>
      </c>
      <c r="F32" s="196">
        <f>I1</f>
        <v>2.2302216249999991</v>
      </c>
      <c r="G32" s="195">
        <f t="shared" ref="G32:G35" si="37">F32*2</f>
        <v>4.4604432499999982</v>
      </c>
      <c r="N32" s="84"/>
    </row>
    <row r="33" spans="1:7" ht="13.5" thickBot="1" x14ac:dyDescent="0.25">
      <c r="B33" s="388"/>
      <c r="C33" s="194" t="s">
        <v>192</v>
      </c>
      <c r="D33" s="193">
        <v>0.11</v>
      </c>
      <c r="E33" s="192" t="s">
        <v>192</v>
      </c>
      <c r="F33" s="196">
        <f>J1</f>
        <v>0.382682625</v>
      </c>
      <c r="G33" s="195">
        <f t="shared" si="37"/>
        <v>0.76536525</v>
      </c>
    </row>
    <row r="34" spans="1:7" x14ac:dyDescent="0.2">
      <c r="B34" s="387" t="s">
        <v>193</v>
      </c>
      <c r="C34" s="201" t="s">
        <v>191</v>
      </c>
      <c r="D34" s="200">
        <v>0.05</v>
      </c>
      <c r="E34" s="197" t="s">
        <v>191</v>
      </c>
      <c r="F34" s="196">
        <f>U1</f>
        <v>1.0662891477272729</v>
      </c>
      <c r="G34" s="195">
        <f t="shared" si="37"/>
        <v>2.1325782954545458</v>
      </c>
    </row>
    <row r="35" spans="1:7" ht="13.5" thickBot="1" x14ac:dyDescent="0.25">
      <c r="B35" s="388"/>
      <c r="C35" s="179" t="s">
        <v>192</v>
      </c>
      <c r="D35" s="193">
        <v>0.1</v>
      </c>
      <c r="E35" s="192" t="s">
        <v>192</v>
      </c>
      <c r="F35" s="196">
        <f>V1</f>
        <v>3.2516250000000003E-2</v>
      </c>
      <c r="G35" s="195">
        <f t="shared" si="37"/>
        <v>6.5032500000000007E-2</v>
      </c>
    </row>
    <row r="36" spans="1:7" x14ac:dyDescent="0.2">
      <c r="B36" s="387" t="s">
        <v>194</v>
      </c>
      <c r="C36" s="199" t="s">
        <v>191</v>
      </c>
      <c r="D36" s="198">
        <v>0.05</v>
      </c>
      <c r="E36" s="197" t="s">
        <v>191</v>
      </c>
      <c r="F36" s="196">
        <f>AH1</f>
        <v>8.3191193181818196E-2</v>
      </c>
      <c r="G36" s="195">
        <f>F36*2</f>
        <v>0.16638238636363639</v>
      </c>
    </row>
    <row r="37" spans="1:7" ht="13.5" thickBot="1" x14ac:dyDescent="0.25">
      <c r="B37" s="388"/>
      <c r="C37" s="194" t="s">
        <v>192</v>
      </c>
      <c r="D37" s="193">
        <v>2.5000000000000001E-2</v>
      </c>
      <c r="E37" s="192" t="s">
        <v>192</v>
      </c>
      <c r="F37" s="344">
        <f>AI1</f>
        <v>1.4830847050619838</v>
      </c>
      <c r="G37" s="190">
        <f>F37*2</f>
        <v>2.9661694101239675</v>
      </c>
    </row>
    <row r="38" spans="1:7" ht="13.5" thickBot="1" x14ac:dyDescent="0.25"/>
    <row r="39" spans="1:7" ht="13.5" thickBot="1" x14ac:dyDescent="0.25">
      <c r="B39" s="387" t="s">
        <v>190</v>
      </c>
      <c r="C39" s="389"/>
      <c r="D39" s="389" t="s">
        <v>193</v>
      </c>
      <c r="E39" s="389"/>
      <c r="F39" s="389" t="s">
        <v>195</v>
      </c>
      <c r="G39" s="390"/>
    </row>
    <row r="40" spans="1:7" ht="13.5" thickBot="1" x14ac:dyDescent="0.25">
      <c r="B40" s="189" t="s">
        <v>191</v>
      </c>
      <c r="C40" s="188" t="s">
        <v>192</v>
      </c>
      <c r="D40" s="188" t="s">
        <v>191</v>
      </c>
      <c r="E40" s="188" t="s">
        <v>192</v>
      </c>
      <c r="F40" s="188" t="s">
        <v>191</v>
      </c>
      <c r="G40" s="187" t="s">
        <v>192</v>
      </c>
    </row>
    <row r="41" spans="1:7" x14ac:dyDescent="0.2">
      <c r="A41" s="174" t="s">
        <v>174</v>
      </c>
      <c r="B41" s="273">
        <f>COUNTIF(TABLA_M!G4:G64,"&lt;"&amp;F32)</f>
        <v>51</v>
      </c>
      <c r="C41" s="274">
        <f>COUNTIF(TABLA_M!N4:N64,"&lt;"&amp;F33)</f>
        <v>30</v>
      </c>
      <c r="D41" s="274">
        <f>COUNTIF(TABLA_M!AB4:AB64,"&lt;"&amp;F34)</f>
        <v>32</v>
      </c>
      <c r="E41" s="274">
        <f>COUNTIF(TABLA_M!AI4:AI64,"&lt;"&amp;F35)</f>
        <v>16</v>
      </c>
      <c r="F41" s="274">
        <f>COUNTIF(TABLA_M!AW4:AW64,"&lt;"&amp;F36)</f>
        <v>16</v>
      </c>
      <c r="G41" s="275">
        <f>COUNTIF(TABLA_M!BD4:BD64,"&lt;"&amp;F37)</f>
        <v>39</v>
      </c>
    </row>
    <row r="42" spans="1:7" x14ac:dyDescent="0.2">
      <c r="A42" s="170" t="s">
        <v>175</v>
      </c>
      <c r="B42" s="184">
        <f>COUNTIF(TABLA_M!G4:G64,"&gt;"&amp;F32)</f>
        <v>6</v>
      </c>
      <c r="C42" s="183">
        <f>COUNTIF(TABLA_M!N4:N64,"&gt;"&amp;F33)</f>
        <v>27</v>
      </c>
      <c r="D42" s="183">
        <f>COUNTIF(TABLA_M!AB4:AB64,"&gt;"&amp;F34)</f>
        <v>25</v>
      </c>
      <c r="E42" s="183">
        <f>COUNTIF(TABLA_M!AI4:AI64,"&gt;"&amp;F35)</f>
        <v>41</v>
      </c>
      <c r="F42" s="183">
        <f>COUNTIF(TABLA_M!AW4:AW64,"&gt;"&amp;F36)</f>
        <v>37</v>
      </c>
      <c r="G42" s="182">
        <f>COUNTIF(TABLA_M!BD4:BD64,"&gt;"&amp;F37)</f>
        <v>14</v>
      </c>
    </row>
    <row r="43" spans="1:7" ht="13.5" thickBot="1" x14ac:dyDescent="0.25">
      <c r="A43" s="181" t="s">
        <v>176</v>
      </c>
      <c r="B43" s="180">
        <f>SUM(B41:B42)</f>
        <v>57</v>
      </c>
      <c r="C43" s="179">
        <f t="shared" ref="C43:E43" si="38">SUM(C41:C42)</f>
        <v>57</v>
      </c>
      <c r="D43" s="179">
        <f t="shared" si="38"/>
        <v>57</v>
      </c>
      <c r="E43" s="179">
        <f t="shared" si="38"/>
        <v>57</v>
      </c>
      <c r="F43" s="179">
        <f>SUM(F41:F42)</f>
        <v>53</v>
      </c>
      <c r="G43" s="178">
        <f>SUM(G41:G42)</f>
        <v>53</v>
      </c>
    </row>
    <row r="44" spans="1:7" x14ac:dyDescent="0.2">
      <c r="B44" s="384" t="s">
        <v>190</v>
      </c>
      <c r="C44" s="385"/>
      <c r="D44" s="385" t="s">
        <v>193</v>
      </c>
      <c r="E44" s="385"/>
      <c r="F44" s="385" t="s">
        <v>195</v>
      </c>
      <c r="G44" s="386"/>
    </row>
    <row r="45" spans="1:7" ht="13.5" thickBot="1" x14ac:dyDescent="0.25">
      <c r="B45" s="177" t="s">
        <v>191</v>
      </c>
      <c r="C45" s="176" t="s">
        <v>192</v>
      </c>
      <c r="D45" s="176" t="s">
        <v>191</v>
      </c>
      <c r="E45" s="176" t="s">
        <v>192</v>
      </c>
      <c r="F45" s="176" t="s">
        <v>191</v>
      </c>
      <c r="G45" s="175" t="s">
        <v>192</v>
      </c>
    </row>
    <row r="46" spans="1:7" x14ac:dyDescent="0.2">
      <c r="A46" s="174" t="s">
        <v>174</v>
      </c>
      <c r="B46" s="173">
        <f>B41/B$43*100</f>
        <v>89.473684210526315</v>
      </c>
      <c r="C46" s="172">
        <f t="shared" ref="B46:E47" si="39">C41/C$43*100</f>
        <v>52.631578947368418</v>
      </c>
      <c r="D46" s="172">
        <f t="shared" si="39"/>
        <v>56.140350877192979</v>
      </c>
      <c r="E46" s="172">
        <f t="shared" si="39"/>
        <v>28.07017543859649</v>
      </c>
      <c r="F46" s="172">
        <f>F41/F$43*100</f>
        <v>30.188679245283019</v>
      </c>
      <c r="G46" s="171">
        <f>G41/G$43*100</f>
        <v>73.584905660377359</v>
      </c>
    </row>
    <row r="47" spans="1:7" ht="13.5" thickBot="1" x14ac:dyDescent="0.25">
      <c r="A47" s="170" t="s">
        <v>175</v>
      </c>
      <c r="B47" s="169">
        <f t="shared" si="39"/>
        <v>10.526315789473683</v>
      </c>
      <c r="C47" s="168">
        <f t="shared" si="39"/>
        <v>47.368421052631575</v>
      </c>
      <c r="D47" s="168">
        <f t="shared" si="39"/>
        <v>43.859649122807014</v>
      </c>
      <c r="E47" s="168">
        <f t="shared" si="39"/>
        <v>71.929824561403507</v>
      </c>
      <c r="F47" s="168">
        <f>F42/F$43*100</f>
        <v>69.811320754716974</v>
      </c>
      <c r="G47" s="167">
        <f>G42/G$43*100</f>
        <v>26.415094339622641</v>
      </c>
    </row>
  </sheetData>
  <mergeCells count="36">
    <mergeCell ref="AI4:AJ4"/>
    <mergeCell ref="A4:B4"/>
    <mergeCell ref="C4:D4"/>
    <mergeCell ref="E4:F4"/>
    <mergeCell ref="G4:H4"/>
    <mergeCell ref="I4:J4"/>
    <mergeCell ref="O4:P4"/>
    <mergeCell ref="Q4:R4"/>
    <mergeCell ref="S4:T4"/>
    <mergeCell ref="U4:V4"/>
    <mergeCell ref="K4:L4"/>
    <mergeCell ref="AG4:AH4"/>
    <mergeCell ref="W4:X4"/>
    <mergeCell ref="Y4:Z4"/>
    <mergeCell ref="AA4:AB4"/>
    <mergeCell ref="AC4:AD4"/>
    <mergeCell ref="A2:L2"/>
    <mergeCell ref="M2:X2"/>
    <mergeCell ref="Y2:AJ2"/>
    <mergeCell ref="A3:F3"/>
    <mergeCell ref="G3:L3"/>
    <mergeCell ref="M3:R3"/>
    <mergeCell ref="S3:X3"/>
    <mergeCell ref="Y3:AD3"/>
    <mergeCell ref="AE3:AJ3"/>
    <mergeCell ref="AE4:AF4"/>
    <mergeCell ref="M4:N4"/>
    <mergeCell ref="B44:C44"/>
    <mergeCell ref="D44:E44"/>
    <mergeCell ref="F44:G44"/>
    <mergeCell ref="B32:B33"/>
    <mergeCell ref="B34:B35"/>
    <mergeCell ref="B36:B37"/>
    <mergeCell ref="B39:C39"/>
    <mergeCell ref="D39:E39"/>
    <mergeCell ref="F39:G3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A1:BU68"/>
  <sheetViews>
    <sheetView zoomScale="85" zoomScaleNormal="85" workbookViewId="0">
      <pane xSplit="3" ySplit="3" topLeftCell="BA4" activePane="bottomRight" state="frozen"/>
      <selection pane="topRight" activeCell="D1" sqref="D1"/>
      <selection pane="bottomLeft" activeCell="A4" sqref="A4"/>
      <selection pane="bottomRight" activeCell="BO81" sqref="BO81"/>
    </sheetView>
  </sheetViews>
  <sheetFormatPr defaultColWidth="9.140625" defaultRowHeight="12.75" x14ac:dyDescent="0.2"/>
  <cols>
    <col min="2" max="2" width="13.28515625" bestFit="1" customWidth="1"/>
    <col min="3" max="3" width="12.42578125" bestFit="1" customWidth="1"/>
    <col min="4" max="4" width="10.7109375" customWidth="1"/>
    <col min="5" max="10" width="10.7109375" style="37" customWidth="1"/>
    <col min="11" max="11" width="10.7109375" customWidth="1"/>
    <col min="12" max="24" width="10.7109375" style="37" customWidth="1"/>
    <col min="25" max="25" width="10.7109375" customWidth="1"/>
    <col min="26" max="31" width="10.7109375" style="37" customWidth="1"/>
    <col min="32" max="32" width="10.7109375" customWidth="1"/>
    <col min="33" max="35" width="10.7109375" style="37" customWidth="1"/>
    <col min="36" max="38" width="11.7109375" style="37" customWidth="1"/>
    <col min="39" max="45" width="10.7109375" style="37" customWidth="1"/>
    <col min="46" max="46" width="10.7109375" customWidth="1"/>
    <col min="47" max="52" width="10.7109375" style="37" customWidth="1"/>
    <col min="53" max="53" width="10.7109375" customWidth="1"/>
    <col min="54" max="60" width="10.7109375" style="37" customWidth="1"/>
    <col min="61" max="61" width="8" style="37" bestFit="1" customWidth="1"/>
    <col min="62" max="62" width="8" bestFit="1" customWidth="1"/>
    <col min="64" max="64" width="9.7109375" bestFit="1" customWidth="1"/>
    <col min="67" max="67" width="8.140625" customWidth="1"/>
    <col min="68" max="68" width="8.5703125" bestFit="1" customWidth="1"/>
    <col min="69" max="69" width="8" bestFit="1" customWidth="1"/>
    <col min="70" max="70" width="7.140625" bestFit="1" customWidth="1"/>
    <col min="71" max="71" width="8.85546875" bestFit="1" customWidth="1"/>
  </cols>
  <sheetData>
    <row r="1" spans="1:73" ht="13.5" thickBot="1" x14ac:dyDescent="0.25">
      <c r="D1" s="373" t="s">
        <v>69</v>
      </c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5"/>
      <c r="W1" s="266"/>
      <c r="X1" s="266"/>
      <c r="Y1" s="373" t="s">
        <v>70</v>
      </c>
      <c r="Z1" s="374"/>
      <c r="AA1" s="374"/>
      <c r="AB1" s="374"/>
      <c r="AC1" s="374"/>
      <c r="AD1" s="374"/>
      <c r="AE1" s="374"/>
      <c r="AF1" s="374"/>
      <c r="AG1" s="374"/>
      <c r="AH1" s="374"/>
      <c r="AI1" s="374"/>
      <c r="AJ1" s="374"/>
      <c r="AK1" s="374"/>
      <c r="AL1" s="374"/>
      <c r="AM1" s="374"/>
      <c r="AN1" s="374"/>
      <c r="AO1" s="374"/>
      <c r="AP1" s="374"/>
      <c r="AQ1" s="375"/>
      <c r="AR1" s="266"/>
      <c r="AS1" s="266"/>
      <c r="AT1" s="373" t="s">
        <v>71</v>
      </c>
      <c r="AU1" s="374"/>
      <c r="AV1" s="374"/>
      <c r="AW1" s="374"/>
      <c r="AX1" s="374"/>
      <c r="AY1" s="374"/>
      <c r="AZ1" s="374"/>
      <c r="BA1" s="374"/>
      <c r="BB1" s="374"/>
      <c r="BC1" s="374"/>
      <c r="BD1" s="374"/>
      <c r="BE1" s="374"/>
      <c r="BF1" s="374"/>
      <c r="BG1" s="374"/>
      <c r="BH1" s="374"/>
      <c r="BI1" s="374"/>
      <c r="BJ1" s="374"/>
      <c r="BK1" s="374"/>
      <c r="BL1" s="374"/>
      <c r="BM1" s="374"/>
      <c r="BN1" s="375"/>
    </row>
    <row r="2" spans="1:73" ht="13.5" thickBot="1" x14ac:dyDescent="0.25">
      <c r="D2" s="373" t="s">
        <v>1</v>
      </c>
      <c r="E2" s="374"/>
      <c r="F2" s="374"/>
      <c r="G2" s="374"/>
      <c r="H2" s="375"/>
      <c r="I2" s="266"/>
      <c r="J2" s="266"/>
      <c r="K2" s="373" t="s">
        <v>2</v>
      </c>
      <c r="L2" s="374"/>
      <c r="M2" s="374"/>
      <c r="N2" s="374"/>
      <c r="O2" s="375"/>
      <c r="P2" s="266"/>
      <c r="Q2" s="266"/>
      <c r="R2" s="373" t="s">
        <v>3</v>
      </c>
      <c r="S2" s="374"/>
      <c r="T2" s="374"/>
      <c r="U2" s="374"/>
      <c r="V2" s="375"/>
      <c r="W2" s="266"/>
      <c r="X2" s="266"/>
      <c r="Y2" s="373" t="s">
        <v>1</v>
      </c>
      <c r="Z2" s="374"/>
      <c r="AA2" s="374"/>
      <c r="AB2" s="374"/>
      <c r="AC2" s="375"/>
      <c r="AD2" s="266"/>
      <c r="AE2" s="266"/>
      <c r="AF2" s="373" t="s">
        <v>2</v>
      </c>
      <c r="AG2" s="374"/>
      <c r="AH2" s="374"/>
      <c r="AI2" s="374"/>
      <c r="AJ2" s="375"/>
      <c r="AK2" s="266"/>
      <c r="AL2" s="266"/>
      <c r="AM2" s="373" t="s">
        <v>3</v>
      </c>
      <c r="AN2" s="374"/>
      <c r="AO2" s="374"/>
      <c r="AP2" s="374"/>
      <c r="AQ2" s="375"/>
      <c r="AR2" s="266"/>
      <c r="AS2" s="266"/>
      <c r="AT2" s="373" t="s">
        <v>1</v>
      </c>
      <c r="AU2" s="374"/>
      <c r="AV2" s="374"/>
      <c r="AW2" s="374"/>
      <c r="AX2" s="375"/>
      <c r="AY2" s="266"/>
      <c r="AZ2" s="266"/>
      <c r="BA2" s="373" t="s">
        <v>2</v>
      </c>
      <c r="BB2" s="374"/>
      <c r="BC2" s="374"/>
      <c r="BD2" s="374"/>
      <c r="BE2" s="375"/>
      <c r="BF2" s="266"/>
      <c r="BG2" s="266"/>
      <c r="BH2" s="373" t="s">
        <v>3</v>
      </c>
      <c r="BI2" s="374"/>
      <c r="BJ2" s="374"/>
      <c r="BK2" s="374"/>
      <c r="BL2" s="374"/>
      <c r="BM2" s="374"/>
      <c r="BN2" s="375"/>
      <c r="BO2" s="373" t="s">
        <v>236</v>
      </c>
      <c r="BP2" s="374"/>
      <c r="BQ2" s="374"/>
      <c r="BR2" s="374"/>
      <c r="BS2" s="374"/>
      <c r="BT2" s="374"/>
      <c r="BU2" s="375"/>
    </row>
    <row r="3" spans="1:73" ht="13.5" thickBot="1" x14ac:dyDescent="0.25">
      <c r="B3" s="31" t="s">
        <v>33</v>
      </c>
      <c r="D3" s="32" t="s">
        <v>34</v>
      </c>
      <c r="E3" s="33" t="s">
        <v>35</v>
      </c>
      <c r="F3" s="124" t="s">
        <v>57</v>
      </c>
      <c r="G3" s="124" t="s">
        <v>229</v>
      </c>
      <c r="H3" s="34" t="s">
        <v>61</v>
      </c>
      <c r="I3" s="124" t="s">
        <v>200</v>
      </c>
      <c r="J3" s="124" t="s">
        <v>199</v>
      </c>
      <c r="K3" s="32" t="s">
        <v>34</v>
      </c>
      <c r="L3" s="34" t="s">
        <v>35</v>
      </c>
      <c r="M3" s="124" t="s">
        <v>57</v>
      </c>
      <c r="N3" s="124" t="s">
        <v>229</v>
      </c>
      <c r="O3" s="34" t="s">
        <v>61</v>
      </c>
      <c r="P3" s="124" t="s">
        <v>200</v>
      </c>
      <c r="Q3" s="124" t="s">
        <v>199</v>
      </c>
      <c r="R3" s="32" t="s">
        <v>34</v>
      </c>
      <c r="S3" s="34" t="s">
        <v>35</v>
      </c>
      <c r="T3" s="124" t="s">
        <v>57</v>
      </c>
      <c r="U3" s="124" t="s">
        <v>229</v>
      </c>
      <c r="V3" s="34" t="s">
        <v>61</v>
      </c>
      <c r="W3" s="124" t="s">
        <v>200</v>
      </c>
      <c r="X3" s="124" t="s">
        <v>199</v>
      </c>
      <c r="Y3" s="32" t="s">
        <v>36</v>
      </c>
      <c r="Z3" s="33" t="s">
        <v>37</v>
      </c>
      <c r="AA3" s="124" t="s">
        <v>57</v>
      </c>
      <c r="AB3" s="124" t="s">
        <v>229</v>
      </c>
      <c r="AC3" s="34" t="s">
        <v>61</v>
      </c>
      <c r="AD3" s="124" t="s">
        <v>200</v>
      </c>
      <c r="AE3" s="124" t="s">
        <v>199</v>
      </c>
      <c r="AF3" s="32" t="s">
        <v>36</v>
      </c>
      <c r="AG3" s="34" t="s">
        <v>37</v>
      </c>
      <c r="AH3" s="124" t="s">
        <v>57</v>
      </c>
      <c r="AI3" s="124" t="s">
        <v>229</v>
      </c>
      <c r="AJ3" s="34" t="s">
        <v>61</v>
      </c>
      <c r="AK3" s="124" t="s">
        <v>200</v>
      </c>
      <c r="AL3" s="124" t="s">
        <v>199</v>
      </c>
      <c r="AM3" s="32" t="s">
        <v>34</v>
      </c>
      <c r="AN3" s="34" t="s">
        <v>35</v>
      </c>
      <c r="AO3" s="124" t="s">
        <v>57</v>
      </c>
      <c r="AP3" s="124" t="s">
        <v>229</v>
      </c>
      <c r="AQ3" s="34" t="s">
        <v>61</v>
      </c>
      <c r="AR3" s="124" t="s">
        <v>200</v>
      </c>
      <c r="AS3" s="124" t="s">
        <v>199</v>
      </c>
      <c r="AT3" s="32" t="s">
        <v>38</v>
      </c>
      <c r="AU3" s="33" t="s">
        <v>39</v>
      </c>
      <c r="AV3" s="124" t="s">
        <v>57</v>
      </c>
      <c r="AW3" s="124" t="s">
        <v>229</v>
      </c>
      <c r="AX3" s="34" t="s">
        <v>61</v>
      </c>
      <c r="AY3" s="124" t="s">
        <v>200</v>
      </c>
      <c r="AZ3" s="124" t="s">
        <v>199</v>
      </c>
      <c r="BA3" s="32" t="s">
        <v>38</v>
      </c>
      <c r="BB3" s="34" t="s">
        <v>39</v>
      </c>
      <c r="BC3" s="124" t="s">
        <v>57</v>
      </c>
      <c r="BD3" s="124" t="s">
        <v>229</v>
      </c>
      <c r="BE3" s="34" t="s">
        <v>61</v>
      </c>
      <c r="BF3" s="124" t="s">
        <v>200</v>
      </c>
      <c r="BG3" s="124" t="s">
        <v>199</v>
      </c>
      <c r="BH3" s="32" t="s">
        <v>34</v>
      </c>
      <c r="BI3" s="34" t="s">
        <v>35</v>
      </c>
      <c r="BJ3" s="124" t="s">
        <v>57</v>
      </c>
      <c r="BK3" s="124" t="s">
        <v>229</v>
      </c>
      <c r="BL3" s="34" t="s">
        <v>61</v>
      </c>
      <c r="BM3" s="124" t="s">
        <v>200</v>
      </c>
      <c r="BN3" s="34" t="s">
        <v>199</v>
      </c>
      <c r="BO3" s="32" t="s">
        <v>34</v>
      </c>
      <c r="BP3" s="34" t="s">
        <v>35</v>
      </c>
      <c r="BQ3" s="124" t="s">
        <v>57</v>
      </c>
      <c r="BR3" s="124" t="s">
        <v>229</v>
      </c>
      <c r="BS3" s="34" t="s">
        <v>61</v>
      </c>
      <c r="BT3" s="124" t="s">
        <v>200</v>
      </c>
      <c r="BU3" s="34" t="s">
        <v>199</v>
      </c>
    </row>
    <row r="4" spans="1:73" ht="18" customHeight="1" x14ac:dyDescent="0.2">
      <c r="A4">
        <v>1</v>
      </c>
      <c r="B4" s="7">
        <f>Laboratorio!B7</f>
        <v>46248</v>
      </c>
      <c r="C4" s="7" t="str">
        <f>DAY(B4) &amp; "-" &amp; MONTH(B4) &amp;"-" &amp; YEAR(B4)</f>
        <v>14-8-2026</v>
      </c>
      <c r="D4" s="35">
        <f>IF(ISNUMBER('Courier_M.'!E9),'Courier_M.'!E9,"")</f>
        <v>22.597080230712891</v>
      </c>
      <c r="E4" s="36">
        <f>IF(ISNUMBER(Laboratorio_M!E7),Laboratorio_M!E7,"")</f>
        <v>22.587</v>
      </c>
      <c r="F4" s="36">
        <f>IF(ISNUMBER(E4-D4),IF(D4&lt;17,"",E4-D4)," ")</f>
        <v>-1.0080230712890881E-2</v>
      </c>
      <c r="G4" s="267">
        <f>IF(ISNUMBER(F4),ABS(F4)," ")</f>
        <v>1.0080230712890881E-2</v>
      </c>
      <c r="H4" s="161">
        <f t="shared" ref="H4:H23" si="0">IF(ISNUMBER(ABS(F4)/E4*100),ABS(F4)/E4*100," ")</f>
        <v>4.4628462004209855E-2</v>
      </c>
      <c r="I4" s="267">
        <f>Calculos_M!I1</f>
        <v>2.2302216249999991</v>
      </c>
      <c r="J4" s="267">
        <f>I4*-1</f>
        <v>-2.2302216249999991</v>
      </c>
      <c r="K4" s="35">
        <f>IF(ISNUMBER('Courier_M.'!G9),'Courier_M.'!G9,"")</f>
        <v>1.4718281030654907</v>
      </c>
      <c r="L4" s="36">
        <f>IF(ISNUMBER(Laboratorio_M!G7),Laboratorio_M!G7,"")</f>
        <v>1.877</v>
      </c>
      <c r="M4" s="36">
        <f>IF(ISNUMBER(L4-K4),IF(K4&lt;0.2,"",L4-K4)," ")</f>
        <v>0.40517189693450928</v>
      </c>
      <c r="N4" s="267">
        <f>IF(ISNUMBER(M4),ABS(M4)," ")</f>
        <v>0.40517189693450928</v>
      </c>
      <c r="O4" s="161">
        <f t="shared" ref="O4:O23" si="1">IF(ISNUMBER(ABS(M4)/L4*100),ABS(M4)/L4*100," ")</f>
        <v>21.58614261771493</v>
      </c>
      <c r="P4" s="267">
        <f>Calculos_M!J1</f>
        <v>0.382682625</v>
      </c>
      <c r="Q4" s="267">
        <f>P4*-1</f>
        <v>-0.382682625</v>
      </c>
      <c r="R4" s="35">
        <f>IF(ISNUMBER('Courier_M.'!I9),'Courier_M.'!I9,"")</f>
        <v>27.8409423828125</v>
      </c>
      <c r="S4" s="36">
        <f>IF(ISNUMBER(Laboratorio_M!I7),Laboratorio_M!I7,"")</f>
        <v>28.57</v>
      </c>
      <c r="T4" s="36">
        <f>IF(ISNUMBER(S4-R4),IF(R4&lt;16,"",S4-R4)," ")</f>
        <v>0.72905761718750028</v>
      </c>
      <c r="U4" s="267">
        <f>IF(ISNUMBER(T4),ABS(T4)," ")</f>
        <v>0.72905761718750028</v>
      </c>
      <c r="V4" s="161">
        <f>IF(ISNUMBER(ABS(T4)/S4*100),ABS(T4)/S4*100," ")</f>
        <v>2.5518292516188321</v>
      </c>
      <c r="W4" s="267"/>
      <c r="X4" s="267"/>
      <c r="Y4" s="35">
        <f>IF(ISNUMBER('Courier_M.'!K9),'Courier_M.'!K9,"")</f>
        <v>21.793367385864258</v>
      </c>
      <c r="Z4" s="36">
        <f>IF(ISNUMBER(Laboratorio_M!K7),Laboratorio_M!K7,"")</f>
        <v>22.686</v>
      </c>
      <c r="AA4" s="36">
        <f>IF(ISNUMBER(Z4-Y4),IF(Y4&lt;17,"",Z4-Y4)," ")</f>
        <v>0.89263261413574213</v>
      </c>
      <c r="AB4" s="267">
        <f>IF(ISNUMBER(AA4),ABS(AA4)," ")</f>
        <v>0.89263261413574213</v>
      </c>
      <c r="AC4" s="161">
        <f t="shared" ref="AC4:AC23" si="2">IF(ISNUMBER(ABS(AA4)/Z4*100),ABS(AA4)/Z4*100," ")</f>
        <v>3.9347289700067978</v>
      </c>
      <c r="AD4" s="267">
        <f>Calculos_M!U1</f>
        <v>1.0662891477272729</v>
      </c>
      <c r="AE4" s="267">
        <f>AD4*-1</f>
        <v>-1.0662891477272729</v>
      </c>
      <c r="AF4" s="35">
        <f>IF(ISNUMBER('Courier_M.'!M9),'Courier_M.'!M9,"")</f>
        <v>0.43541663885116577</v>
      </c>
      <c r="AG4" s="36">
        <f>IF(ISNUMBER(Laboratorio_M!M7),Laboratorio_M!M7,"")</f>
        <v>7.3999999999999996E-2</v>
      </c>
      <c r="AH4" s="36">
        <f>IF(ISNUMBER(AG4-AF4),IF(AF4&lt;0.02,"",AG4-AF4)," ")</f>
        <v>-0.36141663885116576</v>
      </c>
      <c r="AI4" s="267">
        <f>IF(ISNUMBER(AH4),ABS(AH4)," ")</f>
        <v>0.36141663885116576</v>
      </c>
      <c r="AJ4" s="161">
        <f t="shared" ref="AJ4:AJ23" si="3">IF(ISNUMBER(ABS(AH4)/AG4*100),ABS(AH4)/AG4*100," ")</f>
        <v>488.40086331238615</v>
      </c>
      <c r="AK4" s="267">
        <f>Calculos_M!V1</f>
        <v>3.2516250000000003E-2</v>
      </c>
      <c r="AL4" s="267">
        <f>AK4*-1</f>
        <v>-3.2516250000000003E-2</v>
      </c>
      <c r="AM4" s="35">
        <f>IF(ISNUMBER('Courier_M.'!O9),'Courier_M.'!O9,"")</f>
        <v>28.034366607666016</v>
      </c>
      <c r="AN4" s="36">
        <f>IF(ISNUMBER(Laboratorio_M!O7),Laboratorio_M!O7,"")</f>
        <v>30.11</v>
      </c>
      <c r="AO4" s="36">
        <f>IF(ISNUMBER(AN4-AM4),IF(AM4&lt;20,"",AN4-AM4)," ")</f>
        <v>2.0756333923339838</v>
      </c>
      <c r="AP4" s="267">
        <f>IF(ISNUMBER(AO4),ABS(AO4)," ")</f>
        <v>2.0756333923339838</v>
      </c>
      <c r="AQ4" s="161">
        <f>IF(ISNUMBER(ABS(AO4)/AN4*100),ABS(AO4)/AN4*100," ")</f>
        <v>6.8935018011756357</v>
      </c>
      <c r="AR4" s="267"/>
      <c r="AS4" s="267"/>
      <c r="AT4" s="35">
        <f>IF(ISNUMBER('Courier_M.'!S9),'Courier_M.'!S9,0)</f>
        <v>0.61717796325683594</v>
      </c>
      <c r="AU4" s="36">
        <f>IF(ISNUMBER(Laboratorio_M!S7),Laboratorio_M!S7,"")</f>
        <v>0.55300000000000005</v>
      </c>
      <c r="AV4" s="36">
        <f>IF(ISNUMBER(AU4-AT4),IF(AT4&lt;0.25,"",AU4-AT4)," ")</f>
        <v>-6.417796325683589E-2</v>
      </c>
      <c r="AW4" s="267">
        <f>IF(ISNUMBER(AV4),ABS(AV4)," ")</f>
        <v>6.417796325683589E-2</v>
      </c>
      <c r="AX4" s="161">
        <f t="shared" ref="AX4:AX23" si="4">IF(ISNUMBER(ABS(AV4)/AU4*100),ABS(AV4)/AU4*100," ")</f>
        <v>11.605418310458569</v>
      </c>
      <c r="AY4" s="267">
        <f>Calculos_M!$AH$1</f>
        <v>8.3191193181818196E-2</v>
      </c>
      <c r="AZ4" s="267">
        <f>AY4*-1</f>
        <v>-8.3191193181818196E-2</v>
      </c>
      <c r="BA4" s="35">
        <f>IF(ISNUMBER('Courier_M.'!U9),'Courier_M.'!U9,0)</f>
        <v>56.281028747558594</v>
      </c>
      <c r="BB4" s="36">
        <f>IF(ISNUMBER(Laboratorio_M!U7),Laboratorio_M!U7,"")</f>
        <v>56.453000000000003</v>
      </c>
      <c r="BC4" s="36">
        <f>IF(ISNUMBER(BB4-BA4),IF(BA4&lt;45,"",BB4-BA4)," ")</f>
        <v>0.17197125244140921</v>
      </c>
      <c r="BD4" s="267">
        <f>IF(ISNUMBER(BC4),ABS(BC4)," ")</f>
        <v>0.17197125244140921</v>
      </c>
      <c r="BE4" s="161">
        <f t="shared" ref="BE4:BE23" si="5">IF(ISNUMBER(ABS(BC4)/BB4*100),ABS(BC4)/BB4*100," ")</f>
        <v>0.3046273049110042</v>
      </c>
      <c r="BF4" s="267">
        <f>Calculos_M!$AI$1</f>
        <v>1.4830847050619838</v>
      </c>
      <c r="BG4" s="267">
        <f>BF4*-1</f>
        <v>-1.4830847050619838</v>
      </c>
      <c r="BH4" s="35">
        <f>IF(ISNUMBER('Courier_M.'!W9),'Courier_M.'!W9,"")</f>
        <v>0.71101564168930054</v>
      </c>
      <c r="BI4" s="36">
        <f>IF(ISNUMBER(Laboratorio_M!W7),Laboratorio_M!W7,"")</f>
        <v>0.88900000000000001</v>
      </c>
      <c r="BJ4" s="36">
        <f>IF(ISNUMBER(BI4-BH4),IF(BH4&lt;0.4,"",BI4-BH4)," ")</f>
        <v>0.17798435831069948</v>
      </c>
      <c r="BK4" s="267">
        <f>IF(ISNUMBER(BJ4),ABS(BJ4)," ")</f>
        <v>0.17798435831069948</v>
      </c>
      <c r="BL4" s="161">
        <f>IF(ISNUMBER(ABS(BJ4)/BI4*100),ABS(BJ4)/BI4*100," ")</f>
        <v>20.020737717738974</v>
      </c>
      <c r="BM4" s="36"/>
      <c r="BN4" s="161"/>
      <c r="BO4" s="35" t="str">
        <f>IF(ISNUMBER('Courier_M.'!Y9),'Courier_M.'!Y9,"")</f>
        <v/>
      </c>
      <c r="BP4" s="36">
        <f>IF(ISNUMBER(Laboratorio_M!Y7),Laboratorio_M!Y7,"")</f>
        <v>3.06</v>
      </c>
      <c r="BQ4" s="36" t="str">
        <f>IF(ISNUMBER(BP4-BO4),IF(BO4&lt;0.4,"",BP4-BO4)," ")</f>
        <v xml:space="preserve"> </v>
      </c>
      <c r="BR4" s="267" t="str">
        <f>IF(ISNUMBER(BQ4),ABS(BQ4)," ")</f>
        <v xml:space="preserve"> </v>
      </c>
      <c r="BS4" s="161" t="str">
        <f>IF(ISNUMBER(ABS(BQ4)/BP4*100),ABS(BQ4)/BP4*100," ")</f>
        <v xml:space="preserve"> </v>
      </c>
      <c r="BT4" s="36"/>
      <c r="BU4" s="161"/>
    </row>
    <row r="5" spans="1:73" ht="18" customHeight="1" x14ac:dyDescent="0.2">
      <c r="C5" s="38" t="str">
        <f>DAY(B4) &amp; "-" &amp; MONTH(B4) &amp;"-" &amp; YEAR(B4)</f>
        <v>14-8-2026</v>
      </c>
      <c r="D5" s="35">
        <f>IF(ISNUMBER('Courier_M.'!F9),'Courier_M.'!F9,"")</f>
        <v>22.597080230712891</v>
      </c>
      <c r="E5" s="36">
        <f>IF(ISNUMBER(Laboratorio_M!F7),Laboratorio_M!F7,"")</f>
        <v>24.972000000000001</v>
      </c>
      <c r="F5" s="36">
        <f t="shared" ref="F5:F65" si="6">IF(ISNUMBER(E5-D5),IF(D5&lt;17,"",E5-D5)," ")</f>
        <v>2.3749197692871107</v>
      </c>
      <c r="G5" s="267">
        <f t="shared" ref="G5:G66" si="7">IF(ISNUMBER(F5),ABS(F5)," ")</f>
        <v>2.3749197692871107</v>
      </c>
      <c r="H5" s="161">
        <f t="shared" si="0"/>
        <v>9.5103306474736122</v>
      </c>
      <c r="I5" s="267">
        <f>Calculos_M!$I$1</f>
        <v>2.2302216249999991</v>
      </c>
      <c r="J5" s="267">
        <f>I5*-1</f>
        <v>-2.2302216249999991</v>
      </c>
      <c r="K5" s="35">
        <f>IF(ISNUMBER('Courier_M.'!H9),'Courier_M.'!H9,"")</f>
        <v>1.4718281030654907</v>
      </c>
      <c r="L5" s="36">
        <f>IF(ISNUMBER(Laboratorio_M!H7),Laboratorio_M!H7,"")</f>
        <v>1.639</v>
      </c>
      <c r="M5" s="36">
        <f t="shared" ref="M5:M65" si="8">IF(ISNUMBER(L5-K5),IF(K5&lt;0.2,"",L5-K5)," ")</f>
        <v>0.16717189693450929</v>
      </c>
      <c r="N5" s="267">
        <f t="shared" ref="N5:N66" si="9">IF(ISNUMBER(M5),ABS(M5)," ")</f>
        <v>0.16717189693450929</v>
      </c>
      <c r="O5" s="161">
        <f t="shared" si="1"/>
        <v>10.199627634808376</v>
      </c>
      <c r="P5" s="267">
        <f>Calculos_M!$J$1</f>
        <v>0.382682625</v>
      </c>
      <c r="Q5" s="267">
        <f>P5*-1</f>
        <v>-0.382682625</v>
      </c>
      <c r="R5" s="35">
        <f>IF(ISNUMBER('Courier_M.'!J9),'Courier_M.'!J9,"")</f>
        <v>27.8409423828125</v>
      </c>
      <c r="S5" s="36">
        <f>IF(ISNUMBER(Laboratorio_M!J7),Laboratorio_M!J7,"")</f>
        <v>28.59</v>
      </c>
      <c r="T5" s="36">
        <f t="shared" ref="T5:T65" si="10">IF(ISNUMBER(S5-R5),IF(R5&lt;16,"",S5-R5)," ")</f>
        <v>0.74905761718749986</v>
      </c>
      <c r="U5" s="267">
        <f t="shared" ref="U5:U66" si="11">IF(ISNUMBER(T5),ABS(T5)," ")</f>
        <v>0.74905761718749986</v>
      </c>
      <c r="V5" s="161">
        <f t="shared" ref="V5:V65" si="12">IF(ISNUMBER(ABS(T5)/S5*100),ABS(T5)/S5*100," ")</f>
        <v>2.6199986610265822</v>
      </c>
      <c r="W5" s="267"/>
      <c r="X5" s="267"/>
      <c r="Y5" s="35">
        <f>IF(ISNUMBER('Courier_M.'!L9),'Courier_M.'!L9,"")</f>
        <v>21.793367385864258</v>
      </c>
      <c r="Z5" s="36">
        <f>IF(ISNUMBER(Laboratorio_M!L7),Laboratorio_M!L7,"")</f>
        <v>24.474</v>
      </c>
      <c r="AA5" s="36">
        <f t="shared" ref="AA5:AA65" si="13">IF(ISNUMBER(Z5-Y5),IF(Y5&lt;17,"",Z5-Y5)," ")</f>
        <v>2.6806326141357424</v>
      </c>
      <c r="AB5" s="267">
        <f t="shared" ref="AB5:AB66" si="14">IF(ISNUMBER(AA5),ABS(AA5)," ")</f>
        <v>2.6806326141357424</v>
      </c>
      <c r="AC5" s="161">
        <f t="shared" si="2"/>
        <v>10.952981180582423</v>
      </c>
      <c r="AD5" s="267">
        <f>Calculos_M!$U$1</f>
        <v>1.0662891477272729</v>
      </c>
      <c r="AE5" s="267">
        <f>AD5*-1</f>
        <v>-1.0662891477272729</v>
      </c>
      <c r="AF5" s="35">
        <f>IF(ISNUMBER('Courier_M.'!N9),'Courier_M.'!N9,"")</f>
        <v>0.43541663885116577</v>
      </c>
      <c r="AG5" s="36">
        <f>IF(ISNUMBER(Laboratorio_M!N7),Laboratorio_M!N7,"")</f>
        <v>8.1000000000000003E-2</v>
      </c>
      <c r="AH5" s="36">
        <f t="shared" ref="AH5:AH65" si="15">IF(ISNUMBER(AG5-AF5),IF(AF5&lt;0.02,"",AG5-AF5)," ")</f>
        <v>-0.35441663885116576</v>
      </c>
      <c r="AI5" s="267">
        <f t="shared" ref="AI5:AI66" si="16">IF(ISNUMBER(AH5),ABS(AH5)," ")</f>
        <v>0.35441663885116576</v>
      </c>
      <c r="AJ5" s="161">
        <f t="shared" si="3"/>
        <v>437.5514059890935</v>
      </c>
      <c r="AK5" s="267">
        <f>Calculos_M!$V$1</f>
        <v>3.2516250000000003E-2</v>
      </c>
      <c r="AL5" s="267">
        <f>AK5*-1</f>
        <v>-3.2516250000000003E-2</v>
      </c>
      <c r="AM5" s="35">
        <f>IF(ISNUMBER('Courier_M.'!P9),'Courier_M.'!P9,"")</f>
        <v>28.034366607666016</v>
      </c>
      <c r="AN5" s="36">
        <f>IF(ISNUMBER(Laboratorio_M!P7),Laboratorio_M!P7,"")</f>
        <v>29.68</v>
      </c>
      <c r="AO5" s="36">
        <f t="shared" ref="AO5:AO65" si="17">IF(ISNUMBER(AN5-AM5),IF(AM5&lt;20,"",AN5-AM5)," ")</f>
        <v>1.6456333923339841</v>
      </c>
      <c r="AP5" s="267">
        <f t="shared" ref="AP5:AP66" si="18">IF(ISNUMBER(AO5),ABS(AO5)," ")</f>
        <v>1.6456333923339841</v>
      </c>
      <c r="AQ5" s="161">
        <f t="shared" ref="AQ5:AQ65" si="19">IF(ISNUMBER(ABS(AO5)/AN5*100),ABS(AO5)/AN5*100," ")</f>
        <v>5.5445869013948252</v>
      </c>
      <c r="AR5" s="267"/>
      <c r="AS5" s="267"/>
      <c r="AT5" s="35">
        <f>IF(ISNUMBER('Courier_M.'!T9),'Courier_M.'!T9,0)</f>
        <v>0.3722979724407196</v>
      </c>
      <c r="AU5" s="36">
        <f>IF(ISNUMBER(Laboratorio_M!T7),Laboratorio_M!T7,"")</f>
        <v>0.80700000000000005</v>
      </c>
      <c r="AV5" s="36">
        <f t="shared" ref="AV5:AV65" si="20">IF(ISNUMBER(AU5-AT5),IF(AT5&lt;0.25,"",AU5-AT5)," ")</f>
        <v>0.43470202755928045</v>
      </c>
      <c r="AW5" s="267">
        <f t="shared" ref="AW5:AW65" si="21">IF(ISNUMBER(AV5),ABS(AV5)," ")</f>
        <v>0.43470202755928045</v>
      </c>
      <c r="AX5" s="161">
        <f t="shared" si="4"/>
        <v>53.866422250220623</v>
      </c>
      <c r="AY5" s="267">
        <f>Calculos_M!$AH$1</f>
        <v>8.3191193181818196E-2</v>
      </c>
      <c r="AZ5" s="267">
        <f t="shared" ref="AZ5:AZ65" si="22">AY5*-1</f>
        <v>-8.3191193181818196E-2</v>
      </c>
      <c r="BA5" s="35">
        <f>IF(ISNUMBER('Courier_M.'!V9),'Courier_M.'!V9,0)</f>
        <v>54.564903259277344</v>
      </c>
      <c r="BB5" s="36">
        <f>IF(ISNUMBER(Laboratorio_M!V7),Laboratorio_M!V7,"")</f>
        <v>56.274999999999999</v>
      </c>
      <c r="BC5" s="36">
        <f t="shared" ref="BC5:BC65" si="23">IF(ISNUMBER(BB5-BA5),IF(BA5&lt;45,"",BB5-BA5)," ")</f>
        <v>1.7100967407226548</v>
      </c>
      <c r="BD5" s="267">
        <f t="shared" ref="BD5:BD65" si="24">IF(ISNUMBER(BC5),ABS(BC5)," ")</f>
        <v>1.7100967407226548</v>
      </c>
      <c r="BE5" s="161">
        <f t="shared" si="5"/>
        <v>3.0388213962197335</v>
      </c>
      <c r="BF5" s="267">
        <f>Calculos_M!$AI$1</f>
        <v>1.4830847050619838</v>
      </c>
      <c r="BG5" s="267">
        <f t="shared" ref="BG5:BG65" si="25">BF5*-1</f>
        <v>-1.4830847050619838</v>
      </c>
      <c r="BH5" s="35">
        <f>IF(ISNUMBER('Courier_M.'!X9),'Courier_M.'!X9,"")</f>
        <v>1.0222067832946777</v>
      </c>
      <c r="BI5" s="36">
        <f>IF(ISNUMBER(Laboratorio_M!X7),Laboratorio_M!X7,"")</f>
        <v>1.075</v>
      </c>
      <c r="BJ5" s="36">
        <f t="shared" ref="BJ5:BJ65" si="26">IF(ISNUMBER(BI5-BH5),IF(BH5&lt;0.4,"",BI5-BH5)," ")</f>
        <v>5.2793216705322221E-2</v>
      </c>
      <c r="BK5" s="267">
        <f t="shared" ref="BK5:BK65" si="27">IF(ISNUMBER(BJ5),ABS(BJ5)," ")</f>
        <v>5.2793216705322221E-2</v>
      </c>
      <c r="BL5" s="161">
        <f t="shared" ref="BL5:BL65" si="28">IF(ISNUMBER(ABS(BJ5)/BI5*100),ABS(BJ5)/BI5*100," ")</f>
        <v>4.9109969028206715</v>
      </c>
      <c r="BM5" s="36"/>
      <c r="BN5" s="161"/>
      <c r="BO5" s="35">
        <f>IF(ISNUMBER('Courier_M.'!Z9),'Courier_M.'!Z9,"")</f>
        <v>3.0092461594859277</v>
      </c>
      <c r="BP5" s="36">
        <f>IF(ISNUMBER(Laboratorio_M!Z7),Laboratorio_M!Z7,"")</f>
        <v>2.64</v>
      </c>
      <c r="BQ5" s="36">
        <f t="shared" ref="BQ5:BQ65" si="29">IF(ISNUMBER(BP5-BO5),IF(BO5&lt;0.4,"",BP5-BO5)," ")</f>
        <v>-0.36924615948592754</v>
      </c>
      <c r="BR5" s="267">
        <f t="shared" ref="BR5:BR66" si="30">IF(ISNUMBER(BQ5),ABS(BQ5)," ")</f>
        <v>0.36924615948592754</v>
      </c>
      <c r="BS5" s="161">
        <f t="shared" ref="BS5:BS65" si="31">IF(ISNUMBER(ABS(BQ5)/BP5*100),ABS(BQ5)/BP5*100," ")</f>
        <v>13.986596950224527</v>
      </c>
      <c r="BT5" s="36"/>
      <c r="BU5" s="161"/>
    </row>
    <row r="6" spans="1:73" ht="18" customHeight="1" x14ac:dyDescent="0.2">
      <c r="A6">
        <f>A4+1</f>
        <v>2</v>
      </c>
      <c r="B6" s="7">
        <f>B4+1</f>
        <v>46249</v>
      </c>
      <c r="C6" s="7" t="str">
        <f>DAY(B6) &amp; "-" &amp; MONTH(B6) &amp;"-" &amp; YEAR(B6)</f>
        <v>15-8-2026</v>
      </c>
      <c r="D6" s="35">
        <f>IF(ISNUMBER('Courier_M.'!E10),'Courier_M.'!E10,"")</f>
        <v>23.120279312133789</v>
      </c>
      <c r="E6" s="36">
        <f>IF(ISNUMBER(Laboratorio_M!E8),Laboratorio_M!E8,"")</f>
        <v>21.212</v>
      </c>
      <c r="F6" s="36">
        <f t="shared" si="6"/>
        <v>-1.9082793121337893</v>
      </c>
      <c r="G6" s="267">
        <f t="shared" si="7"/>
        <v>1.9082793121337893</v>
      </c>
      <c r="H6" s="161">
        <f t="shared" si="0"/>
        <v>8.9962253070610476</v>
      </c>
      <c r="I6" s="267">
        <f>Calculos_M!$I$1</f>
        <v>2.2302216249999991</v>
      </c>
      <c r="J6" s="267">
        <f t="shared" ref="J6:J65" si="32">I6*-1</f>
        <v>-2.2302216249999991</v>
      </c>
      <c r="K6" s="35">
        <f>IF(ISNUMBER('Courier_M.'!G10),'Courier_M.'!G10,"")</f>
        <v>3.6074600219726563</v>
      </c>
      <c r="L6" s="36">
        <f>IF(ISNUMBER(Laboratorio_M!G8),Laboratorio_M!G8,"")</f>
        <v>4.1959999999999997</v>
      </c>
      <c r="M6" s="36">
        <f t="shared" si="8"/>
        <v>0.58853997802734348</v>
      </c>
      <c r="N6" s="267">
        <f t="shared" si="9"/>
        <v>0.58853997802734348</v>
      </c>
      <c r="O6" s="161">
        <f t="shared" si="1"/>
        <v>14.026214919622104</v>
      </c>
      <c r="P6" s="267">
        <f>Calculos_M!$J$1</f>
        <v>0.382682625</v>
      </c>
      <c r="Q6" s="267">
        <f t="shared" ref="Q6:Q65" si="33">P6*-1</f>
        <v>-0.382682625</v>
      </c>
      <c r="R6" s="35">
        <f>IF(ISNUMBER('Courier_M.'!I10),'Courier_M.'!I10,"")</f>
        <v>26.366144180297852</v>
      </c>
      <c r="S6" s="36">
        <f>IF(ISNUMBER(Laboratorio_M!I8),Laboratorio_M!I8,"")</f>
        <v>24.32</v>
      </c>
      <c r="T6" s="36">
        <f t="shared" si="10"/>
        <v>-2.0461441802978513</v>
      </c>
      <c r="U6" s="267">
        <f t="shared" si="11"/>
        <v>2.0461441802978513</v>
      </c>
      <c r="V6" s="161">
        <f t="shared" si="12"/>
        <v>8.4134217939878759</v>
      </c>
      <c r="W6" s="267"/>
      <c r="X6" s="267"/>
      <c r="Y6" s="35">
        <f>IF(ISNUMBER('Courier_M.'!K10),'Courier_M.'!K10,"")</f>
        <v>25.253507614135742</v>
      </c>
      <c r="Z6" s="36">
        <f>IF(ISNUMBER(Laboratorio_M!K8),Laboratorio_M!K8,"")</f>
        <v>23.491</v>
      </c>
      <c r="AA6" s="36">
        <f t="shared" si="13"/>
        <v>-1.7625076141357425</v>
      </c>
      <c r="AB6" s="267">
        <f t="shared" si="14"/>
        <v>1.7625076141357425</v>
      </c>
      <c r="AC6" s="161">
        <f t="shared" si="2"/>
        <v>7.5029058538833713</v>
      </c>
      <c r="AD6" s="267">
        <f>Calculos_M!$U$1</f>
        <v>1.0662891477272729</v>
      </c>
      <c r="AE6" s="267">
        <f t="shared" ref="AE6:AE65" si="34">AD6*-1</f>
        <v>-1.0662891477272729</v>
      </c>
      <c r="AF6" s="35">
        <f>IF(ISNUMBER('Courier_M.'!M10),'Courier_M.'!M10,"")</f>
        <v>0.20480257272720337</v>
      </c>
      <c r="AG6" s="36">
        <f>IF(ISNUMBER(Laboratorio_M!M8),Laboratorio_M!M8,"")</f>
        <v>0.11799999999999999</v>
      </c>
      <c r="AH6" s="36">
        <f t="shared" si="15"/>
        <v>-8.6802572727203375E-2</v>
      </c>
      <c r="AI6" s="267">
        <f t="shared" si="16"/>
        <v>8.6802572727203375E-2</v>
      </c>
      <c r="AJ6" s="161">
        <f t="shared" si="3"/>
        <v>73.561502311189315</v>
      </c>
      <c r="AK6" s="267">
        <f>Calculos_M!$V$1</f>
        <v>3.2516250000000003E-2</v>
      </c>
      <c r="AL6" s="267">
        <f t="shared" ref="AL6:AL65" si="35">AK6*-1</f>
        <v>-3.2516250000000003E-2</v>
      </c>
      <c r="AM6" s="35">
        <f>IF(ISNUMBER('Courier_M.'!O10),'Courier_M.'!O10,"")</f>
        <v>28.988348007202148</v>
      </c>
      <c r="AN6" s="36">
        <f>IF(ISNUMBER(Laboratorio_M!O8),Laboratorio_M!O8,"")</f>
        <v>27.59</v>
      </c>
      <c r="AO6" s="36">
        <f t="shared" si="17"/>
        <v>-1.3983480072021486</v>
      </c>
      <c r="AP6" s="267">
        <f t="shared" si="18"/>
        <v>1.3983480072021486</v>
      </c>
      <c r="AQ6" s="161">
        <f t="shared" si="19"/>
        <v>5.0683146328457722</v>
      </c>
      <c r="AR6" s="267"/>
      <c r="AS6" s="267"/>
      <c r="AT6" s="35">
        <f>IF(ISNUMBER('Courier_M.'!S10),'Courier_M.'!S10,0)</f>
        <v>0.73687160015106201</v>
      </c>
      <c r="AU6" s="36">
        <f>IF(ISNUMBER(Laboratorio_M!S8),Laboratorio_M!S8,"")</f>
        <v>1.028</v>
      </c>
      <c r="AV6" s="36">
        <f t="shared" si="20"/>
        <v>0.29112839984893801</v>
      </c>
      <c r="AW6" s="267">
        <f t="shared" si="21"/>
        <v>0.29112839984893801</v>
      </c>
      <c r="AX6" s="161">
        <f t="shared" si="4"/>
        <v>28.319883253787744</v>
      </c>
      <c r="AY6" s="267">
        <f>Calculos_M!$AH$1</f>
        <v>8.3191193181818196E-2</v>
      </c>
      <c r="AZ6" s="267">
        <f t="shared" si="22"/>
        <v>-8.3191193181818196E-2</v>
      </c>
      <c r="BA6" s="35">
        <f>IF(ISNUMBER('Courier_M.'!U10),'Courier_M.'!U10,0)</f>
        <v>55.200344085693359</v>
      </c>
      <c r="BB6" s="36">
        <f>IF(ISNUMBER(Laboratorio_M!U8),Laboratorio_M!U8,"")</f>
        <v>56.585000000000001</v>
      </c>
      <c r="BC6" s="36">
        <f t="shared" si="23"/>
        <v>1.3846559143066415</v>
      </c>
      <c r="BD6" s="267">
        <f t="shared" si="24"/>
        <v>1.3846559143066415</v>
      </c>
      <c r="BE6" s="161">
        <f t="shared" si="5"/>
        <v>2.4470370492297278</v>
      </c>
      <c r="BF6" s="267">
        <f>Calculos_M!$AI$1</f>
        <v>1.4830847050619838</v>
      </c>
      <c r="BG6" s="267">
        <f t="shared" si="25"/>
        <v>-1.4830847050619838</v>
      </c>
      <c r="BH6" s="35">
        <f>IF(ISNUMBER('Courier_M.'!W10),'Courier_M.'!W10,"")</f>
        <v>1.2449944019317627</v>
      </c>
      <c r="BI6" s="36">
        <f>IF(ISNUMBER(Laboratorio_M!W8),Laboratorio_M!W8,"")</f>
        <v>0.96599999999999997</v>
      </c>
      <c r="BJ6" s="36">
        <f t="shared" si="26"/>
        <v>-0.27899440193176273</v>
      </c>
      <c r="BK6" s="267">
        <f t="shared" si="27"/>
        <v>0.27899440193176273</v>
      </c>
      <c r="BL6" s="161">
        <f t="shared" si="28"/>
        <v>28.881408067470261</v>
      </c>
      <c r="BM6" s="36"/>
      <c r="BN6" s="161"/>
      <c r="BO6" s="35" t="str">
        <f>IF(ISNUMBER('Courier_M.'!Y10),'Courier_M.'!Y10,"")</f>
        <v/>
      </c>
      <c r="BP6" s="36">
        <f>IF(ISNUMBER(Laboratorio_M!Y8),Laboratorio_M!Y8,"")</f>
        <v>2.08</v>
      </c>
      <c r="BQ6" s="36" t="str">
        <f t="shared" si="29"/>
        <v xml:space="preserve"> </v>
      </c>
      <c r="BR6" s="267" t="str">
        <f t="shared" si="30"/>
        <v xml:space="preserve"> </v>
      </c>
      <c r="BS6" s="161" t="str">
        <f t="shared" si="31"/>
        <v xml:space="preserve"> </v>
      </c>
      <c r="BT6" s="36"/>
      <c r="BU6" s="161"/>
    </row>
    <row r="7" spans="1:73" ht="18" customHeight="1" x14ac:dyDescent="0.2">
      <c r="C7" s="38" t="str">
        <f>DAY(B6) &amp; "-" &amp; MONTH(B6) &amp;"-" &amp; YEAR(B6)</f>
        <v>15-8-2026</v>
      </c>
      <c r="D7" s="35">
        <f>IF(ISNUMBER('Courier_M.'!F10),'Courier_M.'!F10,"")</f>
        <v>23.120279312133789</v>
      </c>
      <c r="E7" s="36">
        <f>IF(ISNUMBER(Laboratorio_M!F8),Laboratorio_M!F8,"")</f>
        <v>21.707000000000001</v>
      </c>
      <c r="F7" s="36">
        <f t="shared" si="6"/>
        <v>-1.4132793121337883</v>
      </c>
      <c r="G7" s="267">
        <f t="shared" si="7"/>
        <v>1.4132793121337883</v>
      </c>
      <c r="H7" s="161">
        <f t="shared" si="0"/>
        <v>6.5107076617394775</v>
      </c>
      <c r="I7" s="267">
        <f>Calculos_M!$I$1</f>
        <v>2.2302216249999991</v>
      </c>
      <c r="J7" s="267">
        <f t="shared" si="32"/>
        <v>-2.2302216249999991</v>
      </c>
      <c r="K7" s="35">
        <f>IF(ISNUMBER('Courier_M.'!H10),'Courier_M.'!H10,"")</f>
        <v>3.6074600219726563</v>
      </c>
      <c r="L7" s="36">
        <f>IF(ISNUMBER(Laboratorio_M!H8),Laboratorio_M!H8,"")</f>
        <v>1.746</v>
      </c>
      <c r="M7" s="36">
        <f t="shared" si="8"/>
        <v>-1.8614600219726563</v>
      </c>
      <c r="N7" s="267">
        <f t="shared" si="9"/>
        <v>1.8614600219726563</v>
      </c>
      <c r="O7" s="161">
        <f t="shared" si="1"/>
        <v>106.61283058262636</v>
      </c>
      <c r="P7" s="267">
        <f>Calculos_M!$J$1</f>
        <v>0.382682625</v>
      </c>
      <c r="Q7" s="267">
        <f t="shared" si="33"/>
        <v>-0.382682625</v>
      </c>
      <c r="R7" s="35">
        <f>IF(ISNUMBER('Courier_M.'!J10),'Courier_M.'!J10,"")</f>
        <v>26.366144180297852</v>
      </c>
      <c r="S7" s="36">
        <f>IF(ISNUMBER(Laboratorio_M!J8),Laboratorio_M!J8,"")</f>
        <v>27.85</v>
      </c>
      <c r="T7" s="36">
        <f t="shared" si="10"/>
        <v>1.4838558197021499</v>
      </c>
      <c r="U7" s="267">
        <f t="shared" si="11"/>
        <v>1.4838558197021499</v>
      </c>
      <c r="V7" s="161">
        <f t="shared" si="12"/>
        <v>5.3280280779251337</v>
      </c>
      <c r="W7" s="267"/>
      <c r="X7" s="267"/>
      <c r="Y7" s="35">
        <f>IF(ISNUMBER('Courier_M.'!L10),'Courier_M.'!L10,"")</f>
        <v>25.253507614135742</v>
      </c>
      <c r="Z7" s="36">
        <f>IF(ISNUMBER(Laboratorio_M!L8),Laboratorio_M!L8,"")</f>
        <v>21.212</v>
      </c>
      <c r="AA7" s="36">
        <f t="shared" si="13"/>
        <v>-4.0415076141357424</v>
      </c>
      <c r="AB7" s="267">
        <f t="shared" si="14"/>
        <v>4.0415076141357424</v>
      </c>
      <c r="AC7" s="161">
        <f t="shared" si="2"/>
        <v>19.052930483385548</v>
      </c>
      <c r="AD7" s="267">
        <f>Calculos_M!$U$1</f>
        <v>1.0662891477272729</v>
      </c>
      <c r="AE7" s="267">
        <f t="shared" si="34"/>
        <v>-1.0662891477272729</v>
      </c>
      <c r="AF7" s="35">
        <f>IF(ISNUMBER('Courier_M.'!N10),'Courier_M.'!N10,"")</f>
        <v>0.20480257272720337</v>
      </c>
      <c r="AG7" s="36">
        <f>IF(ISNUMBER(Laboratorio_M!N8),Laboratorio_M!N8,"")</f>
        <v>8.8999999999999996E-2</v>
      </c>
      <c r="AH7" s="36">
        <f t="shared" si="15"/>
        <v>-0.11580257272720337</v>
      </c>
      <c r="AI7" s="267">
        <f t="shared" si="16"/>
        <v>0.11580257272720337</v>
      </c>
      <c r="AJ7" s="161">
        <f t="shared" si="3"/>
        <v>130.11525025528471</v>
      </c>
      <c r="AK7" s="267">
        <f>Calculos_M!$V$1</f>
        <v>3.2516250000000003E-2</v>
      </c>
      <c r="AL7" s="267">
        <f t="shared" si="35"/>
        <v>-3.2516250000000003E-2</v>
      </c>
      <c r="AM7" s="35">
        <f>IF(ISNUMBER('Courier_M.'!P10),'Courier_M.'!P10,"")</f>
        <v>28.988348007202148</v>
      </c>
      <c r="AN7" s="36">
        <f>IF(ISNUMBER(Laboratorio_M!P8),Laboratorio_M!P8,"")</f>
        <v>30.19</v>
      </c>
      <c r="AO7" s="36">
        <f t="shared" si="17"/>
        <v>1.2016519927978528</v>
      </c>
      <c r="AP7" s="267">
        <f t="shared" si="18"/>
        <v>1.2016519927978528</v>
      </c>
      <c r="AQ7" s="161">
        <f t="shared" si="19"/>
        <v>3.9802980881015331</v>
      </c>
      <c r="AR7" s="267"/>
      <c r="AS7" s="267"/>
      <c r="AT7" s="35">
        <f>IF(ISNUMBER('Courier_M.'!T10),'Courier_M.'!T10,0)</f>
        <v>0.73687160015106201</v>
      </c>
      <c r="AU7" s="36">
        <f>IF(ISNUMBER(Laboratorio_M!T8),Laboratorio_M!T8,"")</f>
        <v>0.92100000000000004</v>
      </c>
      <c r="AV7" s="36">
        <f t="shared" si="20"/>
        <v>0.18412839984893803</v>
      </c>
      <c r="AW7" s="267">
        <f t="shared" si="21"/>
        <v>0.18412839984893803</v>
      </c>
      <c r="AX7" s="161">
        <f t="shared" si="4"/>
        <v>19.992225825074701</v>
      </c>
      <c r="AY7" s="267">
        <f>Calculos_M!$AH$1</f>
        <v>8.3191193181818196E-2</v>
      </c>
      <c r="AZ7" s="267">
        <f t="shared" si="22"/>
        <v>-8.3191193181818196E-2</v>
      </c>
      <c r="BA7" s="35">
        <f>IF(ISNUMBER('Courier_M.'!V10),'Courier_M.'!V10,0)</f>
        <v>55.200344085693359</v>
      </c>
      <c r="BB7" s="36">
        <f>IF(ISNUMBER(Laboratorio_M!V8),Laboratorio_M!V8,"")</f>
        <v>56.829000000000001</v>
      </c>
      <c r="BC7" s="36">
        <f t="shared" si="23"/>
        <v>1.6286559143066413</v>
      </c>
      <c r="BD7" s="267">
        <f t="shared" si="24"/>
        <v>1.6286559143066413</v>
      </c>
      <c r="BE7" s="161">
        <f t="shared" si="5"/>
        <v>2.865888743962838</v>
      </c>
      <c r="BF7" s="267">
        <f>Calculos_M!$AI$1</f>
        <v>1.4830847050619838</v>
      </c>
      <c r="BG7" s="267">
        <f t="shared" si="25"/>
        <v>-1.4830847050619838</v>
      </c>
      <c r="BH7" s="35">
        <f>IF(ISNUMBER('Courier_M.'!X10),'Courier_M.'!X10,"")</f>
        <v>1.2449944019317627</v>
      </c>
      <c r="BI7" s="36">
        <f>IF(ISNUMBER(Laboratorio_M!X8),Laboratorio_M!X8,"")</f>
        <v>1.0249999999999999</v>
      </c>
      <c r="BJ7" s="36">
        <f t="shared" si="26"/>
        <v>-0.21999440193176278</v>
      </c>
      <c r="BK7" s="267">
        <f t="shared" si="27"/>
        <v>0.21999440193176278</v>
      </c>
      <c r="BL7" s="161">
        <f t="shared" si="28"/>
        <v>21.462868481147591</v>
      </c>
      <c r="BM7" s="36"/>
      <c r="BN7" s="161"/>
      <c r="BO7" s="35">
        <f>IF(ISNUMBER('Courier_M.'!Z10),'Courier_M.'!Z10,"")</f>
        <v>2.7212061456456458</v>
      </c>
      <c r="BP7" s="36">
        <f>IF(ISNUMBER(Laboratorio_M!Z8),Laboratorio_M!Z8,"")</f>
        <v>1.68</v>
      </c>
      <c r="BQ7" s="36">
        <f t="shared" si="29"/>
        <v>-1.0412061456456458</v>
      </c>
      <c r="BR7" s="267">
        <f t="shared" si="30"/>
        <v>1.0412061456456458</v>
      </c>
      <c r="BS7" s="161">
        <f t="shared" si="31"/>
        <v>61.976556288431304</v>
      </c>
      <c r="BT7" s="36"/>
      <c r="BU7" s="161"/>
    </row>
    <row r="8" spans="1:73" ht="18" customHeight="1" x14ac:dyDescent="0.2">
      <c r="A8">
        <f>+A6+1</f>
        <v>3</v>
      </c>
      <c r="B8" s="7">
        <f>+B6+1</f>
        <v>46250</v>
      </c>
      <c r="C8" s="7" t="str">
        <f>DAY(B8) &amp; "-" &amp; MONTH(B8) &amp;"-" &amp; YEAR(B8)</f>
        <v>16-8-2026</v>
      </c>
      <c r="D8" s="35">
        <f>IF(ISNUMBER('Courier_M.'!E11),'Courier_M.'!E11,"")</f>
        <v>23.490447998046875</v>
      </c>
      <c r="E8" s="36">
        <f>IF(ISNUMBER(Laboratorio_M!E9),Laboratorio_M!E9,"")</f>
        <v>23.045000000000002</v>
      </c>
      <c r="F8" s="36">
        <f t="shared" si="6"/>
        <v>-0.44544799804687329</v>
      </c>
      <c r="G8" s="267">
        <f t="shared" si="7"/>
        <v>0.44544799804687329</v>
      </c>
      <c r="H8" s="161">
        <f t="shared" si="0"/>
        <v>1.9329485703921598</v>
      </c>
      <c r="I8" s="267">
        <f>Calculos_M!$I$1</f>
        <v>2.2302216249999991</v>
      </c>
      <c r="J8" s="267">
        <f t="shared" si="32"/>
        <v>-2.2302216249999991</v>
      </c>
      <c r="K8" s="35">
        <f>IF(ISNUMBER('Courier_M.'!G11),'Courier_M.'!G11,"")</f>
        <v>2.1859698295593262</v>
      </c>
      <c r="L8" s="36">
        <f>IF(ISNUMBER(Laboratorio_M!G9),Laboratorio_M!G9,"")</f>
        <v>3.2970000000000002</v>
      </c>
      <c r="M8" s="36">
        <f t="shared" si="8"/>
        <v>1.111030170440674</v>
      </c>
      <c r="N8" s="267">
        <f t="shared" si="9"/>
        <v>1.111030170440674</v>
      </c>
      <c r="O8" s="161">
        <f t="shared" si="1"/>
        <v>33.698215663957356</v>
      </c>
      <c r="P8" s="267">
        <f>Calculos_M!$J$1</f>
        <v>0.382682625</v>
      </c>
      <c r="Q8" s="267">
        <f t="shared" si="33"/>
        <v>-0.382682625</v>
      </c>
      <c r="R8" s="35">
        <f>IF(ISNUMBER('Courier_M.'!I11),'Courier_M.'!I11,"")</f>
        <v>27.079072952270508</v>
      </c>
      <c r="S8" s="36">
        <f>IF(ISNUMBER(Laboratorio_M!I9),Laboratorio_M!I9,"")</f>
        <v>27.29</v>
      </c>
      <c r="T8" s="36">
        <f t="shared" si="10"/>
        <v>0.21092704772949133</v>
      </c>
      <c r="U8" s="267">
        <f t="shared" si="11"/>
        <v>0.21092704772949133</v>
      </c>
      <c r="V8" s="161">
        <f t="shared" si="12"/>
        <v>0.77290966555328455</v>
      </c>
      <c r="W8" s="267"/>
      <c r="X8" s="267"/>
      <c r="Y8" s="35">
        <f>IF(ISNUMBER('Courier_M.'!K11),'Courier_M.'!K11,"")</f>
        <v>25.209236145019531</v>
      </c>
      <c r="Z8" s="36">
        <f>IF(ISNUMBER(Laboratorio_M!K9),Laboratorio_M!K9,"")</f>
        <v>23.145</v>
      </c>
      <c r="AA8" s="36">
        <f t="shared" si="13"/>
        <v>-2.0642361450195317</v>
      </c>
      <c r="AB8" s="267">
        <f t="shared" si="14"/>
        <v>2.0642361450195317</v>
      </c>
      <c r="AC8" s="161">
        <f t="shared" si="2"/>
        <v>8.9187130914648165</v>
      </c>
      <c r="AD8" s="267">
        <f>Calculos_M!$U$1</f>
        <v>1.0662891477272729</v>
      </c>
      <c r="AE8" s="267">
        <f t="shared" si="34"/>
        <v>-1.0662891477272729</v>
      </c>
      <c r="AF8" s="35">
        <f>IF(ISNUMBER('Courier_M.'!M11),'Courier_M.'!M11,"")</f>
        <v>0.14440962672233582</v>
      </c>
      <c r="AG8" s="36">
        <f>IF(ISNUMBER(Laboratorio_M!M9),Laboratorio_M!M9,"")</f>
        <v>8.3000000000000004E-2</v>
      </c>
      <c r="AH8" s="36">
        <f t="shared" si="15"/>
        <v>-6.1409626722335811E-2</v>
      </c>
      <c r="AI8" s="267">
        <f t="shared" si="16"/>
        <v>6.1409626722335811E-2</v>
      </c>
      <c r="AJ8" s="161">
        <f t="shared" si="3"/>
        <v>73.987502075103379</v>
      </c>
      <c r="AK8" s="267">
        <f>Calculos_M!$V$1</f>
        <v>3.2516250000000003E-2</v>
      </c>
      <c r="AL8" s="267">
        <f t="shared" si="35"/>
        <v>-3.2516250000000003E-2</v>
      </c>
      <c r="AM8" s="35">
        <f>IF(ISNUMBER('Courier_M.'!O11),'Courier_M.'!O11,"")</f>
        <v>29.779209136962891</v>
      </c>
      <c r="AN8" s="36">
        <f>IF(ISNUMBER(Laboratorio_M!O9),Laboratorio_M!O9,"")</f>
        <v>29.33</v>
      </c>
      <c r="AO8" s="36">
        <f t="shared" si="17"/>
        <v>-0.44920913696289233</v>
      </c>
      <c r="AP8" s="267">
        <f t="shared" si="18"/>
        <v>0.44920913696289233</v>
      </c>
      <c r="AQ8" s="161">
        <f t="shared" si="19"/>
        <v>1.53156882701293</v>
      </c>
      <c r="AR8" s="267"/>
      <c r="AS8" s="267"/>
      <c r="AT8" s="35">
        <f>IF(ISNUMBER('Courier_M.'!S11),'Courier_M.'!S11,0)</f>
        <v>0.75456440448760986</v>
      </c>
      <c r="AU8" s="36">
        <f>IF(ISNUMBER(Laboratorio_M!S9),Laboratorio_M!S9,"")</f>
        <v>1.0660000000000001</v>
      </c>
      <c r="AV8" s="36">
        <f t="shared" si="20"/>
        <v>0.3114355955123902</v>
      </c>
      <c r="AW8" s="267">
        <f t="shared" si="21"/>
        <v>0.3114355955123902</v>
      </c>
      <c r="AX8" s="161">
        <f t="shared" si="4"/>
        <v>29.215346670955928</v>
      </c>
      <c r="AY8" s="267">
        <f>Calculos_M!$AH$1</f>
        <v>8.3191193181818196E-2</v>
      </c>
      <c r="AZ8" s="267">
        <f t="shared" si="22"/>
        <v>-8.3191193181818196E-2</v>
      </c>
      <c r="BA8" s="35">
        <f>IF(ISNUMBER('Courier_M.'!U11),'Courier_M.'!U11,0)</f>
        <v>55.188297271728516</v>
      </c>
      <c r="BB8" s="36">
        <f>IF(ISNUMBER(Laboratorio_M!U9),Laboratorio_M!U9,"")</f>
        <v>56.305</v>
      </c>
      <c r="BC8" s="36">
        <f t="shared" si="23"/>
        <v>1.1167027282714841</v>
      </c>
      <c r="BD8" s="267">
        <f t="shared" si="24"/>
        <v>1.1167027282714841</v>
      </c>
      <c r="BE8" s="161">
        <f t="shared" si="5"/>
        <v>1.9833100582035061</v>
      </c>
      <c r="BF8" s="267">
        <f>Calculos_M!$AI$1</f>
        <v>1.4830847050619838</v>
      </c>
      <c r="BG8" s="267">
        <f t="shared" si="25"/>
        <v>-1.4830847050619838</v>
      </c>
      <c r="BH8" s="35">
        <f>IF(ISNUMBER('Courier_M.'!W11),'Courier_M.'!W11,"")</f>
        <v>1.1859440803527832</v>
      </c>
      <c r="BI8" s="36">
        <f>IF(ISNUMBER(Laboratorio_M!W9),Laboratorio_M!W9,"")</f>
        <v>1.073</v>
      </c>
      <c r="BJ8" s="36">
        <f t="shared" si="26"/>
        <v>-0.11294408035278325</v>
      </c>
      <c r="BK8" s="267">
        <f t="shared" si="27"/>
        <v>0.11294408035278325</v>
      </c>
      <c r="BL8" s="161">
        <f t="shared" si="28"/>
        <v>10.526009352542708</v>
      </c>
      <c r="BM8" s="36"/>
      <c r="BN8" s="161"/>
      <c r="BO8" s="35">
        <f>IF(ISNUMBER('Courier_M.'!Y11),'Courier_M.'!Y11,"")</f>
        <v>3.0391679151455384</v>
      </c>
      <c r="BP8" s="36">
        <f>IF(ISNUMBER(Laboratorio_M!Y9),Laboratorio_M!Y9,"")</f>
        <v>2.27</v>
      </c>
      <c r="BQ8" s="36">
        <f t="shared" si="29"/>
        <v>-0.76916791514553839</v>
      </c>
      <c r="BR8" s="267">
        <f t="shared" si="30"/>
        <v>0.76916791514553839</v>
      </c>
      <c r="BS8" s="161">
        <f t="shared" si="31"/>
        <v>33.884049125354117</v>
      </c>
      <c r="BT8" s="36"/>
      <c r="BU8" s="161"/>
    </row>
    <row r="9" spans="1:73" ht="18" customHeight="1" x14ac:dyDescent="0.2">
      <c r="C9" s="38" t="str">
        <f>DAY(B8) &amp; "-" &amp; MONTH(B8) &amp;"-" &amp; YEAR(B8)</f>
        <v>16-8-2026</v>
      </c>
      <c r="D9" s="35">
        <f>IF(ISNUMBER('Courier_M.'!F11),'Courier_M.'!F11,"")</f>
        <v>23.319372177124023</v>
      </c>
      <c r="E9" s="36">
        <f>IF(ISNUMBER(Laboratorio_M!F9),Laboratorio_M!F9,"")</f>
        <v>23.134</v>
      </c>
      <c r="F9" s="36">
        <f t="shared" si="6"/>
        <v>-0.1853721771240231</v>
      </c>
      <c r="G9" s="267">
        <f t="shared" si="7"/>
        <v>0.1853721771240231</v>
      </c>
      <c r="H9" s="161">
        <f t="shared" si="0"/>
        <v>0.80129755824337801</v>
      </c>
      <c r="I9" s="267">
        <f>Calculos_M!$I$1</f>
        <v>2.2302216249999991</v>
      </c>
      <c r="J9" s="267">
        <f t="shared" si="32"/>
        <v>-2.2302216249999991</v>
      </c>
      <c r="K9" s="35">
        <f>IF(ISNUMBER('Courier_M.'!H11),'Courier_M.'!H11,"")</f>
        <v>2.4801154136657715</v>
      </c>
      <c r="L9" s="36">
        <f>IF(ISNUMBER(Laboratorio_M!H9),Laboratorio_M!H9,"")</f>
        <v>3.585</v>
      </c>
      <c r="M9" s="36">
        <f t="shared" si="8"/>
        <v>1.1048845863342285</v>
      </c>
      <c r="N9" s="267">
        <f t="shared" si="9"/>
        <v>1.1048845863342285</v>
      </c>
      <c r="O9" s="161">
        <f t="shared" si="1"/>
        <v>30.819653733172341</v>
      </c>
      <c r="P9" s="267">
        <f>Calculos_M!$J$1</f>
        <v>0.382682625</v>
      </c>
      <c r="Q9" s="267">
        <f t="shared" si="33"/>
        <v>-0.382682625</v>
      </c>
      <c r="R9" s="35">
        <f>IF(ISNUMBER('Courier_M.'!J11),'Courier_M.'!J11,"")</f>
        <v>27.109212875366211</v>
      </c>
      <c r="S9" s="36">
        <f>IF(ISNUMBER(Laboratorio_M!J9),Laboratorio_M!J9,"")</f>
        <v>27.32</v>
      </c>
      <c r="T9" s="36">
        <f t="shared" si="10"/>
        <v>0.21078712463378935</v>
      </c>
      <c r="U9" s="267">
        <f t="shared" si="11"/>
        <v>0.21078712463378935</v>
      </c>
      <c r="V9" s="161">
        <f t="shared" si="12"/>
        <v>0.77154877245164477</v>
      </c>
      <c r="W9" s="267"/>
      <c r="X9" s="267"/>
      <c r="Y9" s="35">
        <f>IF(ISNUMBER('Courier_M.'!L11),'Courier_M.'!L11,"")</f>
        <v>25.286367416381836</v>
      </c>
      <c r="Z9" s="36">
        <f>IF(ISNUMBER(Laboratorio_M!L9),Laboratorio_M!L9,"")</f>
        <v>22.411999999999999</v>
      </c>
      <c r="AA9" s="36">
        <f t="shared" si="13"/>
        <v>-2.8743674163818369</v>
      </c>
      <c r="AB9" s="267">
        <f t="shared" si="14"/>
        <v>2.8743674163818369</v>
      </c>
      <c r="AC9" s="161">
        <f t="shared" si="2"/>
        <v>12.825126790923777</v>
      </c>
      <c r="AD9" s="267">
        <f>Calculos_M!$U$1</f>
        <v>1.0662891477272729</v>
      </c>
      <c r="AE9" s="267">
        <f t="shared" si="34"/>
        <v>-1.0662891477272729</v>
      </c>
      <c r="AF9" s="35">
        <f>IF(ISNUMBER('Courier_M.'!N11),'Courier_M.'!N11,"")</f>
        <v>0.10134220868349075</v>
      </c>
      <c r="AG9" s="36">
        <f>IF(ISNUMBER(Laboratorio_M!N9),Laboratorio_M!N9,"")</f>
        <v>6.6000000000000003E-2</v>
      </c>
      <c r="AH9" s="36">
        <f t="shared" si="15"/>
        <v>-3.534220868349075E-2</v>
      </c>
      <c r="AI9" s="267">
        <f t="shared" si="16"/>
        <v>3.534220868349075E-2</v>
      </c>
      <c r="AJ9" s="161">
        <f t="shared" si="3"/>
        <v>53.548801035592042</v>
      </c>
      <c r="AK9" s="267">
        <f>Calculos_M!$V$1</f>
        <v>3.2516250000000003E-2</v>
      </c>
      <c r="AL9" s="267">
        <f t="shared" si="35"/>
        <v>-3.2516250000000003E-2</v>
      </c>
      <c r="AM9" s="35">
        <f>IF(ISNUMBER('Courier_M.'!P11),'Courier_M.'!P11,"")</f>
        <v>29.626953125</v>
      </c>
      <c r="AN9" s="36">
        <f>IF(ISNUMBER(Laboratorio_M!P9),Laboratorio_M!P9,"")</f>
        <v>28.11</v>
      </c>
      <c r="AO9" s="36">
        <f t="shared" si="17"/>
        <v>-1.5169531250000006</v>
      </c>
      <c r="AP9" s="267">
        <f t="shared" si="18"/>
        <v>1.5169531250000006</v>
      </c>
      <c r="AQ9" s="161">
        <f t="shared" si="19"/>
        <v>5.3964892387050893</v>
      </c>
      <c r="AR9" s="267"/>
      <c r="AS9" s="267"/>
      <c r="AT9" s="35">
        <f>IF(ISNUMBER('Courier_M.'!T11),'Courier_M.'!T11,0)</f>
        <v>0.80398333072662354</v>
      </c>
      <c r="AU9" s="36">
        <f>IF(ISNUMBER(Laboratorio_M!T9),Laboratorio_M!T9,"")</f>
        <v>0.73399999999999999</v>
      </c>
      <c r="AV9" s="36">
        <f t="shared" si="20"/>
        <v>-6.9983330726623549E-2</v>
      </c>
      <c r="AW9" s="267">
        <f t="shared" si="21"/>
        <v>6.9983330726623549E-2</v>
      </c>
      <c r="AX9" s="161">
        <f t="shared" si="4"/>
        <v>9.5345137229732355</v>
      </c>
      <c r="AY9" s="267">
        <f>Calculos_M!$AH$1</f>
        <v>8.3191193181818196E-2</v>
      </c>
      <c r="AZ9" s="267">
        <f t="shared" si="22"/>
        <v>-8.3191193181818196E-2</v>
      </c>
      <c r="BA9" s="35">
        <f>IF(ISNUMBER('Courier_M.'!V11),'Courier_M.'!V11,0)</f>
        <v>55.157562255859375</v>
      </c>
      <c r="BB9" s="36">
        <f>IF(ISNUMBER(Laboratorio_M!V9),Laboratorio_M!V9,"")</f>
        <v>55.981000000000002</v>
      </c>
      <c r="BC9" s="36">
        <f t="shared" si="23"/>
        <v>0.82343774414062665</v>
      </c>
      <c r="BD9" s="267">
        <f t="shared" si="24"/>
        <v>0.82343774414062665</v>
      </c>
      <c r="BE9" s="161">
        <f t="shared" si="5"/>
        <v>1.4709236064747444</v>
      </c>
      <c r="BF9" s="267">
        <f>Calculos_M!$AI$1</f>
        <v>1.4830847050619838</v>
      </c>
      <c r="BG9" s="267">
        <f t="shared" si="25"/>
        <v>-1.4830847050619838</v>
      </c>
      <c r="BH9" s="35">
        <f>IF(ISNUMBER('Courier_M.'!X11),'Courier_M.'!X11,"")</f>
        <v>1.0723105669021606</v>
      </c>
      <c r="BI9" s="36">
        <f>IF(ISNUMBER(Laboratorio_M!X9),Laboratorio_M!X9,"")</f>
        <v>1.206</v>
      </c>
      <c r="BJ9" s="36">
        <f t="shared" si="26"/>
        <v>0.13368943309783932</v>
      </c>
      <c r="BK9" s="267">
        <f t="shared" si="27"/>
        <v>0.13368943309783932</v>
      </c>
      <c r="BL9" s="161">
        <f t="shared" si="28"/>
        <v>11.085359295011553</v>
      </c>
      <c r="BM9" s="36"/>
      <c r="BN9" s="161"/>
      <c r="BO9" s="35">
        <f>IF(ISNUMBER('Courier_M.'!Z11),'Courier_M.'!Z11,"")</f>
        <v>3.2185908713058975</v>
      </c>
      <c r="BP9" s="36">
        <f>IF(ISNUMBER(Laboratorio_M!Z9),Laboratorio_M!Z9,"")</f>
        <v>2.94</v>
      </c>
      <c r="BQ9" s="36">
        <f t="shared" si="29"/>
        <v>-0.27859087130589755</v>
      </c>
      <c r="BR9" s="267">
        <f t="shared" si="30"/>
        <v>0.27859087130589755</v>
      </c>
      <c r="BS9" s="161">
        <f t="shared" si="31"/>
        <v>9.4758799763910737</v>
      </c>
      <c r="BT9" s="36"/>
      <c r="BU9" s="161"/>
    </row>
    <row r="10" spans="1:73" ht="18" customHeight="1" x14ac:dyDescent="0.2">
      <c r="A10">
        <f>+A8+1</f>
        <v>4</v>
      </c>
      <c r="B10" s="7">
        <f>+B8+1</f>
        <v>46251</v>
      </c>
      <c r="C10" s="7" t="str">
        <f>DAY(B10) &amp; "-" &amp; MONTH(B10) &amp;"-" &amp; YEAR(B10)</f>
        <v>17-8-2026</v>
      </c>
      <c r="D10" s="35">
        <f>IF(ISNUMBER('Courier_M.'!E12),'Courier_M.'!E12,"")</f>
        <v>21.243520736694336</v>
      </c>
      <c r="E10" s="36">
        <f>IF(ISNUMBER(Laboratorio_M!E10),Laboratorio_M!E10,"")</f>
        <v>20.696000000000002</v>
      </c>
      <c r="F10" s="36">
        <f t="shared" si="6"/>
        <v>-0.54752073669433443</v>
      </c>
      <c r="G10" s="267">
        <f t="shared" si="7"/>
        <v>0.54752073669433443</v>
      </c>
      <c r="H10" s="161">
        <f t="shared" si="0"/>
        <v>2.6455389287511326</v>
      </c>
      <c r="I10" s="267">
        <f>Calculos_M!$I$1</f>
        <v>2.2302216249999991</v>
      </c>
      <c r="J10" s="267">
        <f t="shared" si="32"/>
        <v>-2.2302216249999991</v>
      </c>
      <c r="K10" s="35">
        <f>IF(ISNUMBER('Courier_M.'!G12),'Courier_M.'!G12,"")</f>
        <v>1.1837607622146606</v>
      </c>
      <c r="L10" s="36">
        <f>IF(ISNUMBER(Laboratorio_M!G10),Laboratorio_M!G10,"")</f>
        <v>2.0670000000000002</v>
      </c>
      <c r="M10" s="36">
        <f t="shared" si="8"/>
        <v>0.88323923778533953</v>
      </c>
      <c r="N10" s="267">
        <f t="shared" si="9"/>
        <v>0.88323923778533953</v>
      </c>
      <c r="O10" s="161">
        <f t="shared" si="1"/>
        <v>42.730490458894025</v>
      </c>
      <c r="P10" s="267">
        <f>Calculos_M!$J$1</f>
        <v>0.382682625</v>
      </c>
      <c r="Q10" s="267">
        <f t="shared" si="33"/>
        <v>-0.382682625</v>
      </c>
      <c r="R10" s="35">
        <f>IF(ISNUMBER('Courier_M.'!I12),'Courier_M.'!I12,"")</f>
        <v>26.980056762695313</v>
      </c>
      <c r="S10" s="36">
        <f>IF(ISNUMBER(Laboratorio_M!I10),Laboratorio_M!I10,"")</f>
        <v>27.38</v>
      </c>
      <c r="T10" s="36">
        <f t="shared" si="10"/>
        <v>0.39994323730468651</v>
      </c>
      <c r="U10" s="267">
        <f t="shared" si="11"/>
        <v>0.39994323730468651</v>
      </c>
      <c r="V10" s="161">
        <f t="shared" si="12"/>
        <v>1.4607130653933036</v>
      </c>
      <c r="W10" s="267"/>
      <c r="X10" s="267"/>
      <c r="Y10" s="35">
        <f>IF(ISNUMBER('Courier_M.'!K12),'Courier_M.'!K12,"")</f>
        <v>24.104804992675781</v>
      </c>
      <c r="Z10" s="36">
        <f>IF(ISNUMBER(Laboratorio_M!K10),Laboratorio_M!K10,"")</f>
        <v>23.283000000000001</v>
      </c>
      <c r="AA10" s="36">
        <f t="shared" si="13"/>
        <v>-0.82180499267578</v>
      </c>
      <c r="AB10" s="267">
        <f t="shared" si="14"/>
        <v>0.82180499267578</v>
      </c>
      <c r="AC10" s="161">
        <f t="shared" si="2"/>
        <v>3.5296353248111498</v>
      </c>
      <c r="AD10" s="267">
        <f>Calculos_M!$U$1</f>
        <v>1.0662891477272729</v>
      </c>
      <c r="AE10" s="267">
        <f t="shared" si="34"/>
        <v>-1.0662891477272729</v>
      </c>
      <c r="AF10" s="35">
        <f>IF(ISNUMBER('Courier_M.'!M12),'Courier_M.'!M12,"")</f>
        <v>0.10239333659410477</v>
      </c>
      <c r="AG10" s="36">
        <f>IF(ISNUMBER(Laboratorio_M!M10),Laboratorio_M!M10,"")</f>
        <v>0.11</v>
      </c>
      <c r="AH10" s="36">
        <f t="shared" si="15"/>
        <v>7.6066634058952337E-3</v>
      </c>
      <c r="AI10" s="267">
        <f t="shared" si="16"/>
        <v>7.6066634058952337E-3</v>
      </c>
      <c r="AJ10" s="161">
        <f t="shared" si="3"/>
        <v>6.915148550813849</v>
      </c>
      <c r="AK10" s="267">
        <f>Calculos_M!$V$1</f>
        <v>3.2516250000000003E-2</v>
      </c>
      <c r="AL10" s="267">
        <f t="shared" si="35"/>
        <v>-3.2516250000000003E-2</v>
      </c>
      <c r="AM10" s="35">
        <f>IF(ISNUMBER('Courier_M.'!O12),'Courier_M.'!O12,"")</f>
        <v>29.65827751159668</v>
      </c>
      <c r="AN10" s="36">
        <f>IF(ISNUMBER(Laboratorio_M!O10),Laboratorio_M!O10,"")</f>
        <v>28.11</v>
      </c>
      <c r="AO10" s="36">
        <f t="shared" si="17"/>
        <v>-1.5482775115966803</v>
      </c>
      <c r="AP10" s="267">
        <f t="shared" si="18"/>
        <v>1.5482775115966803</v>
      </c>
      <c r="AQ10" s="161">
        <f t="shared" si="19"/>
        <v>5.5079242675086455</v>
      </c>
      <c r="AR10" s="267"/>
      <c r="AS10" s="267"/>
      <c r="AT10" s="35">
        <f>IF(ISNUMBER('Courier_M.'!S12),'Courier_M.'!S12,0)</f>
        <v>0.85311043262481689</v>
      </c>
      <c r="AU10" s="36">
        <f>IF(ISNUMBER(Laboratorio_M!S10),Laboratorio_M!S10,"")</f>
        <v>0.94599999999999995</v>
      </c>
      <c r="AV10" s="36">
        <f t="shared" si="20"/>
        <v>9.2889567375183058E-2</v>
      </c>
      <c r="AW10" s="267">
        <f t="shared" si="21"/>
        <v>9.2889567375183058E-2</v>
      </c>
      <c r="AX10" s="161">
        <f t="shared" si="4"/>
        <v>9.8191931686240022</v>
      </c>
      <c r="AY10" s="267">
        <f>Calculos_M!$AH$1</f>
        <v>8.3191193181818196E-2</v>
      </c>
      <c r="AZ10" s="267">
        <f t="shared" si="22"/>
        <v>-8.3191193181818196E-2</v>
      </c>
      <c r="BA10" s="35">
        <f>IF(ISNUMBER('Courier_M.'!U12),'Courier_M.'!U12,0)</f>
        <v>54.821533203125</v>
      </c>
      <c r="BB10" s="36">
        <f>IF(ISNUMBER(Laboratorio_M!U10),Laboratorio_M!U10,"")</f>
        <v>56.015999999999998</v>
      </c>
      <c r="BC10" s="36">
        <f t="shared" si="23"/>
        <v>1.1944667968749982</v>
      </c>
      <c r="BD10" s="267">
        <f t="shared" si="24"/>
        <v>1.1944667968749982</v>
      </c>
      <c r="BE10" s="161">
        <f t="shared" si="5"/>
        <v>2.1323671752267179</v>
      </c>
      <c r="BF10" s="267">
        <f>Calculos_M!$AI$1</f>
        <v>1.4830847050619838</v>
      </c>
      <c r="BG10" s="267">
        <f t="shared" si="25"/>
        <v>-1.4830847050619838</v>
      </c>
      <c r="BH10" s="35">
        <f>IF(ISNUMBER('Courier_M.'!W12),'Courier_M.'!W12,"")</f>
        <v>1.2263364791870117</v>
      </c>
      <c r="BI10" s="36">
        <f>IF(ISNUMBER(Laboratorio_M!W10),Laboratorio_M!W10,"")</f>
        <v>1.107</v>
      </c>
      <c r="BJ10" s="36">
        <f t="shared" si="26"/>
        <v>-0.11933647918701173</v>
      </c>
      <c r="BK10" s="267">
        <f t="shared" si="27"/>
        <v>0.11933647918701173</v>
      </c>
      <c r="BL10" s="161">
        <f t="shared" si="28"/>
        <v>10.780169754924277</v>
      </c>
      <c r="BM10" s="36"/>
      <c r="BN10" s="161"/>
      <c r="BO10" s="35">
        <f>IF(ISNUMBER('Courier_M.'!Y12),'Courier_M.'!Y12,"")</f>
        <v>3.12261693402847</v>
      </c>
      <c r="BP10" s="36">
        <f>IF(ISNUMBER(Laboratorio_M!Y10),Laboratorio_M!Y10,"")</f>
        <v>2.83</v>
      </c>
      <c r="BQ10" s="36">
        <f t="shared" si="29"/>
        <v>-0.29261693402846989</v>
      </c>
      <c r="BR10" s="267">
        <f t="shared" si="30"/>
        <v>0.29261693402846989</v>
      </c>
      <c r="BS10" s="161">
        <f t="shared" si="31"/>
        <v>10.339820990405297</v>
      </c>
      <c r="BT10" s="36"/>
      <c r="BU10" s="161"/>
    </row>
    <row r="11" spans="1:73" ht="18" customHeight="1" x14ac:dyDescent="0.2">
      <c r="C11" s="38" t="str">
        <f>DAY(B10) &amp; "-" &amp; MONTH(B10) &amp;"-" &amp; YEAR(B10)</f>
        <v>17-8-2026</v>
      </c>
      <c r="D11" s="35">
        <f>IF(ISNUMBER('Courier_M.'!F12),'Courier_M.'!F12,"")</f>
        <v>22.771310806274414</v>
      </c>
      <c r="E11" s="36">
        <f>IF(ISNUMBER(Laboratorio_M!F10),Laboratorio_M!F10,"")</f>
        <v>24.681000000000001</v>
      </c>
      <c r="F11" s="36">
        <f t="shared" si="6"/>
        <v>1.9096891937255869</v>
      </c>
      <c r="G11" s="267">
        <f t="shared" si="7"/>
        <v>1.9096891937255869</v>
      </c>
      <c r="H11" s="161">
        <f t="shared" si="0"/>
        <v>7.7374871104314531</v>
      </c>
      <c r="I11" s="267">
        <f>Calculos_M!$I$1</f>
        <v>2.2302216249999991</v>
      </c>
      <c r="J11" s="267">
        <f t="shared" si="32"/>
        <v>-2.2302216249999991</v>
      </c>
      <c r="K11" s="35">
        <f>IF(ISNUMBER('Courier_M.'!H12),'Courier_M.'!H12,"")</f>
        <v>1.6933015584945679</v>
      </c>
      <c r="L11" s="36">
        <f>IF(ISNUMBER(Laboratorio_M!H10),Laboratorio_M!H10,"")</f>
        <v>2.3029999999999999</v>
      </c>
      <c r="M11" s="36">
        <f t="shared" si="8"/>
        <v>0.60969844150543206</v>
      </c>
      <c r="N11" s="267">
        <f t="shared" si="9"/>
        <v>0.60969844150543206</v>
      </c>
      <c r="O11" s="161">
        <f t="shared" si="1"/>
        <v>26.474096461373513</v>
      </c>
      <c r="P11" s="267">
        <f>Calculos_M!$J$1</f>
        <v>0.382682625</v>
      </c>
      <c r="Q11" s="267">
        <f t="shared" si="33"/>
        <v>-0.382682625</v>
      </c>
      <c r="R11" s="35">
        <f>IF(ISNUMBER('Courier_M.'!J12),'Courier_M.'!J12,"")</f>
        <v>27.111610412597656</v>
      </c>
      <c r="S11" s="36">
        <f>IF(ISNUMBER(Laboratorio_M!J10),Laboratorio_M!J10,"")</f>
        <v>28.45</v>
      </c>
      <c r="T11" s="36">
        <f t="shared" si="10"/>
        <v>1.338389587402343</v>
      </c>
      <c r="U11" s="267">
        <f t="shared" si="11"/>
        <v>1.338389587402343</v>
      </c>
      <c r="V11" s="161">
        <f t="shared" si="12"/>
        <v>4.7043570734704501</v>
      </c>
      <c r="W11" s="267"/>
      <c r="X11" s="267"/>
      <c r="Y11" s="35">
        <f>IF(ISNUMBER('Courier_M.'!L12),'Courier_M.'!L12,"")</f>
        <v>23.548566818237305</v>
      </c>
      <c r="Z11" s="36">
        <f>IF(ISNUMBER(Laboratorio_M!L10),Laboratorio_M!L10,"")</f>
        <v>20.567</v>
      </c>
      <c r="AA11" s="36">
        <f t="shared" si="13"/>
        <v>-2.9815668182373045</v>
      </c>
      <c r="AB11" s="267">
        <f t="shared" si="14"/>
        <v>2.9815668182373045</v>
      </c>
      <c r="AC11" s="161">
        <f t="shared" si="2"/>
        <v>14.496848437970069</v>
      </c>
      <c r="AD11" s="267">
        <f>Calculos_M!$U$1</f>
        <v>1.0662891477272729</v>
      </c>
      <c r="AE11" s="267">
        <f t="shared" si="34"/>
        <v>-1.0662891477272729</v>
      </c>
      <c r="AF11" s="35">
        <f>IF(ISNUMBER('Courier_M.'!N12),'Courier_M.'!N12,"")</f>
        <v>8.8767431676387787E-2</v>
      </c>
      <c r="AG11" s="36">
        <f>IF(ISNUMBER(Laboratorio_M!N10),Laboratorio_M!N10,"")</f>
        <v>0.04</v>
      </c>
      <c r="AH11" s="36">
        <f t="shared" si="15"/>
        <v>-4.8767431676387786E-2</v>
      </c>
      <c r="AI11" s="267">
        <f t="shared" si="16"/>
        <v>4.8767431676387786E-2</v>
      </c>
      <c r="AJ11" s="161">
        <f t="shared" si="3"/>
        <v>121.91857919096947</v>
      </c>
      <c r="AK11" s="267">
        <f>Calculos_M!$V$1</f>
        <v>3.2516250000000003E-2</v>
      </c>
      <c r="AL11" s="267">
        <f t="shared" si="35"/>
        <v>-3.2516250000000003E-2</v>
      </c>
      <c r="AM11" s="35">
        <f>IF(ISNUMBER('Courier_M.'!P12),'Courier_M.'!P12,"")</f>
        <v>29.206361770629883</v>
      </c>
      <c r="AN11" s="36">
        <f>IF(ISNUMBER(Laboratorio_M!P10),Laboratorio_M!P10,"")</f>
        <v>28.27</v>
      </c>
      <c r="AO11" s="36">
        <f t="shared" si="17"/>
        <v>-0.93636177062988324</v>
      </c>
      <c r="AP11" s="267">
        <f t="shared" si="18"/>
        <v>0.93636177062988324</v>
      </c>
      <c r="AQ11" s="161">
        <f t="shared" si="19"/>
        <v>3.3122100128400542</v>
      </c>
      <c r="AR11" s="267"/>
      <c r="AS11" s="267"/>
      <c r="AT11" s="35">
        <f>IF(ISNUMBER('Courier_M.'!T12),'Courier_M.'!T12,0)</f>
        <v>0.87987202405929565</v>
      </c>
      <c r="AU11" s="36">
        <f>IF(ISNUMBER(Laboratorio_M!T10),Laboratorio_M!T10,"")</f>
        <v>1.1970000000000001</v>
      </c>
      <c r="AV11" s="36">
        <f t="shared" si="20"/>
        <v>0.31712797594070441</v>
      </c>
      <c r="AW11" s="267">
        <f t="shared" si="21"/>
        <v>0.31712797594070441</v>
      </c>
      <c r="AX11" s="161">
        <f t="shared" si="4"/>
        <v>26.493565241495769</v>
      </c>
      <c r="AY11" s="267">
        <f>Calculos_M!$AH$1</f>
        <v>8.3191193181818196E-2</v>
      </c>
      <c r="AZ11" s="267">
        <f t="shared" si="22"/>
        <v>-8.3191193181818196E-2</v>
      </c>
      <c r="BA11" s="35">
        <f>IF(ISNUMBER('Courier_M.'!V12),'Courier_M.'!V12,0)</f>
        <v>55.142543792724609</v>
      </c>
      <c r="BB11" s="36">
        <f>IF(ISNUMBER(Laboratorio_M!V10),Laboratorio_M!V10,"")</f>
        <v>55.908000000000001</v>
      </c>
      <c r="BC11" s="36">
        <f t="shared" si="23"/>
        <v>0.76545620727539188</v>
      </c>
      <c r="BD11" s="267">
        <f t="shared" si="24"/>
        <v>0.76545620727539188</v>
      </c>
      <c r="BE11" s="161">
        <f t="shared" si="5"/>
        <v>1.3691353782560489</v>
      </c>
      <c r="BF11" s="267">
        <f>Calculos_M!$AI$1</f>
        <v>1.4830847050619838</v>
      </c>
      <c r="BG11" s="267">
        <f t="shared" si="25"/>
        <v>-1.4830847050619838</v>
      </c>
      <c r="BH11" s="35">
        <f>IF(ISNUMBER('Courier_M.'!X12),'Courier_M.'!X12,"")</f>
        <v>1.3764969110488892</v>
      </c>
      <c r="BI11" s="36">
        <f>IF(ISNUMBER(Laboratorio_M!X10),Laboratorio_M!X10,"")</f>
        <v>1.4350000000000001</v>
      </c>
      <c r="BJ11" s="36">
        <f t="shared" si="26"/>
        <v>5.8503088951110893E-2</v>
      </c>
      <c r="BK11" s="267">
        <f t="shared" si="27"/>
        <v>5.8503088951110893E-2</v>
      </c>
      <c r="BL11" s="161">
        <f t="shared" si="28"/>
        <v>4.0768703101819437</v>
      </c>
      <c r="BM11" s="36"/>
      <c r="BN11" s="161"/>
      <c r="BO11" s="35" t="str">
        <f>IF(ISNUMBER('Courier_M.'!Z12),'Courier_M.'!Z12,"")</f>
        <v/>
      </c>
      <c r="BP11" s="36">
        <f>IF(ISNUMBER(Laboratorio_M!Z10),Laboratorio_M!Z10,"")</f>
        <v>1.99</v>
      </c>
      <c r="BQ11" s="36" t="str">
        <f t="shared" si="29"/>
        <v xml:space="preserve"> </v>
      </c>
      <c r="BR11" s="267" t="str">
        <f t="shared" si="30"/>
        <v xml:space="preserve"> </v>
      </c>
      <c r="BS11" s="161" t="str">
        <f t="shared" si="31"/>
        <v xml:space="preserve"> </v>
      </c>
      <c r="BT11" s="36"/>
      <c r="BU11" s="161"/>
    </row>
    <row r="12" spans="1:73" ht="18" customHeight="1" x14ac:dyDescent="0.2">
      <c r="A12">
        <f>+A10+1</f>
        <v>5</v>
      </c>
      <c r="B12" s="7">
        <f>+B10+1</f>
        <v>46252</v>
      </c>
      <c r="C12" s="7" t="str">
        <f>DAY(B12) &amp; "-" &amp; MONTH(B12) &amp;"-" &amp; YEAR(B12)</f>
        <v>18-8-2026</v>
      </c>
      <c r="D12" s="35">
        <f>IF(ISNUMBER('Courier_M.'!E13),'Courier_M.'!E13,"")</f>
        <v>20.552448272705078</v>
      </c>
      <c r="E12" s="36">
        <f>IF(ISNUMBER(Laboratorio_M!E11),Laboratorio_M!E11,"")</f>
        <v>22.5</v>
      </c>
      <c r="F12" s="36">
        <f t="shared" si="6"/>
        <v>1.9475517272949219</v>
      </c>
      <c r="G12" s="267">
        <f t="shared" si="7"/>
        <v>1.9475517272949219</v>
      </c>
      <c r="H12" s="161">
        <f t="shared" si="0"/>
        <v>8.6557854546440964</v>
      </c>
      <c r="I12" s="267">
        <f>Calculos_M!$I$1</f>
        <v>2.2302216249999991</v>
      </c>
      <c r="J12" s="267">
        <f t="shared" si="32"/>
        <v>-2.2302216249999991</v>
      </c>
      <c r="K12" s="35">
        <f>IF(ISNUMBER('Courier_M.'!G13),'Courier_M.'!G13,"")</f>
        <v>2.1402573585510254</v>
      </c>
      <c r="L12" s="36">
        <f>IF(ISNUMBER(Laboratorio_M!G11),Laboratorio_M!G11,"")</f>
        <v>2.5670000000000002</v>
      </c>
      <c r="M12" s="36">
        <f t="shared" si="8"/>
        <v>0.42674264144897478</v>
      </c>
      <c r="N12" s="267">
        <f t="shared" si="9"/>
        <v>0.42674264144897478</v>
      </c>
      <c r="O12" s="161">
        <f t="shared" si="1"/>
        <v>16.624177695713861</v>
      </c>
      <c r="P12" s="267">
        <f>Calculos_M!$J$1</f>
        <v>0.382682625</v>
      </c>
      <c r="Q12" s="267">
        <f t="shared" si="33"/>
        <v>-0.382682625</v>
      </c>
      <c r="R12" s="35">
        <f>IF(ISNUMBER('Courier_M.'!I13),'Courier_M.'!I13,"")</f>
        <v>26.868280410766602</v>
      </c>
      <c r="S12" s="36">
        <f>IF(ISNUMBER(Laboratorio_M!I11),Laboratorio_M!I11,"")</f>
        <v>27.76</v>
      </c>
      <c r="T12" s="36">
        <f t="shared" si="10"/>
        <v>0.8917195892334</v>
      </c>
      <c r="U12" s="267">
        <f t="shared" si="11"/>
        <v>0.8917195892334</v>
      </c>
      <c r="V12" s="161">
        <f t="shared" si="12"/>
        <v>3.2122463589099417</v>
      </c>
      <c r="W12" s="267"/>
      <c r="X12" s="267"/>
      <c r="Y12" s="35">
        <f>IF(ISNUMBER('Courier_M.'!K13),'Courier_M.'!K13,"")</f>
        <v>21.278430938720703</v>
      </c>
      <c r="Z12" s="36">
        <f>IF(ISNUMBER(Laboratorio_M!K11),Laboratorio_M!K11,"")</f>
        <v>21.212</v>
      </c>
      <c r="AA12" s="36">
        <f t="shared" si="13"/>
        <v>-6.6430938720703381E-2</v>
      </c>
      <c r="AB12" s="267">
        <f t="shared" si="14"/>
        <v>6.6430938720703381E-2</v>
      </c>
      <c r="AC12" s="161">
        <f t="shared" si="2"/>
        <v>0.31317621497597298</v>
      </c>
      <c r="AD12" s="267">
        <f>Calculos_M!$U$1</f>
        <v>1.0662891477272729</v>
      </c>
      <c r="AE12" s="267">
        <f t="shared" si="34"/>
        <v>-1.0662891477272729</v>
      </c>
      <c r="AF12" s="35">
        <f>IF(ISNUMBER('Courier_M.'!M13),'Courier_M.'!M13,"")</f>
        <v>9.7924016416072845E-2</v>
      </c>
      <c r="AG12" s="36">
        <f>IF(ISNUMBER(Laboratorio_M!M11),Laboratorio_M!M11,"")</f>
        <v>3.2000000000000001E-2</v>
      </c>
      <c r="AH12" s="36">
        <f t="shared" si="15"/>
        <v>-6.5924016416072845E-2</v>
      </c>
      <c r="AI12" s="267">
        <f t="shared" si="16"/>
        <v>6.5924016416072845E-2</v>
      </c>
      <c r="AJ12" s="161">
        <f t="shared" si="3"/>
        <v>206.01255130022764</v>
      </c>
      <c r="AK12" s="267">
        <f>Calculos_M!$V$1</f>
        <v>3.2516250000000003E-2</v>
      </c>
      <c r="AL12" s="267">
        <f t="shared" si="35"/>
        <v>-3.2516250000000003E-2</v>
      </c>
      <c r="AM12" s="35">
        <f>IF(ISNUMBER('Courier_M.'!O13),'Courier_M.'!O13,"")</f>
        <v>29.11121940612793</v>
      </c>
      <c r="AN12" s="36">
        <f>IF(ISNUMBER(Laboratorio_M!O11),Laboratorio_M!O11,"")</f>
        <v>30.01</v>
      </c>
      <c r="AO12" s="36">
        <f t="shared" si="17"/>
        <v>0.89878059387207188</v>
      </c>
      <c r="AP12" s="267">
        <f t="shared" si="18"/>
        <v>0.89878059387207188</v>
      </c>
      <c r="AQ12" s="161">
        <f t="shared" si="19"/>
        <v>2.9949370005733815</v>
      </c>
      <c r="AR12" s="267"/>
      <c r="AS12" s="267"/>
      <c r="AT12" s="35">
        <f>IF(ISNUMBER('Courier_M.'!S13),'Courier_M.'!S13,0)</f>
        <v>0.72932702302932739</v>
      </c>
      <c r="AU12" s="36">
        <f>IF(ISNUMBER(Laboratorio_M!S11),Laboratorio_M!S11,"")</f>
        <v>0.84099999999999997</v>
      </c>
      <c r="AV12" s="36">
        <f t="shared" si="20"/>
        <v>0.11167297697067258</v>
      </c>
      <c r="AW12" s="267">
        <f t="shared" si="21"/>
        <v>0.11167297697067258</v>
      </c>
      <c r="AX12" s="161">
        <f t="shared" si="4"/>
        <v>13.278594170115646</v>
      </c>
      <c r="AY12" s="267">
        <f>Calculos_M!$AH$1</f>
        <v>8.3191193181818196E-2</v>
      </c>
      <c r="AZ12" s="267">
        <f t="shared" si="22"/>
        <v>-8.3191193181818196E-2</v>
      </c>
      <c r="BA12" s="35">
        <f>IF(ISNUMBER('Courier_M.'!U13),'Courier_M.'!U13,0)</f>
        <v>55.340721130371094</v>
      </c>
      <c r="BB12" s="36">
        <f>IF(ISNUMBER(Laboratorio_M!U11),Laboratorio_M!U11,"")</f>
        <v>55.356999999999999</v>
      </c>
      <c r="BC12" s="36">
        <f t="shared" si="23"/>
        <v>1.6278869628905568E-2</v>
      </c>
      <c r="BD12" s="267">
        <f t="shared" si="24"/>
        <v>1.6278869628905568E-2</v>
      </c>
      <c r="BE12" s="161">
        <f t="shared" si="5"/>
        <v>2.9407066186580864E-2</v>
      </c>
      <c r="BF12" s="267">
        <f>Calculos_M!$AI$1</f>
        <v>1.4830847050619838</v>
      </c>
      <c r="BG12" s="267">
        <f t="shared" si="25"/>
        <v>-1.4830847050619838</v>
      </c>
      <c r="BH12" s="35">
        <f>IF(ISNUMBER('Courier_M.'!W13),'Courier_M.'!W13,"")</f>
        <v>1.0783861875534058</v>
      </c>
      <c r="BI12" s="36">
        <f>IF(ISNUMBER(Laboratorio_M!W11),Laboratorio_M!W11,"")</f>
        <v>1.1439999999999999</v>
      </c>
      <c r="BJ12" s="36">
        <f t="shared" si="26"/>
        <v>6.5613812446594144E-2</v>
      </c>
      <c r="BK12" s="267">
        <f t="shared" si="27"/>
        <v>6.5613812446594144E-2</v>
      </c>
      <c r="BL12" s="161">
        <f t="shared" si="28"/>
        <v>5.7354731159610273</v>
      </c>
      <c r="BM12" s="36"/>
      <c r="BN12" s="161"/>
      <c r="BO12" s="35" t="str">
        <f>IF(ISNUMBER('Courier_M.'!Y13),'Courier_M.'!Y13,"")</f>
        <v/>
      </c>
      <c r="BP12" s="36">
        <f>IF(ISNUMBER(Laboratorio_M!Y11),Laboratorio_M!Y11,"")</f>
        <v>3.98</v>
      </c>
      <c r="BQ12" s="36" t="str">
        <f t="shared" si="29"/>
        <v xml:space="preserve"> </v>
      </c>
      <c r="BR12" s="267" t="str">
        <f t="shared" si="30"/>
        <v xml:space="preserve"> </v>
      </c>
      <c r="BS12" s="161" t="str">
        <f t="shared" si="31"/>
        <v xml:space="preserve"> </v>
      </c>
      <c r="BT12" s="36"/>
      <c r="BU12" s="161"/>
    </row>
    <row r="13" spans="1:73" ht="18" customHeight="1" x14ac:dyDescent="0.2">
      <c r="C13" s="38" t="str">
        <f>DAY(B12) &amp; "-" &amp; MONTH(B12) &amp;"-" &amp; YEAR(B12)</f>
        <v>18-8-2026</v>
      </c>
      <c r="D13" s="35">
        <f>IF(ISNUMBER('Courier_M.'!F13),'Courier_M.'!F13,"")</f>
        <v>23.512538909912109</v>
      </c>
      <c r="E13" s="36">
        <f>IF(ISNUMBER(Laboratorio_M!F11),Laboratorio_M!F11,"")</f>
        <v>24.085999999999999</v>
      </c>
      <c r="F13" s="36">
        <f t="shared" si="6"/>
        <v>0.57346109008788915</v>
      </c>
      <c r="G13" s="267">
        <f t="shared" si="7"/>
        <v>0.57346109008788915</v>
      </c>
      <c r="H13" s="161">
        <f t="shared" si="0"/>
        <v>2.380889687319975</v>
      </c>
      <c r="I13" s="267">
        <f>Calculos_M!$I$1</f>
        <v>2.2302216249999991</v>
      </c>
      <c r="J13" s="267">
        <f t="shared" si="32"/>
        <v>-2.2302216249999991</v>
      </c>
      <c r="K13" s="35">
        <f>IF(ISNUMBER('Courier_M.'!H13),'Courier_M.'!H13,"")</f>
        <v>1.935106635093689</v>
      </c>
      <c r="L13" s="36">
        <f>IF(ISNUMBER(Laboratorio_M!H11),Laboratorio_M!H11,"")</f>
        <v>1.821</v>
      </c>
      <c r="M13" s="36">
        <f t="shared" si="8"/>
        <v>-0.11410663509368901</v>
      </c>
      <c r="N13" s="267">
        <f t="shared" si="9"/>
        <v>0.11410663509368901</v>
      </c>
      <c r="O13" s="161">
        <f t="shared" si="1"/>
        <v>6.2661523939422858</v>
      </c>
      <c r="P13" s="267">
        <f>Calculos_M!$J$1</f>
        <v>0.382682625</v>
      </c>
      <c r="Q13" s="267">
        <f t="shared" si="33"/>
        <v>-0.382682625</v>
      </c>
      <c r="R13" s="35">
        <f>IF(ISNUMBER('Courier_M.'!J13),'Courier_M.'!J13,"")</f>
        <v>28.150907516479492</v>
      </c>
      <c r="S13" s="36">
        <f>IF(ISNUMBER(Laboratorio_M!J11),Laboratorio_M!J11,"")</f>
        <v>28.67</v>
      </c>
      <c r="T13" s="36">
        <f t="shared" si="10"/>
        <v>0.51909248352050952</v>
      </c>
      <c r="U13" s="267">
        <f t="shared" si="11"/>
        <v>0.51909248352050952</v>
      </c>
      <c r="V13" s="161">
        <f t="shared" si="12"/>
        <v>1.8105772009784076</v>
      </c>
      <c r="W13" s="267"/>
      <c r="X13" s="267"/>
      <c r="Y13" s="35">
        <f>IF(ISNUMBER('Courier_M.'!L13),'Courier_M.'!L13,"")</f>
        <v>24.443809509277344</v>
      </c>
      <c r="Z13" s="36">
        <f>IF(ISNUMBER(Laboratorio_M!L11),Laboratorio_M!L11,"")</f>
        <v>25.276</v>
      </c>
      <c r="AA13" s="36">
        <f t="shared" si="13"/>
        <v>0.83219049072265605</v>
      </c>
      <c r="AB13" s="267">
        <f t="shared" si="14"/>
        <v>0.83219049072265605</v>
      </c>
      <c r="AC13" s="161">
        <f t="shared" si="2"/>
        <v>3.2924137154718154</v>
      </c>
      <c r="AD13" s="267">
        <f>Calculos_M!$U$1</f>
        <v>1.0662891477272729</v>
      </c>
      <c r="AE13" s="267">
        <f t="shared" si="34"/>
        <v>-1.0662891477272729</v>
      </c>
      <c r="AF13" s="35">
        <f>IF(ISNUMBER('Courier_M.'!N13),'Courier_M.'!N13,"")</f>
        <v>6.4414113759994507E-2</v>
      </c>
      <c r="AG13" s="36">
        <f>IF(ISNUMBER(Laboratorio_M!N11),Laboratorio_M!N11,"")</f>
        <v>5.2999999999999999E-2</v>
      </c>
      <c r="AH13" s="36">
        <f t="shared" si="15"/>
        <v>-1.1414113759994508E-2</v>
      </c>
      <c r="AI13" s="267">
        <f t="shared" si="16"/>
        <v>1.1414113759994508E-2</v>
      </c>
      <c r="AJ13" s="161">
        <f t="shared" si="3"/>
        <v>21.536063698102847</v>
      </c>
      <c r="AK13" s="267">
        <f>Calculos_M!$V$1</f>
        <v>3.2516250000000003E-2</v>
      </c>
      <c r="AL13" s="267">
        <f t="shared" si="35"/>
        <v>-3.2516250000000003E-2</v>
      </c>
      <c r="AM13" s="35">
        <f>IF(ISNUMBER('Courier_M.'!P13),'Courier_M.'!P13,"")</f>
        <v>28.646036148071289</v>
      </c>
      <c r="AN13" s="36">
        <f>IF(ISNUMBER(Laboratorio_M!P11),Laboratorio_M!P11,"")</f>
        <v>29.66</v>
      </c>
      <c r="AO13" s="36">
        <f t="shared" si="17"/>
        <v>1.0139638519287111</v>
      </c>
      <c r="AP13" s="267">
        <f t="shared" si="18"/>
        <v>1.0139638519287111</v>
      </c>
      <c r="AQ13" s="161">
        <f t="shared" si="19"/>
        <v>3.4186239107508802</v>
      </c>
      <c r="AR13" s="267"/>
      <c r="AS13" s="267"/>
      <c r="AT13" s="35">
        <f>IF(ISNUMBER('Courier_M.'!T13),'Courier_M.'!T13,0)</f>
        <v>0.8940466046333313</v>
      </c>
      <c r="AU13" s="36">
        <f>IF(ISNUMBER(Laboratorio_M!T11),Laboratorio_M!T11,"")</f>
        <v>0.51100000000000001</v>
      </c>
      <c r="AV13" s="36">
        <f t="shared" si="20"/>
        <v>-0.38304660463333129</v>
      </c>
      <c r="AW13" s="267">
        <f t="shared" si="21"/>
        <v>0.38304660463333129</v>
      </c>
      <c r="AX13" s="161">
        <f t="shared" si="4"/>
        <v>74.960196601434689</v>
      </c>
      <c r="AY13" s="267">
        <f>Calculos_M!$AH$1</f>
        <v>8.3191193181818196E-2</v>
      </c>
      <c r="AZ13" s="267">
        <f t="shared" si="22"/>
        <v>-8.3191193181818196E-2</v>
      </c>
      <c r="BA13" s="35">
        <f>IF(ISNUMBER('Courier_M.'!V13),'Courier_M.'!V13,0)</f>
        <v>56.507232666015625</v>
      </c>
      <c r="BB13" s="36">
        <f>IF(ISNUMBER(Laboratorio_M!V11),Laboratorio_M!V11,"")</f>
        <v>57.058999999999997</v>
      </c>
      <c r="BC13" s="36">
        <f t="shared" si="23"/>
        <v>0.5517673339843725</v>
      </c>
      <c r="BD13" s="267">
        <f t="shared" si="24"/>
        <v>0.5517673339843725</v>
      </c>
      <c r="BE13" s="161">
        <f t="shared" si="5"/>
        <v>0.96701192447181428</v>
      </c>
      <c r="BF13" s="267">
        <f>Calculos_M!$AI$1</f>
        <v>1.4830847050619838</v>
      </c>
      <c r="BG13" s="267">
        <f t="shared" si="25"/>
        <v>-1.4830847050619838</v>
      </c>
      <c r="BH13" s="35">
        <f>IF(ISNUMBER('Courier_M.'!X13),'Courier_M.'!X13,"")</f>
        <v>0.90941131114959717</v>
      </c>
      <c r="BI13" s="36">
        <f>IF(ISNUMBER(Laboratorio_M!X11),Laboratorio_M!X11,"")</f>
        <v>0.64800000000000002</v>
      </c>
      <c r="BJ13" s="36">
        <f t="shared" si="26"/>
        <v>-0.26141131114959715</v>
      </c>
      <c r="BK13" s="267">
        <f t="shared" si="27"/>
        <v>0.26141131114959715</v>
      </c>
      <c r="BL13" s="161">
        <f t="shared" si="28"/>
        <v>40.341251720616846</v>
      </c>
      <c r="BM13" s="36"/>
      <c r="BN13" s="161"/>
      <c r="BO13" s="35">
        <f>IF(ISNUMBER('Courier_M.'!Z13),'Courier_M.'!Z13,"")</f>
        <v>3.1034439015606874</v>
      </c>
      <c r="BP13" s="36">
        <f>IF(ISNUMBER(Laboratorio_M!Z11),Laboratorio_M!Z11,"")</f>
        <v>2.62</v>
      </c>
      <c r="BQ13" s="36">
        <f t="shared" si="29"/>
        <v>-0.48344390156068728</v>
      </c>
      <c r="BR13" s="267">
        <f t="shared" si="30"/>
        <v>0.48344390156068728</v>
      </c>
      <c r="BS13" s="161">
        <f t="shared" si="31"/>
        <v>18.452057311476615</v>
      </c>
      <c r="BT13" s="36"/>
      <c r="BU13" s="161"/>
    </row>
    <row r="14" spans="1:73" ht="18" customHeight="1" x14ac:dyDescent="0.2">
      <c r="A14">
        <f>+A12+1</f>
        <v>6</v>
      </c>
      <c r="B14" s="7">
        <f>+B12+1</f>
        <v>46253</v>
      </c>
      <c r="C14" s="7" t="str">
        <f>DAY(B14) &amp; "-" &amp; MONTH(B14) &amp;"-" &amp; YEAR(B14)</f>
        <v>19-8-2026</v>
      </c>
      <c r="D14" s="35">
        <f>IF(ISNUMBER('Courier_M.'!E14),'Courier_M.'!E14,"")</f>
        <v>22.13677978515625</v>
      </c>
      <c r="E14" s="36">
        <f>IF(ISNUMBER(Laboratorio_M!E12),Laboratorio_M!E12,"")</f>
        <v>22.401</v>
      </c>
      <c r="F14" s="36">
        <f t="shared" si="6"/>
        <v>0.2642202148437498</v>
      </c>
      <c r="G14" s="267">
        <f t="shared" si="7"/>
        <v>0.2642202148437498</v>
      </c>
      <c r="H14" s="161">
        <f t="shared" si="0"/>
        <v>1.1795018742187839</v>
      </c>
      <c r="I14" s="267">
        <f>Calculos_M!$I$1</f>
        <v>2.2302216249999991</v>
      </c>
      <c r="J14" s="267">
        <f t="shared" si="32"/>
        <v>-2.2302216249999991</v>
      </c>
      <c r="K14" s="35">
        <f>IF(ISNUMBER('Courier_M.'!G14),'Courier_M.'!G14,"")</f>
        <v>1.1269073486328125</v>
      </c>
      <c r="L14" s="36">
        <f>IF(ISNUMBER(Laboratorio_M!G12),Laboratorio_M!G12,"")</f>
        <v>0.96499999999999997</v>
      </c>
      <c r="M14" s="36">
        <f t="shared" si="8"/>
        <v>-0.16190734863281253</v>
      </c>
      <c r="N14" s="267">
        <f t="shared" si="9"/>
        <v>0.16190734863281253</v>
      </c>
      <c r="O14" s="161">
        <f t="shared" si="1"/>
        <v>16.77796358889249</v>
      </c>
      <c r="P14" s="267">
        <f>Calculos_M!$J$1</f>
        <v>0.382682625</v>
      </c>
      <c r="Q14" s="267">
        <f t="shared" si="33"/>
        <v>-0.382682625</v>
      </c>
      <c r="R14" s="35">
        <f>IF(ISNUMBER('Courier_M.'!I14),'Courier_M.'!I14,"")</f>
        <v>27.757684707641602</v>
      </c>
      <c r="S14" s="36">
        <f>IF(ISNUMBER(Laboratorio_M!I12),Laboratorio_M!I12,"")</f>
        <v>30.71</v>
      </c>
      <c r="T14" s="36">
        <f t="shared" si="10"/>
        <v>2.9523152923583993</v>
      </c>
      <c r="U14" s="267">
        <f t="shared" si="11"/>
        <v>2.9523152923583993</v>
      </c>
      <c r="V14" s="161">
        <f t="shared" si="12"/>
        <v>9.6135307468524882</v>
      </c>
      <c r="W14" s="267"/>
      <c r="X14" s="267"/>
      <c r="Y14" s="35">
        <f>IF(ISNUMBER('Courier_M.'!K14),'Courier_M.'!K14,"")</f>
        <v>23.779850006103516</v>
      </c>
      <c r="Z14" s="36">
        <f>IF(ISNUMBER(Laboratorio_M!K12),Laboratorio_M!K12,"")</f>
        <v>23.591000000000001</v>
      </c>
      <c r="AA14" s="36">
        <f t="shared" si="13"/>
        <v>-0.18885000610351454</v>
      </c>
      <c r="AB14" s="267">
        <f t="shared" si="14"/>
        <v>0.18885000610351454</v>
      </c>
      <c r="AC14" s="161">
        <f t="shared" si="2"/>
        <v>0.80051717224159435</v>
      </c>
      <c r="AD14" s="267">
        <f>Calculos_M!$U$1</f>
        <v>1.0662891477272729</v>
      </c>
      <c r="AE14" s="267">
        <f t="shared" si="34"/>
        <v>-1.0662891477272729</v>
      </c>
      <c r="AF14" s="35">
        <f>IF(ISNUMBER('Courier_M.'!M14),'Courier_M.'!M14,"")</f>
        <v>5.3388558328151703E-2</v>
      </c>
      <c r="AG14" s="36">
        <f>IF(ISNUMBER(Laboratorio_M!M12),Laboratorio_M!M12,"")</f>
        <v>2.9000000000000001E-2</v>
      </c>
      <c r="AH14" s="36">
        <f t="shared" si="15"/>
        <v>-2.4388558328151701E-2</v>
      </c>
      <c r="AI14" s="267">
        <f t="shared" si="16"/>
        <v>2.4388558328151701E-2</v>
      </c>
      <c r="AJ14" s="161">
        <f t="shared" si="3"/>
        <v>84.098476993626548</v>
      </c>
      <c r="AK14" s="267">
        <f>Calculos_M!$V$1</f>
        <v>3.2516250000000003E-2</v>
      </c>
      <c r="AL14" s="267">
        <f t="shared" si="35"/>
        <v>-3.2516250000000003E-2</v>
      </c>
      <c r="AM14" s="35">
        <f>IF(ISNUMBER('Courier_M.'!O14),'Courier_M.'!O14,"")</f>
        <v>29.30029296875</v>
      </c>
      <c r="AN14" s="36">
        <f>IF(ISNUMBER(Laboratorio_M!O12),Laboratorio_M!O12,"")</f>
        <v>30.43</v>
      </c>
      <c r="AO14" s="36">
        <f t="shared" si="17"/>
        <v>1.1297070312499997</v>
      </c>
      <c r="AP14" s="267">
        <f t="shared" si="18"/>
        <v>1.1297070312499997</v>
      </c>
      <c r="AQ14" s="161">
        <f t="shared" si="19"/>
        <v>3.7124779206375282</v>
      </c>
      <c r="AR14" s="267"/>
      <c r="AS14" s="267"/>
      <c r="AT14" s="35">
        <f>IF(ISNUMBER('Courier_M.'!S14),'Courier_M.'!S14,0)</f>
        <v>0.90129506587982178</v>
      </c>
      <c r="AU14" s="36">
        <f>IF(ISNUMBER(Laboratorio_M!S12),Laboratorio_M!S12,"")</f>
        <v>0.48599999999999999</v>
      </c>
      <c r="AV14" s="36">
        <f t="shared" si="20"/>
        <v>-0.41529506587982179</v>
      </c>
      <c r="AW14" s="267">
        <f t="shared" si="21"/>
        <v>0.41529506587982179</v>
      </c>
      <c r="AX14" s="161">
        <f t="shared" si="4"/>
        <v>85.451659646053869</v>
      </c>
      <c r="AY14" s="267">
        <f>Calculos_M!$AH$1</f>
        <v>8.3191193181818196E-2</v>
      </c>
      <c r="AZ14" s="267">
        <f t="shared" si="22"/>
        <v>-8.3191193181818196E-2</v>
      </c>
      <c r="BA14" s="35">
        <f>IF(ISNUMBER('Courier_M.'!U14),'Courier_M.'!U14,0)</f>
        <v>56.813716888427734</v>
      </c>
      <c r="BB14" s="36">
        <f>IF(ISNUMBER(Laboratorio_M!U12),Laboratorio_M!U12,"")</f>
        <v>57.497999999999998</v>
      </c>
      <c r="BC14" s="36">
        <f t="shared" si="23"/>
        <v>0.68428311157226318</v>
      </c>
      <c r="BD14" s="267">
        <f t="shared" si="24"/>
        <v>0.68428311157226318</v>
      </c>
      <c r="BE14" s="161">
        <f t="shared" si="5"/>
        <v>1.1900989800902</v>
      </c>
      <c r="BF14" s="267">
        <f>Calculos_M!$AI$1</f>
        <v>1.4830847050619838</v>
      </c>
      <c r="BG14" s="267">
        <f t="shared" si="25"/>
        <v>-1.4830847050619838</v>
      </c>
      <c r="BH14" s="35">
        <f>IF(ISNUMBER('Courier_M.'!W14),'Courier_M.'!W14,"")</f>
        <v>0.85128504037857056</v>
      </c>
      <c r="BI14" s="36">
        <f>IF(ISNUMBER(Laboratorio_M!W12),Laboratorio_M!W12,"")</f>
        <v>0.57299999999999995</v>
      </c>
      <c r="BJ14" s="36">
        <f t="shared" si="26"/>
        <v>-0.2782850403785706</v>
      </c>
      <c r="BK14" s="267">
        <f t="shared" si="27"/>
        <v>0.2782850403785706</v>
      </c>
      <c r="BL14" s="161">
        <f t="shared" si="28"/>
        <v>48.566324673398015</v>
      </c>
      <c r="BM14" s="36"/>
      <c r="BN14" s="161"/>
      <c r="BO14" s="35">
        <f>IF(ISNUMBER('Courier_M.'!Y14),'Courier_M.'!Y14,"")</f>
        <v>2.9153151352326434</v>
      </c>
      <c r="BP14" s="36">
        <f>IF(ISNUMBER(Laboratorio_M!Y12),Laboratorio_M!Y12,"")</f>
        <v>2.08</v>
      </c>
      <c r="BQ14" s="36">
        <f t="shared" si="29"/>
        <v>-0.83531513523264334</v>
      </c>
      <c r="BR14" s="267">
        <f t="shared" si="30"/>
        <v>0.83531513523264334</v>
      </c>
      <c r="BS14" s="161">
        <f t="shared" si="31"/>
        <v>40.159381501569392</v>
      </c>
      <c r="BT14" s="36"/>
      <c r="BU14" s="161"/>
    </row>
    <row r="15" spans="1:73" ht="18" customHeight="1" x14ac:dyDescent="0.2">
      <c r="C15" s="38" t="str">
        <f>DAY(B14) &amp; "-" &amp; MONTH(B14) &amp;"-" &amp; YEAR(B14)</f>
        <v>19-8-2026</v>
      </c>
      <c r="D15" s="35">
        <f>IF(ISNUMBER('Courier_M.'!F14),'Courier_M.'!F14,"")</f>
        <v>20.650722503662109</v>
      </c>
      <c r="E15" s="36">
        <f>IF(ISNUMBER(Laboratorio_M!F12),Laboratorio_M!F12,"")</f>
        <v>22.599</v>
      </c>
      <c r="F15" s="36">
        <f t="shared" si="6"/>
        <v>1.9482774963378908</v>
      </c>
      <c r="G15" s="267">
        <f t="shared" si="7"/>
        <v>1.9482774963378908</v>
      </c>
      <c r="H15" s="161">
        <f t="shared" si="0"/>
        <v>8.6210783500946526</v>
      </c>
      <c r="I15" s="267">
        <f>Calculos_M!$I$1</f>
        <v>2.2302216249999991</v>
      </c>
      <c r="J15" s="267">
        <f t="shared" si="32"/>
        <v>-2.2302216249999991</v>
      </c>
      <c r="K15" s="35">
        <f>IF(ISNUMBER('Courier_M.'!H14),'Courier_M.'!H14,"")</f>
        <v>0.90195196866989136</v>
      </c>
      <c r="L15" s="36">
        <f>IF(ISNUMBER(Laboratorio_M!H12),Laboratorio_M!H12,"")</f>
        <v>1.1180000000000001</v>
      </c>
      <c r="M15" s="36">
        <f t="shared" si="8"/>
        <v>0.21604803133010875</v>
      </c>
      <c r="N15" s="267">
        <f t="shared" si="9"/>
        <v>0.21604803133010875</v>
      </c>
      <c r="O15" s="161">
        <f t="shared" si="1"/>
        <v>19.324510852424755</v>
      </c>
      <c r="P15" s="267">
        <f>Calculos_M!$J$1</f>
        <v>0.382682625</v>
      </c>
      <c r="Q15" s="267">
        <f t="shared" si="33"/>
        <v>-0.382682625</v>
      </c>
      <c r="R15" s="35">
        <f>IF(ISNUMBER('Courier_M.'!J14),'Courier_M.'!J14,"")</f>
        <v>27.238611221313477</v>
      </c>
      <c r="S15" s="36">
        <f>IF(ISNUMBER(Laboratorio_M!J12),Laboratorio_M!J12,"")</f>
        <v>30.82</v>
      </c>
      <c r="T15" s="36">
        <f t="shared" si="10"/>
        <v>3.5813887786865237</v>
      </c>
      <c r="U15" s="267">
        <f t="shared" si="11"/>
        <v>3.5813887786865237</v>
      </c>
      <c r="V15" s="161">
        <f t="shared" si="12"/>
        <v>11.620339969781062</v>
      </c>
      <c r="W15" s="267"/>
      <c r="X15" s="267"/>
      <c r="Y15" s="35">
        <f>IF(ISNUMBER('Courier_M.'!L14),'Courier_M.'!L14,"")</f>
        <v>21.322835922241211</v>
      </c>
      <c r="Z15" s="36">
        <f>IF(ISNUMBER(Laboratorio_M!L12),Laboratorio_M!L12,"")</f>
        <v>23.491</v>
      </c>
      <c r="AA15" s="36">
        <f t="shared" si="13"/>
        <v>2.1681640777587887</v>
      </c>
      <c r="AB15" s="267">
        <f t="shared" si="14"/>
        <v>2.1681640777587887</v>
      </c>
      <c r="AC15" s="161">
        <f t="shared" si="2"/>
        <v>9.2297649217095437</v>
      </c>
      <c r="AD15" s="267">
        <f>Calculos_M!$U$1</f>
        <v>1.0662891477272729</v>
      </c>
      <c r="AE15" s="267">
        <f t="shared" si="34"/>
        <v>-1.0662891477272729</v>
      </c>
      <c r="AF15" s="35">
        <f>IF(ISNUMBER('Courier_M.'!N14),'Courier_M.'!N14,"")</f>
        <v>0.18215537071228027</v>
      </c>
      <c r="AG15" s="36">
        <f>IF(ISNUMBER(Laboratorio_M!N12),Laboratorio_M!N12,"")</f>
        <v>5.0999999999999997E-2</v>
      </c>
      <c r="AH15" s="36">
        <f t="shared" si="15"/>
        <v>-0.13115537071228028</v>
      </c>
      <c r="AI15" s="267">
        <f t="shared" si="16"/>
        <v>0.13115537071228028</v>
      </c>
      <c r="AJ15" s="161">
        <f t="shared" si="3"/>
        <v>257.1673935534908</v>
      </c>
      <c r="AK15" s="267">
        <f>Calculos_M!$V$1</f>
        <v>3.2516250000000003E-2</v>
      </c>
      <c r="AL15" s="267">
        <f t="shared" si="35"/>
        <v>-3.2516250000000003E-2</v>
      </c>
      <c r="AM15" s="35">
        <f>IF(ISNUMBER('Courier_M.'!P14),'Courier_M.'!P14,"")</f>
        <v>28.816394805908203</v>
      </c>
      <c r="AN15" s="36">
        <f>IF(ISNUMBER(Laboratorio_M!P12),Laboratorio_M!P12,"")</f>
        <v>31.43</v>
      </c>
      <c r="AO15" s="36">
        <f t="shared" si="17"/>
        <v>2.6136051940917966</v>
      </c>
      <c r="AP15" s="267">
        <f t="shared" si="18"/>
        <v>2.6136051940917966</v>
      </c>
      <c r="AQ15" s="161">
        <f t="shared" si="19"/>
        <v>8.3156385430855764</v>
      </c>
      <c r="AR15" s="267"/>
      <c r="AS15" s="267"/>
      <c r="AT15" s="35">
        <f>IF(ISNUMBER('Courier_M.'!T14),'Courier_M.'!T14,0)</f>
        <v>0.62800890207290649</v>
      </c>
      <c r="AU15" s="36">
        <f>IF(ISNUMBER(Laboratorio_M!T12),Laboratorio_M!T12,"")</f>
        <v>0.46600000000000003</v>
      </c>
      <c r="AV15" s="36">
        <f t="shared" si="20"/>
        <v>-0.16200890207290647</v>
      </c>
      <c r="AW15" s="267">
        <f t="shared" si="21"/>
        <v>0.16200890207290647</v>
      </c>
      <c r="AX15" s="161">
        <f t="shared" si="4"/>
        <v>34.765858813928425</v>
      </c>
      <c r="AY15" s="267">
        <f>Calculos_M!$AH$1</f>
        <v>8.3191193181818196E-2</v>
      </c>
      <c r="AZ15" s="267">
        <f t="shared" si="22"/>
        <v>-8.3191193181818196E-2</v>
      </c>
      <c r="BA15" s="35">
        <f>IF(ISNUMBER('Courier_M.'!V14),'Courier_M.'!V14,0)</f>
        <v>56.694122314453125</v>
      </c>
      <c r="BB15" s="36">
        <f>IF(ISNUMBER(Laboratorio_M!V12),Laboratorio_M!V12,"")</f>
        <v>57.186</v>
      </c>
      <c r="BC15" s="36">
        <f t="shared" si="23"/>
        <v>0.49187768554687494</v>
      </c>
      <c r="BD15" s="267">
        <f t="shared" si="24"/>
        <v>0.49187768554687494</v>
      </c>
      <c r="BE15" s="161">
        <f t="shared" si="5"/>
        <v>0.86013654661433736</v>
      </c>
      <c r="BF15" s="267">
        <f>Calculos_M!$AI$1</f>
        <v>1.4830847050619838</v>
      </c>
      <c r="BG15" s="267">
        <f t="shared" si="25"/>
        <v>-1.4830847050619838</v>
      </c>
      <c r="BH15" s="35">
        <f>IF(ISNUMBER('Courier_M.'!X14),'Courier_M.'!X14,"")</f>
        <v>0.71730285882949829</v>
      </c>
      <c r="BI15" s="36">
        <f>IF(ISNUMBER(Laboratorio_M!X12),Laboratorio_M!X12,"")</f>
        <v>0.65</v>
      </c>
      <c r="BJ15" s="36">
        <f t="shared" si="26"/>
        <v>-6.7302858829498269E-2</v>
      </c>
      <c r="BK15" s="267">
        <f t="shared" si="27"/>
        <v>6.7302858829498269E-2</v>
      </c>
      <c r="BL15" s="161">
        <f t="shared" si="28"/>
        <v>10.354285973768965</v>
      </c>
      <c r="BM15" s="36"/>
      <c r="BN15" s="161"/>
      <c r="BO15" s="35">
        <f>IF(ISNUMBER('Courier_M.'!Z14),'Courier_M.'!Z14,"")</f>
        <v>3.2224586133576922</v>
      </c>
      <c r="BP15" s="36">
        <f>IF(ISNUMBER(Laboratorio_M!Z12),Laboratorio_M!Z12,"")</f>
        <v>2.46</v>
      </c>
      <c r="BQ15" s="36">
        <f t="shared" si="29"/>
        <v>-0.76245861335769227</v>
      </c>
      <c r="BR15" s="267">
        <f t="shared" si="30"/>
        <v>0.76245861335769227</v>
      </c>
      <c r="BS15" s="161">
        <f t="shared" si="31"/>
        <v>30.994252575515947</v>
      </c>
      <c r="BT15" s="36"/>
      <c r="BU15" s="161"/>
    </row>
    <row r="16" spans="1:73" ht="18" customHeight="1" x14ac:dyDescent="0.2">
      <c r="A16">
        <f>+A14+1</f>
        <v>7</v>
      </c>
      <c r="B16" s="7">
        <f>+B14+1</f>
        <v>46254</v>
      </c>
      <c r="C16" s="7" t="str">
        <f>DAY(B16) &amp; "-" &amp; MONTH(B16) &amp;"-" &amp; YEAR(B16)</f>
        <v>20-8-2026</v>
      </c>
      <c r="D16" s="35">
        <f>IF(ISNUMBER('Courier_M.'!E15),'Courier_M.'!E15,"")</f>
        <v>21.281415939331055</v>
      </c>
      <c r="E16" s="36">
        <f>IF(ISNUMBER(Laboratorio_M!E13),Laboratorio_M!E13,"")</f>
        <v>21.242999999999999</v>
      </c>
      <c r="F16" s="36">
        <f t="shared" si="6"/>
        <v>-3.8415939331056137E-2</v>
      </c>
      <c r="G16" s="267">
        <f t="shared" si="7"/>
        <v>3.8415939331056137E-2</v>
      </c>
      <c r="H16" s="161">
        <f t="shared" si="0"/>
        <v>0.18084046194537562</v>
      </c>
      <c r="I16" s="267">
        <f>Calculos_M!$I$1</f>
        <v>2.2302216249999991</v>
      </c>
      <c r="J16" s="267">
        <f t="shared" si="32"/>
        <v>-2.2302216249999991</v>
      </c>
      <c r="K16" s="35">
        <f>IF(ISNUMBER('Courier_M.'!G15),'Courier_M.'!G15,"")</f>
        <v>1.2089604139328003</v>
      </c>
      <c r="L16" s="36">
        <f>IF(ISNUMBER(Laboratorio_M!G13),Laboratorio_M!G13,"")</f>
        <v>1.2949999999999999</v>
      </c>
      <c r="M16" s="36">
        <f t="shared" si="8"/>
        <v>8.6039586067199636E-2</v>
      </c>
      <c r="N16" s="267">
        <f t="shared" si="9"/>
        <v>8.6039586067199636E-2</v>
      </c>
      <c r="O16" s="161">
        <f t="shared" si="1"/>
        <v>6.6439834800926372</v>
      </c>
      <c r="P16" s="267">
        <f>Calculos_M!$J$1</f>
        <v>0.382682625</v>
      </c>
      <c r="Q16" s="267">
        <f t="shared" si="33"/>
        <v>-0.382682625</v>
      </c>
      <c r="R16" s="35">
        <f>IF(ISNUMBER('Courier_M.'!I15),'Courier_M.'!I15,"")</f>
        <v>28.074106216430664</v>
      </c>
      <c r="S16" s="36">
        <f>IF(ISNUMBER(Laboratorio_M!I13),Laboratorio_M!I13,"")</f>
        <v>29.01</v>
      </c>
      <c r="T16" s="36">
        <f t="shared" si="10"/>
        <v>0.9358937835693375</v>
      </c>
      <c r="U16" s="267">
        <f t="shared" si="11"/>
        <v>0.9358937835693375</v>
      </c>
      <c r="V16" s="161">
        <f t="shared" si="12"/>
        <v>3.2261074924830657</v>
      </c>
      <c r="W16" s="267"/>
      <c r="X16" s="267"/>
      <c r="Y16" s="35">
        <f>IF(ISNUMBER('Courier_M.'!K15),'Courier_M.'!K15,"")</f>
        <v>19.861064910888672</v>
      </c>
      <c r="Z16" s="36">
        <f>IF(ISNUMBER(Laboratorio_M!K13),Laboratorio_M!K13,"")</f>
        <v>22.138999999999999</v>
      </c>
      <c r="AA16" s="36">
        <f t="shared" si="13"/>
        <v>2.2779350891113275</v>
      </c>
      <c r="AB16" s="267">
        <f t="shared" si="14"/>
        <v>2.2779350891113275</v>
      </c>
      <c r="AC16" s="161">
        <f t="shared" si="2"/>
        <v>10.289241108954007</v>
      </c>
      <c r="AD16" s="267">
        <f>Calculos_M!$U$1</f>
        <v>1.0662891477272729</v>
      </c>
      <c r="AE16" s="267">
        <f t="shared" si="34"/>
        <v>-1.0662891477272729</v>
      </c>
      <c r="AF16" s="35">
        <f>IF(ISNUMBER('Courier_M.'!M15),'Courier_M.'!M15,"")</f>
        <v>0.67277532815933228</v>
      </c>
      <c r="AG16" s="36">
        <f>IF(ISNUMBER(Laboratorio_M!M13),Laboratorio_M!M13,"")</f>
        <v>4.3999999999999997E-2</v>
      </c>
      <c r="AH16" s="36">
        <f t="shared" si="15"/>
        <v>-0.62877532815933224</v>
      </c>
      <c r="AI16" s="267">
        <f t="shared" si="16"/>
        <v>0.62877532815933224</v>
      </c>
      <c r="AJ16" s="161">
        <f t="shared" si="3"/>
        <v>1429.0348367257552</v>
      </c>
      <c r="AK16" s="267">
        <f>Calculos_M!$V$1</f>
        <v>3.2516250000000003E-2</v>
      </c>
      <c r="AL16" s="267">
        <f t="shared" si="35"/>
        <v>-3.2516250000000003E-2</v>
      </c>
      <c r="AM16" s="35">
        <f>IF(ISNUMBER('Courier_M.'!O15),'Courier_M.'!O15,"")</f>
        <v>28.955646514892578</v>
      </c>
      <c r="AN16" s="36">
        <f>IF(ISNUMBER(Laboratorio_M!O13),Laboratorio_M!O13,"")</f>
        <v>30.03</v>
      </c>
      <c r="AO16" s="36">
        <f t="shared" si="17"/>
        <v>1.074353485107423</v>
      </c>
      <c r="AP16" s="267">
        <f t="shared" si="18"/>
        <v>1.074353485107423</v>
      </c>
      <c r="AQ16" s="161">
        <f t="shared" si="19"/>
        <v>3.5776006830084013</v>
      </c>
      <c r="AR16" s="267"/>
      <c r="AS16" s="267"/>
      <c r="AT16" s="35">
        <f>IF(ISNUMBER('Courier_M.'!S15),'Courier_M.'!S15,0)</f>
        <v>0.64794796705245972</v>
      </c>
      <c r="AU16" s="36">
        <f>IF(ISNUMBER(Laboratorio_M!S13),Laboratorio_M!S13,"")</f>
        <v>0.53</v>
      </c>
      <c r="AV16" s="36">
        <f t="shared" si="20"/>
        <v>-0.11794796705245969</v>
      </c>
      <c r="AW16" s="267">
        <f t="shared" si="21"/>
        <v>0.11794796705245969</v>
      </c>
      <c r="AX16" s="161">
        <f t="shared" si="4"/>
        <v>22.25433340612447</v>
      </c>
      <c r="AY16" s="267">
        <f>Calculos_M!$AH$1</f>
        <v>8.3191193181818196E-2</v>
      </c>
      <c r="AZ16" s="267">
        <f t="shared" si="22"/>
        <v>-8.3191193181818196E-2</v>
      </c>
      <c r="BA16" s="35">
        <f>IF(ISNUMBER('Courier_M.'!U15),'Courier_M.'!U15,0)</f>
        <v>56.881526947021484</v>
      </c>
      <c r="BB16" s="36">
        <f>IF(ISNUMBER(Laboratorio_M!U13),Laboratorio_M!U13,"")</f>
        <v>56.895000000000003</v>
      </c>
      <c r="BC16" s="36">
        <f t="shared" si="23"/>
        <v>1.3473052978518751E-2</v>
      </c>
      <c r="BD16" s="267">
        <f t="shared" si="24"/>
        <v>1.3473052978518751E-2</v>
      </c>
      <c r="BE16" s="161">
        <f t="shared" si="5"/>
        <v>2.3680557128954654E-2</v>
      </c>
      <c r="BF16" s="267">
        <f>Calculos_M!$AI$1</f>
        <v>1.4830847050619838</v>
      </c>
      <c r="BG16" s="267">
        <f t="shared" si="25"/>
        <v>-1.4830847050619838</v>
      </c>
      <c r="BH16" s="35">
        <f>IF(ISNUMBER('Courier_M.'!W15),'Courier_M.'!W15,"")</f>
        <v>0.73414802551269531</v>
      </c>
      <c r="BI16" s="36">
        <f>IF(ISNUMBER(Laboratorio_M!W13),Laboratorio_M!W13,"")</f>
        <v>0.84299999999999997</v>
      </c>
      <c r="BJ16" s="36">
        <f t="shared" si="26"/>
        <v>0.10885197448730466</v>
      </c>
      <c r="BK16" s="267">
        <f t="shared" si="27"/>
        <v>0.10885197448730466</v>
      </c>
      <c r="BL16" s="161">
        <f t="shared" si="28"/>
        <v>12.912452489597232</v>
      </c>
      <c r="BM16" s="36"/>
      <c r="BN16" s="161"/>
      <c r="BO16" s="35" t="str">
        <f>IF(ISNUMBER('Courier_M.'!Y15),'Courier_M.'!Y15,"")</f>
        <v/>
      </c>
      <c r="BP16" s="36">
        <f>IF(ISNUMBER(Laboratorio_M!Y13),Laboratorio_M!Y13,"")</f>
        <v>2.4500000000000002</v>
      </c>
      <c r="BQ16" s="36" t="str">
        <f t="shared" si="29"/>
        <v xml:space="preserve"> </v>
      </c>
      <c r="BR16" s="267" t="str">
        <f t="shared" si="30"/>
        <v xml:space="preserve"> </v>
      </c>
      <c r="BS16" s="161" t="str">
        <f t="shared" si="31"/>
        <v xml:space="preserve"> </v>
      </c>
      <c r="BT16" s="36"/>
      <c r="BU16" s="161"/>
    </row>
    <row r="17" spans="1:73" ht="18" customHeight="1" x14ac:dyDescent="0.2">
      <c r="C17" s="38" t="str">
        <f>DAY(B16) &amp; "-" &amp; MONTH(B16) &amp;"-" &amp; YEAR(B16)</f>
        <v>20-8-2026</v>
      </c>
      <c r="D17" s="35">
        <f>IF(ISNUMBER('Courier_M.'!F15),'Courier_M.'!F15,"")</f>
        <v>23.196371078491211</v>
      </c>
      <c r="E17" s="36">
        <f>IF(ISNUMBER(Laboratorio_M!F13),Laboratorio_M!F13,"")</f>
        <v>23.193999999999999</v>
      </c>
      <c r="F17" s="36">
        <f t="shared" si="6"/>
        <v>-2.3710784912118754E-3</v>
      </c>
      <c r="G17" s="267">
        <f t="shared" si="7"/>
        <v>2.3710784912118754E-3</v>
      </c>
      <c r="H17" s="161">
        <f t="shared" si="0"/>
        <v>1.0222809740501318E-2</v>
      </c>
      <c r="I17" s="267">
        <f>Calculos_M!$I$1</f>
        <v>2.2302216249999991</v>
      </c>
      <c r="J17" s="267">
        <f t="shared" si="32"/>
        <v>-2.2302216249999991</v>
      </c>
      <c r="K17" s="35">
        <f>IF(ISNUMBER('Courier_M.'!H15),'Courier_M.'!H15,"")</f>
        <v>1.2117031812667847</v>
      </c>
      <c r="L17" s="36">
        <f>IF(ISNUMBER(Laboratorio_M!H13),Laboratorio_M!H13,"")</f>
        <v>1.2709999999999999</v>
      </c>
      <c r="M17" s="36">
        <f t="shared" si="8"/>
        <v>5.929681873321524E-2</v>
      </c>
      <c r="N17" s="267">
        <f t="shared" si="9"/>
        <v>5.929681873321524E-2</v>
      </c>
      <c r="O17" s="161">
        <f t="shared" si="1"/>
        <v>4.6653673275543071</v>
      </c>
      <c r="P17" s="267">
        <f>Calculos_M!$J$1</f>
        <v>0.382682625</v>
      </c>
      <c r="Q17" s="267">
        <f t="shared" si="33"/>
        <v>-0.382682625</v>
      </c>
      <c r="R17" s="35">
        <f>IF(ISNUMBER('Courier_M.'!J15),'Courier_M.'!J15,"")</f>
        <v>29.422849655151367</v>
      </c>
      <c r="S17" s="36">
        <f>IF(ISNUMBER(Laboratorio_M!J13),Laboratorio_M!J13,"")</f>
        <v>28.32</v>
      </c>
      <c r="T17" s="36">
        <f t="shared" si="10"/>
        <v>-1.1028496551513669</v>
      </c>
      <c r="U17" s="267">
        <f t="shared" si="11"/>
        <v>1.1028496551513669</v>
      </c>
      <c r="V17" s="161">
        <f t="shared" si="12"/>
        <v>3.8942431325966345</v>
      </c>
      <c r="W17" s="267"/>
      <c r="X17" s="267"/>
      <c r="Y17" s="35">
        <f>IF(ISNUMBER('Courier_M.'!L15),'Courier_M.'!L15,"")</f>
        <v>23.91087532043457</v>
      </c>
      <c r="Z17" s="36">
        <f>IF(ISNUMBER(Laboratorio_M!L13),Laboratorio_M!L13,"")</f>
        <v>23.69</v>
      </c>
      <c r="AA17" s="36">
        <f t="shared" si="13"/>
        <v>-0.22087532043456903</v>
      </c>
      <c r="AB17" s="267">
        <f t="shared" si="14"/>
        <v>0.22087532043456903</v>
      </c>
      <c r="AC17" s="161">
        <f t="shared" si="2"/>
        <v>0.93235677684495155</v>
      </c>
      <c r="AD17" s="267">
        <f>Calculos_M!$U$1</f>
        <v>1.0662891477272729</v>
      </c>
      <c r="AE17" s="267">
        <f t="shared" si="34"/>
        <v>-1.0662891477272729</v>
      </c>
      <c r="AF17" s="35">
        <f>IF(ISNUMBER('Courier_M.'!N15),'Courier_M.'!N15,"")</f>
        <v>0.15042237937450409</v>
      </c>
      <c r="AG17" s="36">
        <f>IF(ISNUMBER(Laboratorio_M!N13),Laboratorio_M!N13,"")</f>
        <v>4.2000000000000003E-2</v>
      </c>
      <c r="AH17" s="36">
        <f t="shared" si="15"/>
        <v>-0.10842237937450408</v>
      </c>
      <c r="AI17" s="267">
        <f t="shared" si="16"/>
        <v>0.10842237937450408</v>
      </c>
      <c r="AJ17" s="161">
        <f t="shared" si="3"/>
        <v>258.14852232024782</v>
      </c>
      <c r="AK17" s="267">
        <f>Calculos_M!$V$1</f>
        <v>3.2516250000000003E-2</v>
      </c>
      <c r="AL17" s="267">
        <f t="shared" si="35"/>
        <v>-3.2516250000000003E-2</v>
      </c>
      <c r="AM17" s="35">
        <f>IF(ISNUMBER('Courier_M.'!P15),'Courier_M.'!P15,"")</f>
        <v>29.585695266723633</v>
      </c>
      <c r="AN17" s="36">
        <f>IF(ISNUMBER(Laboratorio_M!P13),Laboratorio_M!P13,"")</f>
        <v>28.87</v>
      </c>
      <c r="AO17" s="36">
        <f t="shared" si="17"/>
        <v>-0.71569526672363182</v>
      </c>
      <c r="AP17" s="267">
        <f t="shared" si="18"/>
        <v>0.71569526672363182</v>
      </c>
      <c r="AQ17" s="161">
        <f t="shared" si="19"/>
        <v>2.479027595163255</v>
      </c>
      <c r="AR17" s="267"/>
      <c r="AS17" s="267"/>
      <c r="AT17" s="35">
        <f>IF(ISNUMBER('Courier_M.'!T15),'Courier_M.'!T15,0)</f>
        <v>0.52867209911346436</v>
      </c>
      <c r="AU17" s="36">
        <f>IF(ISNUMBER(Laboratorio_M!T13),Laboratorio_M!T13,"")</f>
        <v>0.79800000000000004</v>
      </c>
      <c r="AV17" s="36">
        <f t="shared" si="20"/>
        <v>0.26932790088653569</v>
      </c>
      <c r="AW17" s="267">
        <f t="shared" si="21"/>
        <v>0.26932790088653569</v>
      </c>
      <c r="AX17" s="161">
        <f t="shared" si="4"/>
        <v>33.750363519616002</v>
      </c>
      <c r="AY17" s="267">
        <f>Calculos_M!$AH$1</f>
        <v>8.3191193181818196E-2</v>
      </c>
      <c r="AZ17" s="267">
        <f t="shared" si="22"/>
        <v>-8.3191193181818196E-2</v>
      </c>
      <c r="BA17" s="35">
        <f>IF(ISNUMBER('Courier_M.'!V15),'Courier_M.'!V15,0)</f>
        <v>56.233108520507813</v>
      </c>
      <c r="BB17" s="36">
        <f>IF(ISNUMBER(Laboratorio_M!V13),Laboratorio_M!V13,"")</f>
        <v>54.981000000000002</v>
      </c>
      <c r="BC17" s="36">
        <f t="shared" si="23"/>
        <v>-1.2521085205078109</v>
      </c>
      <c r="BD17" s="267">
        <f t="shared" si="24"/>
        <v>1.2521085205078109</v>
      </c>
      <c r="BE17" s="161">
        <f t="shared" si="5"/>
        <v>2.2773476664808041</v>
      </c>
      <c r="BF17" s="267">
        <f>Calculos_M!$AI$1</f>
        <v>1.4830847050619838</v>
      </c>
      <c r="BG17" s="267">
        <f t="shared" si="25"/>
        <v>-1.4830847050619838</v>
      </c>
      <c r="BH17" s="35">
        <f>IF(ISNUMBER('Courier_M.'!X15),'Courier_M.'!X15,"")</f>
        <v>0.89357143640518188</v>
      </c>
      <c r="BI17" s="36">
        <f>IF(ISNUMBER(Laboratorio_M!X13),Laboratorio_M!X13,"")</f>
        <v>2.41</v>
      </c>
      <c r="BJ17" s="36">
        <f t="shared" si="26"/>
        <v>1.5164285635948183</v>
      </c>
      <c r="BK17" s="267">
        <f t="shared" si="27"/>
        <v>1.5164285635948183</v>
      </c>
      <c r="BL17" s="161">
        <f t="shared" si="28"/>
        <v>62.922347037129391</v>
      </c>
      <c r="BM17" s="36"/>
      <c r="BN17" s="161"/>
      <c r="BO17" s="35">
        <f>IF(ISNUMBER('Courier_M.'!Z15),'Courier_M.'!Z15,"")</f>
        <v>2.5474700808363719</v>
      </c>
      <c r="BP17" s="36">
        <f>IF(ISNUMBER(Laboratorio_M!Z13),Laboratorio_M!Z13,"")</f>
        <v>1.94</v>
      </c>
      <c r="BQ17" s="36">
        <f t="shared" si="29"/>
        <v>-0.607470080836372</v>
      </c>
      <c r="BR17" s="267">
        <f t="shared" si="30"/>
        <v>0.607470080836372</v>
      </c>
      <c r="BS17" s="161">
        <f t="shared" si="31"/>
        <v>31.312890764761441</v>
      </c>
      <c r="BT17" s="36"/>
      <c r="BU17" s="161"/>
    </row>
    <row r="18" spans="1:73" ht="18" customHeight="1" x14ac:dyDescent="0.2">
      <c r="A18">
        <f>+A16+1</f>
        <v>8</v>
      </c>
      <c r="B18" s="7">
        <f>+B16+1</f>
        <v>46255</v>
      </c>
      <c r="C18" s="7" t="str">
        <f>DAY(B18) &amp; "-" &amp; MONTH(B18) &amp;"-" &amp; YEAR(B18)</f>
        <v>21-8-2026</v>
      </c>
      <c r="D18" s="35">
        <f>IF(ISNUMBER('Courier_M.'!E16),'Courier_M.'!E16,"")</f>
        <v>22.85761833190918</v>
      </c>
      <c r="E18" s="36" t="str">
        <f>IF(ISNUMBER(Laboratorio_M!E14),Laboratorio_M!E14,"")</f>
        <v/>
      </c>
      <c r="F18" s="36" t="str">
        <f t="shared" si="6"/>
        <v xml:space="preserve"> </v>
      </c>
      <c r="G18" s="267" t="str">
        <f t="shared" si="7"/>
        <v xml:space="preserve"> </v>
      </c>
      <c r="H18" s="161" t="str">
        <f t="shared" si="0"/>
        <v xml:space="preserve"> </v>
      </c>
      <c r="I18" s="267">
        <f>Calculos_M!$I$1</f>
        <v>2.2302216249999991</v>
      </c>
      <c r="J18" s="267">
        <f t="shared" si="32"/>
        <v>-2.2302216249999991</v>
      </c>
      <c r="K18" s="35">
        <f>IF(ISNUMBER('Courier_M.'!G16),'Courier_M.'!G16,"")</f>
        <v>1.44896399974823</v>
      </c>
      <c r="L18" s="36" t="str">
        <f>IF(ISNUMBER(Laboratorio_M!G14),Laboratorio_M!G14,"")</f>
        <v/>
      </c>
      <c r="M18" s="36" t="str">
        <f t="shared" si="8"/>
        <v xml:space="preserve"> </v>
      </c>
      <c r="N18" s="267" t="str">
        <f t="shared" si="9"/>
        <v xml:space="preserve"> </v>
      </c>
      <c r="O18" s="161" t="str">
        <f t="shared" si="1"/>
        <v xml:space="preserve"> </v>
      </c>
      <c r="P18" s="267">
        <f>Calculos_M!$J$1</f>
        <v>0.382682625</v>
      </c>
      <c r="Q18" s="267">
        <f t="shared" si="33"/>
        <v>-0.382682625</v>
      </c>
      <c r="R18" s="35">
        <f>IF(ISNUMBER('Courier_M.'!I16),'Courier_M.'!I16,"")</f>
        <v>29.535423278808594</v>
      </c>
      <c r="S18" s="36" t="str">
        <f>IF(ISNUMBER(Laboratorio_M!I14),Laboratorio_M!I14,"")</f>
        <v/>
      </c>
      <c r="T18" s="36" t="str">
        <f t="shared" si="10"/>
        <v xml:space="preserve"> </v>
      </c>
      <c r="U18" s="267" t="str">
        <f t="shared" si="11"/>
        <v xml:space="preserve"> </v>
      </c>
      <c r="V18" s="161" t="str">
        <f t="shared" si="12"/>
        <v xml:space="preserve"> </v>
      </c>
      <c r="W18" s="267"/>
      <c r="X18" s="267"/>
      <c r="Y18" s="35">
        <f>IF(ISNUMBER('Courier_M.'!K16),'Courier_M.'!K16,"")</f>
        <v>22.782251358032227</v>
      </c>
      <c r="Z18" s="36" t="str">
        <f>IF(ISNUMBER(Laboratorio_M!K14),Laboratorio_M!K14,"")</f>
        <v/>
      </c>
      <c r="AA18" s="36" t="str">
        <f t="shared" si="13"/>
        <v xml:space="preserve"> </v>
      </c>
      <c r="AB18" s="267" t="str">
        <f t="shared" si="14"/>
        <v xml:space="preserve"> </v>
      </c>
      <c r="AC18" s="161" t="str">
        <f t="shared" si="2"/>
        <v xml:space="preserve"> </v>
      </c>
      <c r="AD18" s="267">
        <f>Calculos_M!$U$1</f>
        <v>1.0662891477272729</v>
      </c>
      <c r="AE18" s="267">
        <f t="shared" si="34"/>
        <v>-1.0662891477272729</v>
      </c>
      <c r="AF18" s="35">
        <f>IF(ISNUMBER('Courier_M.'!M16),'Courier_M.'!M16,"")</f>
        <v>0.28837582468986511</v>
      </c>
      <c r="AG18" s="36" t="str">
        <f>IF(ISNUMBER(Laboratorio_M!M14),Laboratorio_M!M14,"")</f>
        <v/>
      </c>
      <c r="AH18" s="36" t="str">
        <f t="shared" si="15"/>
        <v xml:space="preserve"> </v>
      </c>
      <c r="AI18" s="267" t="str">
        <f t="shared" si="16"/>
        <v xml:space="preserve"> </v>
      </c>
      <c r="AJ18" s="161" t="str">
        <f t="shared" si="3"/>
        <v xml:space="preserve"> </v>
      </c>
      <c r="AK18" s="267">
        <f>Calculos_M!$V$1</f>
        <v>3.2516250000000003E-2</v>
      </c>
      <c r="AL18" s="267">
        <f t="shared" si="35"/>
        <v>-3.2516250000000003E-2</v>
      </c>
      <c r="AM18" s="35">
        <f>IF(ISNUMBER('Courier_M.'!O16),'Courier_M.'!O16,"")</f>
        <v>29.079889297485352</v>
      </c>
      <c r="AN18" s="36" t="str">
        <f>IF(ISNUMBER(Laboratorio_M!O14),Laboratorio_M!O14,"")</f>
        <v/>
      </c>
      <c r="AO18" s="36" t="str">
        <f t="shared" si="17"/>
        <v xml:space="preserve"> </v>
      </c>
      <c r="AP18" s="267" t="str">
        <f t="shared" si="18"/>
        <v xml:space="preserve"> </v>
      </c>
      <c r="AQ18" s="161" t="str">
        <f t="shared" si="19"/>
        <v xml:space="preserve"> </v>
      </c>
      <c r="AR18" s="267"/>
      <c r="AS18" s="267"/>
      <c r="AT18" s="35">
        <f>IF(ISNUMBER('Courier_M.'!S16),'Courier_M.'!S16,0)</f>
        <v>0.58700937032699585</v>
      </c>
      <c r="AU18" s="36" t="str">
        <f>IF(ISNUMBER(Laboratorio_M!S14),Laboratorio_M!S14,"")</f>
        <v/>
      </c>
      <c r="AV18" s="36" t="str">
        <f t="shared" si="20"/>
        <v xml:space="preserve"> </v>
      </c>
      <c r="AW18" s="267" t="str">
        <f t="shared" si="21"/>
        <v xml:space="preserve"> </v>
      </c>
      <c r="AX18" s="161" t="str">
        <f t="shared" si="4"/>
        <v xml:space="preserve"> </v>
      </c>
      <c r="AY18" s="267">
        <f>Calculos_M!$AH$1</f>
        <v>8.3191193181818196E-2</v>
      </c>
      <c r="AZ18" s="267">
        <f t="shared" si="22"/>
        <v>-8.3191193181818196E-2</v>
      </c>
      <c r="BA18" s="35">
        <f>IF(ISNUMBER('Courier_M.'!U16),'Courier_M.'!U16,0)</f>
        <v>56.782024383544922</v>
      </c>
      <c r="BB18" s="36" t="str">
        <f>IF(ISNUMBER(Laboratorio_M!U14),Laboratorio_M!U14,"")</f>
        <v/>
      </c>
      <c r="BC18" s="36" t="str">
        <f t="shared" si="23"/>
        <v xml:space="preserve"> </v>
      </c>
      <c r="BD18" s="267" t="str">
        <f t="shared" si="24"/>
        <v xml:space="preserve"> </v>
      </c>
      <c r="BE18" s="161" t="str">
        <f t="shared" si="5"/>
        <v xml:space="preserve"> </v>
      </c>
      <c r="BF18" s="267">
        <f>Calculos_M!$AI$1</f>
        <v>1.4830847050619838</v>
      </c>
      <c r="BG18" s="267">
        <f t="shared" si="25"/>
        <v>-1.4830847050619838</v>
      </c>
      <c r="BH18" s="35">
        <f>IF(ISNUMBER('Courier_M.'!W16),'Courier_M.'!W16,"")</f>
        <v>0.76169872283935547</v>
      </c>
      <c r="BI18" s="36" t="str">
        <f>IF(ISNUMBER(Laboratorio_M!W14),Laboratorio_M!W14,"")</f>
        <v/>
      </c>
      <c r="BJ18" s="36" t="str">
        <f t="shared" si="26"/>
        <v xml:space="preserve"> </v>
      </c>
      <c r="BK18" s="267" t="str">
        <f t="shared" si="27"/>
        <v xml:space="preserve"> </v>
      </c>
      <c r="BL18" s="161" t="str">
        <f t="shared" si="28"/>
        <v xml:space="preserve"> </v>
      </c>
      <c r="BM18" s="36"/>
      <c r="BN18" s="161"/>
      <c r="BO18" s="35" t="str">
        <f>IF(ISNUMBER('Courier_M.'!Y16),'Courier_M.'!Y16,"")</f>
        <v/>
      </c>
      <c r="BP18" s="36" t="str">
        <f>IF(ISNUMBER(Laboratorio_M!Y14),Laboratorio_M!Y14,"")</f>
        <v/>
      </c>
      <c r="BQ18" s="36" t="str">
        <f t="shared" si="29"/>
        <v xml:space="preserve"> </v>
      </c>
      <c r="BR18" s="267" t="str">
        <f t="shared" si="30"/>
        <v xml:space="preserve"> </v>
      </c>
      <c r="BS18" s="161" t="str">
        <f t="shared" si="31"/>
        <v xml:space="preserve"> </v>
      </c>
      <c r="BT18" s="36"/>
      <c r="BU18" s="161"/>
    </row>
    <row r="19" spans="1:73" ht="18" customHeight="1" x14ac:dyDescent="0.2">
      <c r="C19" s="38" t="str">
        <f>DAY(B18) &amp; "-" &amp; MONTH(B18) &amp;"-" &amp; YEAR(B18)</f>
        <v>21-8-2026</v>
      </c>
      <c r="D19" s="35">
        <f>IF(ISNUMBER('Courier_M.'!F16),'Courier_M.'!F16,"")</f>
        <v>23.660287857055664</v>
      </c>
      <c r="E19" s="36">
        <f>IF(ISNUMBER(Laboratorio_M!F14),Laboratorio_M!F14,"")</f>
        <v>23.591000000000001</v>
      </c>
      <c r="F19" s="36">
        <f t="shared" si="6"/>
        <v>-6.9287857055662982E-2</v>
      </c>
      <c r="G19" s="267">
        <f t="shared" si="7"/>
        <v>6.9287857055662982E-2</v>
      </c>
      <c r="H19" s="161">
        <f t="shared" si="0"/>
        <v>0.29370462064203712</v>
      </c>
      <c r="I19" s="267">
        <f>Calculos_M!$I$1</f>
        <v>2.2302216249999991</v>
      </c>
      <c r="J19" s="267">
        <f t="shared" si="32"/>
        <v>-2.2302216249999991</v>
      </c>
      <c r="K19" s="35">
        <f>IF(ISNUMBER('Courier_M.'!H16),'Courier_M.'!H16,"")</f>
        <v>1.2693836688995361</v>
      </c>
      <c r="L19" s="36">
        <f>IF(ISNUMBER(Laboratorio_M!H14),Laboratorio_M!H14,"")</f>
        <v>1.1879999999999999</v>
      </c>
      <c r="M19" s="36">
        <f t="shared" si="8"/>
        <v>-8.1383668899536188E-2</v>
      </c>
      <c r="N19" s="267">
        <f t="shared" si="9"/>
        <v>8.1383668899536188E-2</v>
      </c>
      <c r="O19" s="161">
        <f t="shared" si="1"/>
        <v>6.8504771800956394</v>
      </c>
      <c r="P19" s="267">
        <f>Calculos_M!$J$1</f>
        <v>0.382682625</v>
      </c>
      <c r="Q19" s="267">
        <f t="shared" si="33"/>
        <v>-0.382682625</v>
      </c>
      <c r="R19" s="35">
        <f>IF(ISNUMBER('Courier_M.'!J16),'Courier_M.'!J16,"")</f>
        <v>29.418380737304688</v>
      </c>
      <c r="S19" s="36">
        <f>IF(ISNUMBER(Laboratorio_M!J14),Laboratorio_M!J14,"")</f>
        <v>29.69</v>
      </c>
      <c r="T19" s="36">
        <f t="shared" si="10"/>
        <v>0.27161926269531378</v>
      </c>
      <c r="U19" s="267">
        <f t="shared" si="11"/>
        <v>0.27161926269531378</v>
      </c>
      <c r="V19" s="161">
        <f t="shared" si="12"/>
        <v>0.91485100267872599</v>
      </c>
      <c r="W19" s="267"/>
      <c r="X19" s="267"/>
      <c r="Y19" s="35">
        <f>IF(ISNUMBER('Courier_M.'!L16),'Courier_M.'!L16,"")</f>
        <v>23.487161636352539</v>
      </c>
      <c r="Z19" s="36">
        <f>IF(ISNUMBER(Laboratorio_M!L14),Laboratorio_M!L14,"")</f>
        <v>25.474</v>
      </c>
      <c r="AA19" s="36">
        <f t="shared" si="13"/>
        <v>1.9868383636474611</v>
      </c>
      <c r="AB19" s="267">
        <f t="shared" si="14"/>
        <v>1.9868383636474611</v>
      </c>
      <c r="AC19" s="161">
        <f t="shared" si="2"/>
        <v>7.7994754009871281</v>
      </c>
      <c r="AD19" s="267">
        <f>Calculos_M!$U$1</f>
        <v>1.0662891477272729</v>
      </c>
      <c r="AE19" s="267">
        <f t="shared" si="34"/>
        <v>-1.0662891477272729</v>
      </c>
      <c r="AF19" s="35">
        <f>IF(ISNUMBER('Courier_M.'!N16),'Courier_M.'!N16,"")</f>
        <v>0.38917356729507446</v>
      </c>
      <c r="AG19" s="36">
        <f>IF(ISNUMBER(Laboratorio_M!N14),Laboratorio_M!N14,"")</f>
        <v>0.05</v>
      </c>
      <c r="AH19" s="36">
        <f t="shared" si="15"/>
        <v>-0.33917356729507447</v>
      </c>
      <c r="AI19" s="267">
        <f t="shared" si="16"/>
        <v>0.33917356729507447</v>
      </c>
      <c r="AJ19" s="161">
        <f t="shared" si="3"/>
        <v>678.34713459014893</v>
      </c>
      <c r="AK19" s="267">
        <f>Calculos_M!$V$1</f>
        <v>3.2516250000000003E-2</v>
      </c>
      <c r="AL19" s="267">
        <f t="shared" si="35"/>
        <v>-3.2516250000000003E-2</v>
      </c>
      <c r="AM19" s="35">
        <f>IF(ISNUMBER('Courier_M.'!P16),'Courier_M.'!P16,"")</f>
        <v>29.424104690551758</v>
      </c>
      <c r="AN19" s="36">
        <f>IF(ISNUMBER(Laboratorio_M!P14),Laboratorio_M!P14,"")</f>
        <v>29.77</v>
      </c>
      <c r="AO19" s="36">
        <f t="shared" si="17"/>
        <v>0.34589530944824176</v>
      </c>
      <c r="AP19" s="267">
        <f t="shared" si="18"/>
        <v>0.34589530944824176</v>
      </c>
      <c r="AQ19" s="161">
        <f t="shared" si="19"/>
        <v>1.1618922050663143</v>
      </c>
      <c r="AR19" s="267"/>
      <c r="AS19" s="267"/>
      <c r="AT19" s="35">
        <f>IF(ISNUMBER('Courier_M.'!T16),'Courier_M.'!T16,0)</f>
        <v>0.58700937032699585</v>
      </c>
      <c r="AU19" s="36">
        <f>IF(ISNUMBER(Laboratorio_M!T14),Laboratorio_M!T14,"")</f>
        <v>0.73399999999999999</v>
      </c>
      <c r="AV19" s="36">
        <f t="shared" si="20"/>
        <v>0.14699062967300414</v>
      </c>
      <c r="AW19" s="267">
        <f t="shared" si="21"/>
        <v>0.14699062967300414</v>
      </c>
      <c r="AX19" s="161">
        <f t="shared" si="4"/>
        <v>20.025971345095932</v>
      </c>
      <c r="AY19" s="267">
        <f>Calculos_M!$AH$1</f>
        <v>8.3191193181818196E-2</v>
      </c>
      <c r="AZ19" s="267">
        <f t="shared" si="22"/>
        <v>-8.3191193181818196E-2</v>
      </c>
      <c r="BA19" s="35">
        <f>IF(ISNUMBER('Courier_M.'!V16),'Courier_M.'!V16,0)</f>
        <v>56.782024383544922</v>
      </c>
      <c r="BB19" s="36">
        <f>IF(ISNUMBER(Laboratorio_M!V14),Laboratorio_M!V14,"")</f>
        <v>55.753999999999998</v>
      </c>
      <c r="BC19" s="36">
        <f t="shared" si="23"/>
        <v>-1.0280243835449241</v>
      </c>
      <c r="BD19" s="267">
        <f t="shared" si="24"/>
        <v>1.0280243835449241</v>
      </c>
      <c r="BE19" s="161">
        <f t="shared" si="5"/>
        <v>1.8438576309232058</v>
      </c>
      <c r="BF19" s="267">
        <f>Calculos_M!$AI$1</f>
        <v>1.4830847050619838</v>
      </c>
      <c r="BG19" s="267">
        <f t="shared" si="25"/>
        <v>-1.4830847050619838</v>
      </c>
      <c r="BH19" s="35">
        <f>IF(ISNUMBER('Courier_M.'!X16),'Courier_M.'!X16,"")</f>
        <v>0.76169872283935547</v>
      </c>
      <c r="BI19" s="36">
        <f>IF(ISNUMBER(Laboratorio_M!X14),Laboratorio_M!X14,"")</f>
        <v>1.889</v>
      </c>
      <c r="BJ19" s="36">
        <f t="shared" si="26"/>
        <v>1.1273012771606445</v>
      </c>
      <c r="BK19" s="267">
        <f t="shared" si="27"/>
        <v>1.1273012771606445</v>
      </c>
      <c r="BL19" s="161">
        <f t="shared" si="28"/>
        <v>59.677145429361808</v>
      </c>
      <c r="BM19" s="36"/>
      <c r="BN19" s="161"/>
      <c r="BO19" s="35" t="str">
        <f>IF(ISNUMBER('Courier_M.'!Z16),'Courier_M.'!Z16,"")</f>
        <v/>
      </c>
      <c r="BP19" s="36">
        <f>IF(ISNUMBER(Laboratorio_M!Z14),Laboratorio_M!Z14,"")</f>
        <v>1.85</v>
      </c>
      <c r="BQ19" s="36" t="str">
        <f t="shared" si="29"/>
        <v xml:space="preserve"> </v>
      </c>
      <c r="BR19" s="267" t="str">
        <f t="shared" si="30"/>
        <v xml:space="preserve"> </v>
      </c>
      <c r="BS19" s="161" t="str">
        <f t="shared" si="31"/>
        <v xml:space="preserve"> </v>
      </c>
      <c r="BT19" s="36"/>
      <c r="BU19" s="161"/>
    </row>
    <row r="20" spans="1:73" ht="18" customHeight="1" x14ac:dyDescent="0.2">
      <c r="A20">
        <f>+A18+1</f>
        <v>9</v>
      </c>
      <c r="B20" s="7">
        <f>+B18+1</f>
        <v>46256</v>
      </c>
      <c r="C20" s="7" t="str">
        <f>DAY(B20) &amp; "-" &amp; MONTH(B20) &amp;"-" &amp; YEAR(B20)</f>
        <v>22-8-2026</v>
      </c>
      <c r="D20" s="35">
        <f>IF(ISNUMBER('Courier_M.'!E17),'Courier_M.'!E17,"")</f>
        <v>24.543853759765625</v>
      </c>
      <c r="E20" s="36">
        <f>IF(ISNUMBER(Laboratorio_M!E15),Laboratorio_M!E15,"")</f>
        <v>24.175000000000001</v>
      </c>
      <c r="F20" s="36">
        <f t="shared" si="6"/>
        <v>-0.36885375976562429</v>
      </c>
      <c r="G20" s="267">
        <f t="shared" si="7"/>
        <v>0.36885375976562429</v>
      </c>
      <c r="H20" s="161">
        <f t="shared" si="0"/>
        <v>1.5257652937564603</v>
      </c>
      <c r="I20" s="267">
        <f>Calculos_M!$I$1</f>
        <v>2.2302216249999991</v>
      </c>
      <c r="J20" s="267">
        <f t="shared" si="32"/>
        <v>-2.2302216249999991</v>
      </c>
      <c r="K20" s="35">
        <f>IF(ISNUMBER('Courier_M.'!G17),'Courier_M.'!G17,"")</f>
        <v>1.3908547163009644</v>
      </c>
      <c r="L20" s="36">
        <f>IF(ISNUMBER(Laboratorio_M!G15),Laboratorio_M!G15,"")</f>
        <v>1.6910000000000001</v>
      </c>
      <c r="M20" s="36">
        <f t="shared" si="8"/>
        <v>0.3001452836990357</v>
      </c>
      <c r="N20" s="267">
        <f t="shared" si="9"/>
        <v>0.3001452836990357</v>
      </c>
      <c r="O20" s="161">
        <f t="shared" si="1"/>
        <v>17.74957325245628</v>
      </c>
      <c r="P20" s="267">
        <f>Calculos_M!$J$1</f>
        <v>0.382682625</v>
      </c>
      <c r="Q20" s="267">
        <f t="shared" si="33"/>
        <v>-0.382682625</v>
      </c>
      <c r="R20" s="35">
        <f>IF(ISNUMBER('Courier_M.'!I17),'Courier_M.'!I17,"")</f>
        <v>29.382139205932617</v>
      </c>
      <c r="S20" s="36">
        <f>IF(ISNUMBER(Laboratorio_M!I15),Laboratorio_M!I15,"")</f>
        <v>28</v>
      </c>
      <c r="T20" s="36">
        <f t="shared" si="10"/>
        <v>-1.3821392059326172</v>
      </c>
      <c r="U20" s="267">
        <f t="shared" si="11"/>
        <v>1.3821392059326172</v>
      </c>
      <c r="V20" s="161">
        <f t="shared" si="12"/>
        <v>4.9362114497593472</v>
      </c>
      <c r="W20" s="267"/>
      <c r="X20" s="267"/>
      <c r="Y20" s="35">
        <f>IF(ISNUMBER('Courier_M.'!K17),'Courier_M.'!K17,"")</f>
        <v>25.519594192504883</v>
      </c>
      <c r="Z20" s="36">
        <f>IF(ISNUMBER(Laboratorio_M!K15),Laboratorio_M!K15,"")</f>
        <v>23.376999999999999</v>
      </c>
      <c r="AA20" s="36">
        <f t="shared" si="13"/>
        <v>-2.1425941925048839</v>
      </c>
      <c r="AB20" s="267">
        <f t="shared" si="14"/>
        <v>2.1425941925048839</v>
      </c>
      <c r="AC20" s="161">
        <f t="shared" si="2"/>
        <v>9.1653941588094447</v>
      </c>
      <c r="AD20" s="267">
        <f>Calculos_M!$U$1</f>
        <v>1.0662891477272729</v>
      </c>
      <c r="AE20" s="267">
        <f t="shared" si="34"/>
        <v>-1.0662891477272729</v>
      </c>
      <c r="AF20" s="35">
        <f>IF(ISNUMBER('Courier_M.'!M17),'Courier_M.'!M17,"")</f>
        <v>0.16438183188438416</v>
      </c>
      <c r="AG20" s="36">
        <f>IF(ISNUMBER(Laboratorio_M!M15),Laboratorio_M!M15,"")</f>
        <v>6.7000000000000004E-2</v>
      </c>
      <c r="AH20" s="36">
        <f t="shared" si="15"/>
        <v>-9.7381831884384151E-2</v>
      </c>
      <c r="AI20" s="267">
        <f t="shared" si="16"/>
        <v>9.7381831884384151E-2</v>
      </c>
      <c r="AJ20" s="161">
        <f t="shared" si="3"/>
        <v>145.34601773788677</v>
      </c>
      <c r="AK20" s="267">
        <f>Calculos_M!$V$1</f>
        <v>3.2516250000000003E-2</v>
      </c>
      <c r="AL20" s="267">
        <f t="shared" si="35"/>
        <v>-3.2516250000000003E-2</v>
      </c>
      <c r="AM20" s="35">
        <f>IF(ISNUMBER('Courier_M.'!O17),'Courier_M.'!O17,"")</f>
        <v>29.57487678527832</v>
      </c>
      <c r="AN20" s="36">
        <f>IF(ISNUMBER(Laboratorio_M!O15),Laboratorio_M!O15,"")</f>
        <v>28.91</v>
      </c>
      <c r="AO20" s="36">
        <f t="shared" si="17"/>
        <v>-0.66487678527832017</v>
      </c>
      <c r="AP20" s="267">
        <f t="shared" si="18"/>
        <v>0.66487678527832017</v>
      </c>
      <c r="AQ20" s="161">
        <f t="shared" si="19"/>
        <v>2.2998159297070919</v>
      </c>
      <c r="AR20" s="267"/>
      <c r="AS20" s="267"/>
      <c r="AT20" s="35">
        <f>IF(ISNUMBER('Courier_M.'!S17),'Courier_M.'!S17,0)</f>
        <v>0.58700937032699585</v>
      </c>
      <c r="AU20" s="36" t="str">
        <f>IF(ISNUMBER(Laboratorio_M!S15),Laboratorio_M!S15,"")</f>
        <v/>
      </c>
      <c r="AV20" s="36" t="str">
        <f t="shared" si="20"/>
        <v xml:space="preserve"> </v>
      </c>
      <c r="AW20" s="267" t="str">
        <f t="shared" si="21"/>
        <v xml:space="preserve"> </v>
      </c>
      <c r="AX20" s="161" t="str">
        <f t="shared" si="4"/>
        <v xml:space="preserve"> </v>
      </c>
      <c r="AY20" s="267">
        <f>Calculos_M!$AH$1</f>
        <v>8.3191193181818196E-2</v>
      </c>
      <c r="AZ20" s="267">
        <f t="shared" si="22"/>
        <v>-8.3191193181818196E-2</v>
      </c>
      <c r="BA20" s="35">
        <f>IF(ISNUMBER('Courier_M.'!U17),'Courier_M.'!U17,0)</f>
        <v>56.782024383544922</v>
      </c>
      <c r="BB20" s="36" t="str">
        <f>IF(ISNUMBER(Laboratorio_M!U15),Laboratorio_M!U15,"")</f>
        <v/>
      </c>
      <c r="BC20" s="36" t="str">
        <f t="shared" si="23"/>
        <v xml:space="preserve"> </v>
      </c>
      <c r="BD20" s="267" t="str">
        <f t="shared" si="24"/>
        <v xml:space="preserve"> </v>
      </c>
      <c r="BE20" s="161" t="str">
        <f t="shared" si="5"/>
        <v xml:space="preserve"> </v>
      </c>
      <c r="BF20" s="267">
        <f>Calculos_M!$AI$1</f>
        <v>1.4830847050619838</v>
      </c>
      <c r="BG20" s="267">
        <f t="shared" si="25"/>
        <v>-1.4830847050619838</v>
      </c>
      <c r="BH20" s="35">
        <f>IF(ISNUMBER('Courier_M.'!W17),'Courier_M.'!W17,"")</f>
        <v>0.76169872283935547</v>
      </c>
      <c r="BI20" s="36" t="str">
        <f>IF(ISNUMBER(Laboratorio_M!W15),Laboratorio_M!W15,"")</f>
        <v/>
      </c>
      <c r="BJ20" s="36" t="str">
        <f t="shared" si="26"/>
        <v xml:space="preserve"> </v>
      </c>
      <c r="BK20" s="267" t="str">
        <f t="shared" si="27"/>
        <v xml:space="preserve"> </v>
      </c>
      <c r="BL20" s="161" t="str">
        <f t="shared" si="28"/>
        <v xml:space="preserve"> </v>
      </c>
      <c r="BM20" s="36"/>
      <c r="BN20" s="161"/>
      <c r="BO20" s="35" t="str">
        <f>IF(ISNUMBER('Courier_M.'!Y17),'Courier_M.'!Y17,"")</f>
        <v/>
      </c>
      <c r="BP20" s="36" t="str">
        <f>IF(ISNUMBER(Laboratorio_M!Y15),Laboratorio_M!Y15,"")</f>
        <v/>
      </c>
      <c r="BQ20" s="36" t="str">
        <f t="shared" si="29"/>
        <v xml:space="preserve"> </v>
      </c>
      <c r="BR20" s="267" t="str">
        <f t="shared" si="30"/>
        <v xml:space="preserve"> </v>
      </c>
      <c r="BS20" s="161" t="str">
        <f t="shared" si="31"/>
        <v xml:space="preserve"> </v>
      </c>
      <c r="BT20" s="36"/>
      <c r="BU20" s="161"/>
    </row>
    <row r="21" spans="1:73" ht="18" customHeight="1" x14ac:dyDescent="0.2">
      <c r="C21" s="38" t="str">
        <f>DAY(B20) &amp; "-" &amp; MONTH(B20) &amp;"-" &amp; YEAR(B20)</f>
        <v>22-8-2026</v>
      </c>
      <c r="D21" s="35">
        <f>IF(ISNUMBER('Courier_M.'!F17),'Courier_M.'!F17,"")</f>
        <v>24.543853759765625</v>
      </c>
      <c r="E21" s="36">
        <f>IF(ISNUMBER(Laboratorio_M!F15),Laboratorio_M!F15,"")</f>
        <v>23.88</v>
      </c>
      <c r="F21" s="36">
        <f t="shared" si="6"/>
        <v>-0.66385375976562599</v>
      </c>
      <c r="G21" s="267">
        <f t="shared" si="7"/>
        <v>0.66385375976562599</v>
      </c>
      <c r="H21" s="161">
        <f t="shared" si="0"/>
        <v>2.7799571179465077</v>
      </c>
      <c r="I21" s="267">
        <f>Calculos_M!$I$1</f>
        <v>2.2302216249999991</v>
      </c>
      <c r="J21" s="267">
        <f t="shared" si="32"/>
        <v>-2.2302216249999991</v>
      </c>
      <c r="K21" s="35">
        <f>IF(ISNUMBER('Courier_M.'!H17),'Courier_M.'!H17,"")</f>
        <v>1.3908547163009644</v>
      </c>
      <c r="L21" s="36">
        <f>IF(ISNUMBER(Laboratorio_M!H15),Laboratorio_M!H15,"")</f>
        <v>1.782</v>
      </c>
      <c r="M21" s="36">
        <f t="shared" si="8"/>
        <v>0.39114528369903567</v>
      </c>
      <c r="N21" s="267">
        <f t="shared" si="9"/>
        <v>0.39114528369903567</v>
      </c>
      <c r="O21" s="161">
        <f t="shared" si="1"/>
        <v>21.949791453369006</v>
      </c>
      <c r="P21" s="267">
        <f>Calculos_M!$J$1</f>
        <v>0.382682625</v>
      </c>
      <c r="Q21" s="267">
        <f t="shared" si="33"/>
        <v>-0.382682625</v>
      </c>
      <c r="R21" s="35">
        <f>IF(ISNUMBER('Courier_M.'!J17),'Courier_M.'!J17,"")</f>
        <v>29.382139205932617</v>
      </c>
      <c r="S21" s="36">
        <f>IF(ISNUMBER(Laboratorio_M!J15),Laboratorio_M!J15,"")</f>
        <v>27.25</v>
      </c>
      <c r="T21" s="36">
        <f t="shared" si="10"/>
        <v>-2.1321392059326172</v>
      </c>
      <c r="U21" s="267">
        <f t="shared" si="11"/>
        <v>2.1321392059326172</v>
      </c>
      <c r="V21" s="161">
        <f t="shared" si="12"/>
        <v>7.8243640584683192</v>
      </c>
      <c r="W21" s="267"/>
      <c r="X21" s="267"/>
      <c r="Y21" s="35">
        <f>IF(ISNUMBER('Courier_M.'!L17),'Courier_M.'!L17,"")</f>
        <v>25.519594192504883</v>
      </c>
      <c r="Z21" s="36">
        <f>IF(ISNUMBER(Laboratorio_M!L15),Laboratorio_M!L15,"")</f>
        <v>22.786000000000001</v>
      </c>
      <c r="AA21" s="36">
        <f t="shared" si="13"/>
        <v>-2.7335941925048814</v>
      </c>
      <c r="AB21" s="267">
        <f t="shared" si="14"/>
        <v>2.7335941925048814</v>
      </c>
      <c r="AC21" s="161">
        <f t="shared" si="2"/>
        <v>11.9968146778938</v>
      </c>
      <c r="AD21" s="267">
        <f>Calculos_M!$U$1</f>
        <v>1.0662891477272729</v>
      </c>
      <c r="AE21" s="267">
        <f t="shared" si="34"/>
        <v>-1.0662891477272729</v>
      </c>
      <c r="AF21" s="35">
        <f>IF(ISNUMBER('Courier_M.'!N17),'Courier_M.'!N17,"")</f>
        <v>0.16438183188438416</v>
      </c>
      <c r="AG21" s="36">
        <f>IF(ISNUMBER(Laboratorio_M!N15),Laboratorio_M!N15,"")</f>
        <v>0.104</v>
      </c>
      <c r="AH21" s="36">
        <f t="shared" si="15"/>
        <v>-6.038183188438416E-2</v>
      </c>
      <c r="AI21" s="267">
        <f t="shared" si="16"/>
        <v>6.038183188438416E-2</v>
      </c>
      <c r="AJ21" s="161">
        <f t="shared" si="3"/>
        <v>58.059453734984764</v>
      </c>
      <c r="AK21" s="267">
        <f>Calculos_M!$V$1</f>
        <v>3.2516250000000003E-2</v>
      </c>
      <c r="AL21" s="267">
        <f t="shared" si="35"/>
        <v>-3.2516250000000003E-2</v>
      </c>
      <c r="AM21" s="35">
        <f>IF(ISNUMBER('Courier_M.'!P17),'Courier_M.'!P17,"")</f>
        <v>29.57487678527832</v>
      </c>
      <c r="AN21" s="36">
        <f>IF(ISNUMBER(Laboratorio_M!P15),Laboratorio_M!P15,"")</f>
        <v>28.84</v>
      </c>
      <c r="AO21" s="36">
        <f t="shared" si="17"/>
        <v>-0.73487678527832045</v>
      </c>
      <c r="AP21" s="267">
        <f t="shared" si="18"/>
        <v>0.73487678527832045</v>
      </c>
      <c r="AQ21" s="161">
        <f t="shared" si="19"/>
        <v>2.5481164538083236</v>
      </c>
      <c r="AR21" s="267"/>
      <c r="AS21" s="267"/>
      <c r="AT21" s="35">
        <f>IF(ISNUMBER('Courier_M.'!T17),'Courier_M.'!T17,0)</f>
        <v>0.58700937032699585</v>
      </c>
      <c r="AU21" s="36">
        <f>IF(ISNUMBER(Laboratorio_M!T15),Laboratorio_M!T15,"")</f>
        <v>2.198</v>
      </c>
      <c r="AV21" s="36">
        <f t="shared" si="20"/>
        <v>1.6109906296730041</v>
      </c>
      <c r="AW21" s="267">
        <f t="shared" si="21"/>
        <v>1.6109906296730041</v>
      </c>
      <c r="AX21" s="161">
        <f t="shared" si="4"/>
        <v>73.29347723717035</v>
      </c>
      <c r="AY21" s="267">
        <f>Calculos_M!$AH$1</f>
        <v>8.3191193181818196E-2</v>
      </c>
      <c r="AZ21" s="267">
        <f t="shared" si="22"/>
        <v>-8.3191193181818196E-2</v>
      </c>
      <c r="BA21" s="35">
        <f>IF(ISNUMBER('Courier_M.'!V17),'Courier_M.'!V17,0)</f>
        <v>56.782024383544922</v>
      </c>
      <c r="BB21" s="36">
        <f>IF(ISNUMBER(Laboratorio_M!V15),Laboratorio_M!V15,"")</f>
        <v>51.384</v>
      </c>
      <c r="BC21" s="36">
        <f t="shared" si="23"/>
        <v>-5.3980243835449215</v>
      </c>
      <c r="BD21" s="267">
        <f t="shared" si="24"/>
        <v>5.3980243835449215</v>
      </c>
      <c r="BE21" s="161">
        <f t="shared" si="5"/>
        <v>10.505263084899816</v>
      </c>
      <c r="BF21" s="267">
        <f>Calculos_M!$AI$1</f>
        <v>1.4830847050619838</v>
      </c>
      <c r="BG21" s="267">
        <f t="shared" si="25"/>
        <v>-1.4830847050619838</v>
      </c>
      <c r="BH21" s="35">
        <f>IF(ISNUMBER('Courier_M.'!X17),'Courier_M.'!X17,"")</f>
        <v>0.76169872283935547</v>
      </c>
      <c r="BI21" s="36">
        <f>IF(ISNUMBER(Laboratorio_M!X15),Laboratorio_M!X15,"")</f>
        <v>4.452</v>
      </c>
      <c r="BJ21" s="36">
        <f t="shared" si="26"/>
        <v>3.6903012771606445</v>
      </c>
      <c r="BK21" s="267">
        <f t="shared" si="27"/>
        <v>3.6903012771606445</v>
      </c>
      <c r="BL21" s="161">
        <f t="shared" si="28"/>
        <v>82.890864266860845</v>
      </c>
      <c r="BM21" s="36"/>
      <c r="BN21" s="161"/>
      <c r="BO21" s="35" t="str">
        <f>IF(ISNUMBER('Courier_M.'!Z17),'Courier_M.'!Z17,"")</f>
        <v/>
      </c>
      <c r="BP21" s="36">
        <f>IF(ISNUMBER(Laboratorio_M!Z15),Laboratorio_M!Z15,"")</f>
        <v>1.8</v>
      </c>
      <c r="BQ21" s="36" t="str">
        <f t="shared" si="29"/>
        <v xml:space="preserve"> </v>
      </c>
      <c r="BR21" s="267" t="str">
        <f t="shared" si="30"/>
        <v xml:space="preserve"> </v>
      </c>
      <c r="BS21" s="161" t="str">
        <f t="shared" si="31"/>
        <v xml:space="preserve"> </v>
      </c>
      <c r="BT21" s="36"/>
      <c r="BU21" s="161"/>
    </row>
    <row r="22" spans="1:73" ht="18" customHeight="1" x14ac:dyDescent="0.2">
      <c r="A22">
        <f>+A20+1</f>
        <v>10</v>
      </c>
      <c r="B22" s="7">
        <f>+B20+1</f>
        <v>46257</v>
      </c>
      <c r="C22" s="7" t="str">
        <f>DAY(B22) &amp; "-" &amp; MONTH(B22) &amp;"-" &amp; YEAR(B22)</f>
        <v>23-8-2026</v>
      </c>
      <c r="D22" s="35">
        <f>IF(ISNUMBER('Courier_M.'!E18),'Courier_M.'!E18,"")</f>
        <v>23.831357955932617</v>
      </c>
      <c r="E22" s="36">
        <f>IF(ISNUMBER(Laboratorio_M!E16),Laboratorio_M!E16,"")</f>
        <v>21.393000000000001</v>
      </c>
      <c r="F22" s="36">
        <f t="shared" si="6"/>
        <v>-2.4383579559326165</v>
      </c>
      <c r="G22" s="267">
        <f t="shared" si="7"/>
        <v>2.4383579559326165</v>
      </c>
      <c r="H22" s="161">
        <f t="shared" si="0"/>
        <v>11.39792434877117</v>
      </c>
      <c r="I22" s="267">
        <f>Calculos_M!$I$1</f>
        <v>2.2302216249999991</v>
      </c>
      <c r="J22" s="267">
        <f t="shared" si="32"/>
        <v>-2.2302216249999991</v>
      </c>
      <c r="K22" s="35">
        <f>IF(ISNUMBER('Courier_M.'!G18),'Courier_M.'!G18,"")</f>
        <v>2.3223707675933838</v>
      </c>
      <c r="L22" s="36">
        <f>IF(ISNUMBER(Laboratorio_M!G16),Laboratorio_M!G16,"")</f>
        <v>1.86</v>
      </c>
      <c r="M22" s="36">
        <f t="shared" si="8"/>
        <v>-0.46237076759338369</v>
      </c>
      <c r="N22" s="267">
        <f t="shared" si="9"/>
        <v>0.46237076759338369</v>
      </c>
      <c r="O22" s="161">
        <f t="shared" si="1"/>
        <v>24.858643418999122</v>
      </c>
      <c r="P22" s="267">
        <f>Calculos_M!$J$1</f>
        <v>0.382682625</v>
      </c>
      <c r="Q22" s="267">
        <f t="shared" si="33"/>
        <v>-0.382682625</v>
      </c>
      <c r="R22" s="35">
        <f>IF(ISNUMBER('Courier_M.'!I18),'Courier_M.'!I18,"")</f>
        <v>28.879756927490234</v>
      </c>
      <c r="S22" s="36">
        <f>IF(ISNUMBER(Laboratorio_M!I16),Laboratorio_M!I16,"")</f>
        <v>27.75</v>
      </c>
      <c r="T22" s="36">
        <f t="shared" si="10"/>
        <v>-1.1297569274902344</v>
      </c>
      <c r="U22" s="267">
        <f t="shared" si="11"/>
        <v>1.1297569274902344</v>
      </c>
      <c r="V22" s="161">
        <f t="shared" si="12"/>
        <v>4.0711961350999433</v>
      </c>
      <c r="W22" s="267"/>
      <c r="X22" s="267"/>
      <c r="Y22" s="35">
        <f>IF(ISNUMBER('Courier_M.'!K18),'Courier_M.'!K18,"")</f>
        <v>25.068899154663086</v>
      </c>
      <c r="Z22" s="36">
        <f>IF(ISNUMBER(Laboratorio_M!K16),Laboratorio_M!K16,"")</f>
        <v>22.486999999999998</v>
      </c>
      <c r="AA22" s="36">
        <f t="shared" si="13"/>
        <v>-2.5818991546630876</v>
      </c>
      <c r="AB22" s="267">
        <f t="shared" si="14"/>
        <v>2.5818991546630876</v>
      </c>
      <c r="AC22" s="161">
        <f t="shared" si="2"/>
        <v>11.481741249002036</v>
      </c>
      <c r="AD22" s="267">
        <f>Calculos_M!$U$1</f>
        <v>1.0662891477272729</v>
      </c>
      <c r="AE22" s="267">
        <f t="shared" si="34"/>
        <v>-1.0662891477272729</v>
      </c>
      <c r="AF22" s="35">
        <f>IF(ISNUMBER('Courier_M.'!M18),'Courier_M.'!M18,"")</f>
        <v>0.28070893883705139</v>
      </c>
      <c r="AG22" s="36">
        <f>IF(ISNUMBER(Laboratorio_M!M16),Laboratorio_M!M16,"")</f>
        <v>0.106</v>
      </c>
      <c r="AH22" s="36">
        <f t="shared" si="15"/>
        <v>-0.17470893883705141</v>
      </c>
      <c r="AI22" s="267">
        <f t="shared" si="16"/>
        <v>0.17470893883705141</v>
      </c>
      <c r="AJ22" s="161">
        <f t="shared" si="3"/>
        <v>164.81975361985982</v>
      </c>
      <c r="AK22" s="267">
        <f>Calculos_M!$V$1</f>
        <v>3.2516250000000003E-2</v>
      </c>
      <c r="AL22" s="267">
        <f t="shared" si="35"/>
        <v>-3.2516250000000003E-2</v>
      </c>
      <c r="AM22" s="35">
        <f>IF(ISNUMBER('Courier_M.'!O18),'Courier_M.'!O18,"")</f>
        <v>29.135675430297852</v>
      </c>
      <c r="AN22" s="36">
        <f>IF(ISNUMBER(Laboratorio_M!O16),Laboratorio_M!O16,"")</f>
        <v>30.01</v>
      </c>
      <c r="AO22" s="36">
        <f t="shared" si="17"/>
        <v>0.87432456970215</v>
      </c>
      <c r="AP22" s="267">
        <f t="shared" si="18"/>
        <v>0.87432456970215</v>
      </c>
      <c r="AQ22" s="161">
        <f t="shared" si="19"/>
        <v>2.9134440843123959</v>
      </c>
      <c r="AR22" s="267"/>
      <c r="AS22" s="267"/>
      <c r="AT22" s="35">
        <f>IF(ISNUMBER('Courier_M.'!S18),'Courier_M.'!S18,0)</f>
        <v>0.62732428312301636</v>
      </c>
      <c r="AU22" s="36">
        <f>IF(ISNUMBER(Laboratorio_M!S16),Laboratorio_M!S16,"")</f>
        <v>0.53300000000000003</v>
      </c>
      <c r="AV22" s="36">
        <f t="shared" si="20"/>
        <v>-9.4324283123016328E-2</v>
      </c>
      <c r="AW22" s="267">
        <f t="shared" si="21"/>
        <v>9.4324283123016328E-2</v>
      </c>
      <c r="AX22" s="161">
        <f t="shared" si="4"/>
        <v>17.696863625331392</v>
      </c>
      <c r="AY22" s="267">
        <f>Calculos_M!$AH$1</f>
        <v>8.3191193181818196E-2</v>
      </c>
      <c r="AZ22" s="267">
        <f t="shared" si="22"/>
        <v>-8.3191193181818196E-2</v>
      </c>
      <c r="BA22" s="35">
        <f>IF(ISNUMBER('Courier_M.'!U18),'Courier_M.'!U18,0)</f>
        <v>54.337448120117188</v>
      </c>
      <c r="BB22" s="36">
        <f>IF(ISNUMBER(Laboratorio_M!U16),Laboratorio_M!U16,"")</f>
        <v>57.165999999999997</v>
      </c>
      <c r="BC22" s="36">
        <f t="shared" si="23"/>
        <v>2.8285518798828093</v>
      </c>
      <c r="BD22" s="267">
        <f t="shared" si="24"/>
        <v>2.8285518798828093</v>
      </c>
      <c r="BE22" s="161">
        <f t="shared" si="5"/>
        <v>4.9479618652394945</v>
      </c>
      <c r="BF22" s="267">
        <f>Calculos_M!$AI$1</f>
        <v>1.4830847050619838</v>
      </c>
      <c r="BG22" s="267">
        <f t="shared" si="25"/>
        <v>-1.4830847050619838</v>
      </c>
      <c r="BH22" s="35">
        <f>IF(ISNUMBER('Courier_M.'!W18),'Courier_M.'!W18,"")</f>
        <v>1.2080948352813721</v>
      </c>
      <c r="BI22" s="36">
        <f>IF(ISNUMBER(Laboratorio_M!W16),Laboratorio_M!W16,"")</f>
        <v>0.86399999999999999</v>
      </c>
      <c r="BJ22" s="36">
        <f t="shared" si="26"/>
        <v>-0.34409483528137208</v>
      </c>
      <c r="BK22" s="267">
        <f t="shared" si="27"/>
        <v>0.34409483528137208</v>
      </c>
      <c r="BL22" s="161">
        <f t="shared" si="28"/>
        <v>39.825791120529175</v>
      </c>
      <c r="BM22" s="36"/>
      <c r="BN22" s="161"/>
      <c r="BO22" s="35" t="str">
        <f>IF(ISNUMBER('Courier_M.'!Y18),'Courier_M.'!Y18,"")</f>
        <v/>
      </c>
      <c r="BP22" s="36">
        <f>IF(ISNUMBER(Laboratorio_M!Y16),Laboratorio_M!Y16,"")</f>
        <v>1.95</v>
      </c>
      <c r="BQ22" s="36" t="str">
        <f t="shared" si="29"/>
        <v xml:space="preserve"> </v>
      </c>
      <c r="BR22" s="267" t="str">
        <f t="shared" si="30"/>
        <v xml:space="preserve"> </v>
      </c>
      <c r="BS22" s="161" t="str">
        <f t="shared" si="31"/>
        <v xml:space="preserve"> </v>
      </c>
      <c r="BT22" s="36"/>
      <c r="BU22" s="161"/>
    </row>
    <row r="23" spans="1:73" ht="18" customHeight="1" x14ac:dyDescent="0.2">
      <c r="C23" s="38" t="str">
        <f>DAY(B22) &amp; "-" &amp; MONTH(B22) &amp;"-" &amp; YEAR(B22)</f>
        <v>23-8-2026</v>
      </c>
      <c r="D23" s="35">
        <f>IF(ISNUMBER('Courier_M.'!F18),'Courier_M.'!F18,"")</f>
        <v>22.841638565063477</v>
      </c>
      <c r="E23" s="36">
        <f>IF(ISNUMBER(Laboratorio_M!F16),Laboratorio_M!F16,"")</f>
        <v>21.492000000000001</v>
      </c>
      <c r="F23" s="36">
        <f t="shared" si="6"/>
        <v>-1.3496385650634757</v>
      </c>
      <c r="G23" s="267">
        <f t="shared" si="7"/>
        <v>1.3496385650634757</v>
      </c>
      <c r="H23" s="161">
        <f t="shared" si="0"/>
        <v>6.2797253166921445</v>
      </c>
      <c r="I23" s="267">
        <f>Calculos_M!$I$1</f>
        <v>2.2302216249999991</v>
      </c>
      <c r="J23" s="267">
        <f t="shared" si="32"/>
        <v>-2.2302216249999991</v>
      </c>
      <c r="K23" s="35">
        <f>IF(ISNUMBER('Courier_M.'!H18),'Courier_M.'!H18,"")</f>
        <v>3.1678712368011475</v>
      </c>
      <c r="L23" s="36">
        <f>IF(ISNUMBER(Laboratorio_M!H16),Laboratorio_M!H16,"")</f>
        <v>3.2440000000000002</v>
      </c>
      <c r="M23" s="36">
        <f t="shared" si="8"/>
        <v>7.6128763198852756E-2</v>
      </c>
      <c r="N23" s="267">
        <f t="shared" si="9"/>
        <v>7.6128763198852756E-2</v>
      </c>
      <c r="O23" s="161">
        <f t="shared" si="1"/>
        <v>2.3467559555749924</v>
      </c>
      <c r="P23" s="267">
        <f>Calculos_M!$J$1</f>
        <v>0.382682625</v>
      </c>
      <c r="Q23" s="267">
        <f t="shared" si="33"/>
        <v>-0.382682625</v>
      </c>
      <c r="R23" s="35">
        <f>IF(ISNUMBER('Courier_M.'!J18),'Courier_M.'!J18,"")</f>
        <v>28.103832244873047</v>
      </c>
      <c r="S23" s="36">
        <f>IF(ISNUMBER(Laboratorio_M!J16),Laboratorio_M!J16,"")</f>
        <v>28.32</v>
      </c>
      <c r="T23" s="36">
        <f t="shared" si="10"/>
        <v>0.21616775512695341</v>
      </c>
      <c r="U23" s="267">
        <f t="shared" si="11"/>
        <v>0.21616775512695341</v>
      </c>
      <c r="V23" s="161">
        <f t="shared" si="12"/>
        <v>0.76330422008105014</v>
      </c>
      <c r="W23" s="267"/>
      <c r="X23" s="267"/>
      <c r="Y23" s="35">
        <f>IF(ISNUMBER('Courier_M.'!L18),'Courier_M.'!L18,"")</f>
        <v>24.310548782348633</v>
      </c>
      <c r="Z23" s="36">
        <f>IF(ISNUMBER(Laboratorio_M!L16),Laboratorio_M!L16,"")</f>
        <v>22.786000000000001</v>
      </c>
      <c r="AA23" s="36">
        <f t="shared" si="13"/>
        <v>-1.5245487823486314</v>
      </c>
      <c r="AB23" s="267">
        <f t="shared" si="14"/>
        <v>1.5245487823486314</v>
      </c>
      <c r="AC23" s="161">
        <f t="shared" si="2"/>
        <v>6.6907258068490796</v>
      </c>
      <c r="AD23" s="267">
        <f>Calculos_M!$U$1</f>
        <v>1.0662891477272729</v>
      </c>
      <c r="AE23" s="267">
        <f t="shared" si="34"/>
        <v>-1.0662891477272729</v>
      </c>
      <c r="AF23" s="35">
        <f>IF(ISNUMBER('Courier_M.'!N18),'Courier_M.'!N18,"")</f>
        <v>0.26761573553085327</v>
      </c>
      <c r="AG23" s="36">
        <f>IF(ISNUMBER(Laboratorio_M!N16),Laboratorio_M!N16,"")</f>
        <v>7.6999999999999999E-2</v>
      </c>
      <c r="AH23" s="36">
        <f t="shared" si="15"/>
        <v>-0.19061573553085326</v>
      </c>
      <c r="AI23" s="267">
        <f t="shared" si="16"/>
        <v>0.19061573553085326</v>
      </c>
      <c r="AJ23" s="161">
        <f t="shared" si="3"/>
        <v>247.55290328682241</v>
      </c>
      <c r="AK23" s="267">
        <f>Calculos_M!$V$1</f>
        <v>3.2516250000000003E-2</v>
      </c>
      <c r="AL23" s="267">
        <f t="shared" si="35"/>
        <v>-3.2516250000000003E-2</v>
      </c>
      <c r="AM23" s="35">
        <f>IF(ISNUMBER('Courier_M.'!P18),'Courier_M.'!P18,"")</f>
        <v>28.948293685913086</v>
      </c>
      <c r="AN23" s="36">
        <f>IF(ISNUMBER(Laboratorio_M!P16),Laboratorio_M!P16,"")</f>
        <v>29.97</v>
      </c>
      <c r="AO23" s="36">
        <f t="shared" si="17"/>
        <v>1.0217063140869129</v>
      </c>
      <c r="AP23" s="267">
        <f t="shared" si="18"/>
        <v>1.0217063140869129</v>
      </c>
      <c r="AQ23" s="161">
        <f t="shared" si="19"/>
        <v>3.4090968104334771</v>
      </c>
      <c r="AR23" s="267"/>
      <c r="AS23" s="267"/>
      <c r="AT23" s="35">
        <f>IF(ISNUMBER('Courier_M.'!T18),'Courier_M.'!T18,0)</f>
        <v>0.67065083980560303</v>
      </c>
      <c r="AU23" s="36">
        <f>IF(ISNUMBER(Laboratorio_M!T16),Laboratorio_M!T16,"")</f>
        <v>0.72599999999999998</v>
      </c>
      <c r="AV23" s="36">
        <f t="shared" si="20"/>
        <v>5.5349160194396951E-2</v>
      </c>
      <c r="AW23" s="267">
        <f t="shared" si="21"/>
        <v>5.5349160194396951E-2</v>
      </c>
      <c r="AX23" s="161">
        <f t="shared" si="4"/>
        <v>7.6238512664458611</v>
      </c>
      <c r="AY23" s="267">
        <f>Calculos_M!$AH$1</f>
        <v>8.3191193181818196E-2</v>
      </c>
      <c r="AZ23" s="267">
        <f t="shared" si="22"/>
        <v>-8.3191193181818196E-2</v>
      </c>
      <c r="BA23" s="35">
        <f>IF(ISNUMBER('Courier_M.'!V18),'Courier_M.'!V18,0)</f>
        <v>53.728702545166016</v>
      </c>
      <c r="BB23" s="36">
        <f>IF(ISNUMBER(Laboratorio_M!V16),Laboratorio_M!V16,"")</f>
        <v>56.784999999999997</v>
      </c>
      <c r="BC23" s="36">
        <f t="shared" si="23"/>
        <v>3.056297454833981</v>
      </c>
      <c r="BD23" s="267">
        <f t="shared" si="24"/>
        <v>3.056297454833981</v>
      </c>
      <c r="BE23" s="161">
        <f t="shared" si="5"/>
        <v>5.3822267409245068</v>
      </c>
      <c r="BF23" s="267">
        <f>Calculos_M!$AI$1</f>
        <v>1.4830847050619838</v>
      </c>
      <c r="BG23" s="267">
        <f t="shared" si="25"/>
        <v>-1.4830847050619838</v>
      </c>
      <c r="BH23" s="35">
        <f>IF(ISNUMBER('Courier_M.'!X18),'Courier_M.'!X18,"")</f>
        <v>1.5019298791885376</v>
      </c>
      <c r="BI23" s="36">
        <f>IF(ISNUMBER(Laboratorio_M!X16),Laboratorio_M!X16,"")</f>
        <v>0.93100000000000005</v>
      </c>
      <c r="BJ23" s="36">
        <f t="shared" si="26"/>
        <v>-0.57092987918853755</v>
      </c>
      <c r="BK23" s="267">
        <f t="shared" si="27"/>
        <v>0.57092987918853755</v>
      </c>
      <c r="BL23" s="161">
        <f t="shared" si="28"/>
        <v>61.324369408006177</v>
      </c>
      <c r="BM23" s="36"/>
      <c r="BN23" s="161"/>
      <c r="BO23" s="35" t="str">
        <f>IF(ISNUMBER('Courier_M.'!Z18),'Courier_M.'!Z18,"")</f>
        <v/>
      </c>
      <c r="BP23" s="36">
        <f>IF(ISNUMBER(Laboratorio_M!Z16),Laboratorio_M!Z16,"")</f>
        <v>2.2000000000000002</v>
      </c>
      <c r="BQ23" s="36" t="str">
        <f t="shared" si="29"/>
        <v xml:space="preserve"> </v>
      </c>
      <c r="BR23" s="267" t="str">
        <f t="shared" si="30"/>
        <v xml:space="preserve"> </v>
      </c>
      <c r="BS23" s="161" t="str">
        <f t="shared" si="31"/>
        <v xml:space="preserve"> </v>
      </c>
      <c r="BT23" s="36"/>
      <c r="BU23" s="161"/>
    </row>
    <row r="24" spans="1:73" ht="15" x14ac:dyDescent="0.2">
      <c r="A24">
        <f>A22+1</f>
        <v>11</v>
      </c>
      <c r="B24" s="7">
        <f>+B22+1</f>
        <v>46258</v>
      </c>
      <c r="C24" s="7" t="str">
        <f>DAY(B24) &amp; "-" &amp; MONTH(B24) &amp;"-" &amp; YEAR(B24)</f>
        <v>24-8-2026</v>
      </c>
      <c r="D24" s="35">
        <f>IF(ISNUMBER('Courier_M.'!E19),'Courier_M.'!E19,"")</f>
        <v>22.674943923950195</v>
      </c>
      <c r="E24" s="36">
        <f>IF(ISNUMBER(Laboratorio_M!E17),Laboratorio_M!E17,"")</f>
        <v>21.640999999999998</v>
      </c>
      <c r="F24" s="36">
        <f t="shared" si="6"/>
        <v>-1.0339439239501971</v>
      </c>
      <c r="G24" s="267">
        <f t="shared" si="7"/>
        <v>1.0339439239501971</v>
      </c>
      <c r="H24" s="161">
        <f t="shared" ref="H24:H65" si="36">IF(ISNUMBER(ABS(F24)/E24*100),ABS(F24)/E24*100," ")</f>
        <v>4.7777086269127906</v>
      </c>
      <c r="I24" s="267">
        <f>Calculos_M!$I$1</f>
        <v>2.2302216249999991</v>
      </c>
      <c r="J24" s="267">
        <f t="shared" si="32"/>
        <v>-2.2302216249999991</v>
      </c>
      <c r="K24" s="35">
        <f>IF(ISNUMBER('Courier_M.'!G19),'Courier_M.'!G19,"")</f>
        <v>2.301372766494751</v>
      </c>
      <c r="L24" s="36">
        <f>IF(ISNUMBER(Laboratorio_M!G17),Laboratorio_M!G17,"")</f>
        <v>2.0419999999999998</v>
      </c>
      <c r="M24" s="36">
        <f t="shared" si="8"/>
        <v>-0.25937276649475116</v>
      </c>
      <c r="N24" s="267">
        <f t="shared" si="9"/>
        <v>0.25937276649475116</v>
      </c>
      <c r="O24" s="161">
        <f t="shared" ref="O24:O65" si="37">IF(ISNUMBER(ABS(M24)/L24*100),ABS(M24)/L24*100," ")</f>
        <v>12.701898457137666</v>
      </c>
      <c r="P24" s="267">
        <f>Calculos_M!$J$1</f>
        <v>0.382682625</v>
      </c>
      <c r="Q24" s="267">
        <f t="shared" si="33"/>
        <v>-0.382682625</v>
      </c>
      <c r="R24" s="35">
        <f>IF(ISNUMBER('Courier_M.'!I19),'Courier_M.'!I19,"")</f>
        <v>28.175008773803711</v>
      </c>
      <c r="S24" s="36">
        <f>IF(ISNUMBER(Laboratorio_M!I17),Laboratorio_M!I17,"")</f>
        <v>28.26</v>
      </c>
      <c r="T24" s="36">
        <f t="shared" si="10"/>
        <v>8.4991226196290626E-2</v>
      </c>
      <c r="U24" s="267">
        <f t="shared" si="11"/>
        <v>8.4991226196290626E-2</v>
      </c>
      <c r="V24" s="161">
        <f t="shared" si="12"/>
        <v>0.30074743876960586</v>
      </c>
      <c r="W24" s="267"/>
      <c r="X24" s="267"/>
      <c r="Y24" s="35">
        <f>IF(ISNUMBER('Courier_M.'!K19),'Courier_M.'!K19,"")</f>
        <v>24.298362731933594</v>
      </c>
      <c r="Z24" s="36">
        <f>IF(ISNUMBER(Laboratorio_M!K17),Laboratorio_M!K17,"")</f>
        <v>22.885000000000002</v>
      </c>
      <c r="AA24" s="36">
        <f t="shared" si="13"/>
        <v>-1.4133627319335922</v>
      </c>
      <c r="AB24" s="267">
        <f t="shared" si="14"/>
        <v>1.4133627319335922</v>
      </c>
      <c r="AC24" s="161">
        <f t="shared" ref="AC24:AC65" si="38">IF(ISNUMBER(ABS(AA24)/Z24*100),ABS(AA24)/Z24*100," ")</f>
        <v>6.175935031389959</v>
      </c>
      <c r="AD24" s="267">
        <f>Calculos_M!$U$1</f>
        <v>1.0662891477272729</v>
      </c>
      <c r="AE24" s="267">
        <f t="shared" si="34"/>
        <v>-1.0662891477272729</v>
      </c>
      <c r="AF24" s="35">
        <f>IF(ISNUMBER('Courier_M.'!M19),'Courier_M.'!M19,"")</f>
        <v>5.9297509491443634E-2</v>
      </c>
      <c r="AG24" s="36">
        <f>IF(ISNUMBER(Laboratorio_M!M17),Laboratorio_M!M17,"")</f>
        <v>9.0999999999999998E-2</v>
      </c>
      <c r="AH24" s="36">
        <f t="shared" si="15"/>
        <v>3.1702490508556364E-2</v>
      </c>
      <c r="AI24" s="267">
        <f t="shared" si="16"/>
        <v>3.1702490508556364E-2</v>
      </c>
      <c r="AJ24" s="161">
        <f t="shared" ref="AJ24:AJ65" si="39">IF(ISNUMBER(ABS(AH24)/AG24*100),ABS(AH24)/AG24*100," ")</f>
        <v>34.837901657754244</v>
      </c>
      <c r="AK24" s="267">
        <f>Calculos_M!$V$1</f>
        <v>3.2516250000000003E-2</v>
      </c>
      <c r="AL24" s="267">
        <f t="shared" si="35"/>
        <v>-3.2516250000000003E-2</v>
      </c>
      <c r="AM24" s="35">
        <f>IF(ISNUMBER('Courier_M.'!O19),'Courier_M.'!O19,"")</f>
        <v>29.958515167236328</v>
      </c>
      <c r="AN24" s="36">
        <f>IF(ISNUMBER(Laboratorio_M!O17),Laboratorio_M!O17,"")</f>
        <v>29.3</v>
      </c>
      <c r="AO24" s="36">
        <f t="shared" si="17"/>
        <v>-0.65851516723632741</v>
      </c>
      <c r="AP24" s="267">
        <f t="shared" si="18"/>
        <v>0.65851516723632741</v>
      </c>
      <c r="AQ24" s="161">
        <f t="shared" si="19"/>
        <v>2.2474920383492405</v>
      </c>
      <c r="AR24" s="267"/>
      <c r="AS24" s="267"/>
      <c r="AT24" s="35">
        <f>IF(ISNUMBER('Courier_M.'!S19),'Courier_M.'!S19,0)</f>
        <v>0.70668315887451172</v>
      </c>
      <c r="AU24" s="36">
        <f>IF(ISNUMBER(Laboratorio_M!S17),Laboratorio_M!S17,"")</f>
        <v>0.64500000000000002</v>
      </c>
      <c r="AV24" s="36">
        <f t="shared" si="20"/>
        <v>-6.1683158874511701E-2</v>
      </c>
      <c r="AW24" s="267">
        <f t="shared" si="21"/>
        <v>6.1683158874511701E-2</v>
      </c>
      <c r="AX24" s="161">
        <f t="shared" ref="AX24:AX65" si="40">IF(ISNUMBER(ABS(AV24)/AU24*100),ABS(AV24)/AU24*100," ")</f>
        <v>9.5632804456607285</v>
      </c>
      <c r="AY24" s="267">
        <f>Calculos_M!$AH$1</f>
        <v>8.3191193181818196E-2</v>
      </c>
      <c r="AZ24" s="267">
        <f t="shared" si="22"/>
        <v>-8.3191193181818196E-2</v>
      </c>
      <c r="BA24" s="35">
        <f>IF(ISNUMBER('Courier_M.'!U19),'Courier_M.'!U19,0)</f>
        <v>54.885494232177734</v>
      </c>
      <c r="BB24" s="36">
        <f>IF(ISNUMBER(Laboratorio_M!U17),Laboratorio_M!U17,"")</f>
        <v>57.445</v>
      </c>
      <c r="BC24" s="36">
        <f t="shared" si="23"/>
        <v>2.5595057678222659</v>
      </c>
      <c r="BD24" s="267">
        <f t="shared" si="24"/>
        <v>2.5595057678222659</v>
      </c>
      <c r="BE24" s="161">
        <f t="shared" ref="BE24:BE65" si="41">IF(ISNUMBER(ABS(BC24)/BB24*100),ABS(BC24)/BB24*100," ")</f>
        <v>4.4555762343498406</v>
      </c>
      <c r="BF24" s="267">
        <f>Calculos_M!$AI$1</f>
        <v>1.4830847050619838</v>
      </c>
      <c r="BG24" s="267">
        <f t="shared" si="25"/>
        <v>-1.4830847050619838</v>
      </c>
      <c r="BH24" s="35">
        <f>IF(ISNUMBER('Courier_M.'!W19),'Courier_M.'!W19,"")</f>
        <v>1.1374205350875854</v>
      </c>
      <c r="BI24" s="36">
        <f>IF(ISNUMBER(Laboratorio_M!W17),Laboratorio_M!W17,"")</f>
        <v>0.80100000000000005</v>
      </c>
      <c r="BJ24" s="36">
        <f t="shared" si="26"/>
        <v>-0.3364205350875854</v>
      </c>
      <c r="BK24" s="267">
        <f t="shared" si="27"/>
        <v>0.3364205350875854</v>
      </c>
      <c r="BL24" s="161">
        <f t="shared" si="28"/>
        <v>42.000066802445119</v>
      </c>
      <c r="BM24" s="36"/>
      <c r="BN24" s="161"/>
      <c r="BO24" s="35">
        <f>IF(ISNUMBER('Courier_M.'!Y19),'Courier_M.'!Y19,"")</f>
        <v>2.9173970388902997</v>
      </c>
      <c r="BP24" s="36">
        <f>IF(ISNUMBER(Laboratorio_M!Y17),Laboratorio_M!Y17,"")</f>
        <v>1.48</v>
      </c>
      <c r="BQ24" s="36">
        <f t="shared" si="29"/>
        <v>-1.4373970388902997</v>
      </c>
      <c r="BR24" s="267">
        <f t="shared" si="30"/>
        <v>1.4373970388902997</v>
      </c>
      <c r="BS24" s="161">
        <f t="shared" si="31"/>
        <v>97.121421546641869</v>
      </c>
      <c r="BT24" s="36"/>
      <c r="BU24" s="161"/>
    </row>
    <row r="25" spans="1:73" ht="15" x14ac:dyDescent="0.2">
      <c r="C25" s="38" t="str">
        <f>DAY(B24) &amp; "-" &amp; MONTH(B24) &amp;"-" &amp; YEAR(B24)</f>
        <v>24-8-2026</v>
      </c>
      <c r="D25" s="35">
        <f>IF(ISNUMBER('Courier_M.'!F19),'Courier_M.'!F19,"")</f>
        <v>23.641651153564453</v>
      </c>
      <c r="E25" s="36">
        <f>IF(ISNUMBER(Laboratorio_M!F17),Laboratorio_M!F17,"")</f>
        <v>22.542999999999999</v>
      </c>
      <c r="F25" s="36">
        <f t="shared" si="6"/>
        <v>-1.0986511535644539</v>
      </c>
      <c r="G25" s="267">
        <f t="shared" si="7"/>
        <v>1.0986511535644539</v>
      </c>
      <c r="H25" s="161">
        <f t="shared" si="36"/>
        <v>4.8735800628330477</v>
      </c>
      <c r="I25" s="267">
        <f>Calculos_M!$I$1</f>
        <v>2.2302216249999991</v>
      </c>
      <c r="J25" s="267">
        <f t="shared" si="32"/>
        <v>-2.2302216249999991</v>
      </c>
      <c r="K25" s="35">
        <f>IF(ISNUMBER('Courier_M.'!H19),'Courier_M.'!H19,"")</f>
        <v>1.8395191431045532</v>
      </c>
      <c r="L25" s="36">
        <f>IF(ISNUMBER(Laboratorio_M!H17),Laboratorio_M!H17,"")</f>
        <v>2.032</v>
      </c>
      <c r="M25" s="36">
        <f t="shared" si="8"/>
        <v>0.19248085689544681</v>
      </c>
      <c r="N25" s="267">
        <f t="shared" si="9"/>
        <v>0.19248085689544681</v>
      </c>
      <c r="O25" s="161">
        <f t="shared" si="37"/>
        <v>9.4724831149334054</v>
      </c>
      <c r="P25" s="267">
        <f>Calculos_M!$J$1</f>
        <v>0.382682625</v>
      </c>
      <c r="Q25" s="267">
        <f t="shared" si="33"/>
        <v>-0.382682625</v>
      </c>
      <c r="R25" s="35">
        <f>IF(ISNUMBER('Courier_M.'!J19),'Courier_M.'!J19,"")</f>
        <v>29.346792221069336</v>
      </c>
      <c r="S25" s="36">
        <f>IF(ISNUMBER(Laboratorio_M!J17),Laboratorio_M!J17,"")</f>
        <v>28.09</v>
      </c>
      <c r="T25" s="36">
        <f t="shared" si="10"/>
        <v>-1.2567922210693361</v>
      </c>
      <c r="U25" s="267">
        <f t="shared" si="11"/>
        <v>1.2567922210693361</v>
      </c>
      <c r="V25" s="161">
        <f t="shared" si="12"/>
        <v>4.4741624103571951</v>
      </c>
      <c r="W25" s="267"/>
      <c r="X25" s="267"/>
      <c r="Y25" s="35">
        <f>IF(ISNUMBER('Courier_M.'!L19),'Courier_M.'!L19,"")</f>
        <v>24.033393859863281</v>
      </c>
      <c r="Z25" s="36">
        <f>IF(ISNUMBER(Laboratorio_M!L17),Laboratorio_M!L17,"")</f>
        <v>24.132000000000001</v>
      </c>
      <c r="AA25" s="36">
        <f t="shared" si="13"/>
        <v>9.86061401367202E-2</v>
      </c>
      <c r="AB25" s="267">
        <f t="shared" si="14"/>
        <v>9.86061401367202E-2</v>
      </c>
      <c r="AC25" s="161">
        <f t="shared" si="38"/>
        <v>0.40861155369103341</v>
      </c>
      <c r="AD25" s="267">
        <f>Calculos_M!$U$1</f>
        <v>1.0662891477272729</v>
      </c>
      <c r="AE25" s="267">
        <f t="shared" si="34"/>
        <v>-1.0662891477272729</v>
      </c>
      <c r="AF25" s="35">
        <f>IF(ISNUMBER('Courier_M.'!N19),'Courier_M.'!N19,"")</f>
        <v>7.9983144998550415E-2</v>
      </c>
      <c r="AG25" s="36">
        <f>IF(ISNUMBER(Laboratorio_M!N17),Laboratorio_M!N17,"")</f>
        <v>3.5000000000000003E-2</v>
      </c>
      <c r="AH25" s="36">
        <f t="shared" si="15"/>
        <v>-4.4983144998550412E-2</v>
      </c>
      <c r="AI25" s="267">
        <f t="shared" si="16"/>
        <v>4.4983144998550412E-2</v>
      </c>
      <c r="AJ25" s="161">
        <f t="shared" si="39"/>
        <v>128.52327142442974</v>
      </c>
      <c r="AK25" s="267">
        <f>Calculos_M!$V$1</f>
        <v>3.2516250000000003E-2</v>
      </c>
      <c r="AL25" s="267">
        <f t="shared" si="35"/>
        <v>-3.2516250000000003E-2</v>
      </c>
      <c r="AM25" s="35">
        <f>IF(ISNUMBER('Courier_M.'!P19),'Courier_M.'!P19,"")</f>
        <v>29.672199249267578</v>
      </c>
      <c r="AN25" s="36">
        <f>IF(ISNUMBER(Laboratorio_M!P17),Laboratorio_M!P17,"")</f>
        <v>28.79</v>
      </c>
      <c r="AO25" s="36">
        <f t="shared" si="17"/>
        <v>-0.88219924926757898</v>
      </c>
      <c r="AP25" s="267">
        <f t="shared" si="18"/>
        <v>0.88219924926757898</v>
      </c>
      <c r="AQ25" s="161">
        <f t="shared" si="19"/>
        <v>3.0642558154483468</v>
      </c>
      <c r="AR25" s="267"/>
      <c r="AS25" s="267"/>
      <c r="AT25" s="35">
        <f>IF(ISNUMBER('Courier_M.'!T19),'Courier_M.'!T19,0)</f>
        <v>0.81929582357406616</v>
      </c>
      <c r="AU25" s="36">
        <f>IF(ISNUMBER(Laboratorio_M!T17),Laboratorio_M!T17,"")</f>
        <v>1.099</v>
      </c>
      <c r="AV25" s="36">
        <f t="shared" si="20"/>
        <v>0.27970417642593381</v>
      </c>
      <c r="AW25" s="267">
        <f t="shared" si="21"/>
        <v>0.27970417642593381</v>
      </c>
      <c r="AX25" s="161">
        <f t="shared" si="40"/>
        <v>25.450789483706444</v>
      </c>
      <c r="AY25" s="267">
        <f>Calculos_M!$AH$1</f>
        <v>8.3191193181818196E-2</v>
      </c>
      <c r="AZ25" s="267">
        <f t="shared" si="22"/>
        <v>-8.3191193181818196E-2</v>
      </c>
      <c r="BA25" s="35">
        <f>IF(ISNUMBER('Courier_M.'!V19),'Courier_M.'!V19,0)</f>
        <v>55.107204437255859</v>
      </c>
      <c r="BB25" s="36">
        <f>IF(ISNUMBER(Laboratorio_M!V17),Laboratorio_M!V17,"")</f>
        <v>56.451000000000001</v>
      </c>
      <c r="BC25" s="36">
        <f t="shared" si="23"/>
        <v>1.3437955627441411</v>
      </c>
      <c r="BD25" s="267">
        <f t="shared" si="24"/>
        <v>1.3437955627441411</v>
      </c>
      <c r="BE25" s="161">
        <f t="shared" si="41"/>
        <v>2.3804636990383541</v>
      </c>
      <c r="BF25" s="267">
        <f>Calculos_M!$AI$1</f>
        <v>1.4830847050619838</v>
      </c>
      <c r="BG25" s="267">
        <f t="shared" si="25"/>
        <v>-1.4830847050619838</v>
      </c>
      <c r="BH25" s="35">
        <f>IF(ISNUMBER('Courier_M.'!X19),'Courier_M.'!X19,"")</f>
        <v>1.2822182178497314</v>
      </c>
      <c r="BI25" s="36">
        <f>IF(ISNUMBER(Laboratorio_M!X17),Laboratorio_M!X17,"")</f>
        <v>1.28</v>
      </c>
      <c r="BJ25" s="36">
        <f t="shared" si="26"/>
        <v>-2.2182178497314187E-3</v>
      </c>
      <c r="BK25" s="267">
        <f t="shared" si="27"/>
        <v>2.2182178497314187E-3</v>
      </c>
      <c r="BL25" s="161">
        <f t="shared" si="28"/>
        <v>0.17329826951026708</v>
      </c>
      <c r="BM25" s="36"/>
      <c r="BN25" s="161"/>
      <c r="BO25" s="35">
        <f>IF(ISNUMBER('Courier_M.'!Z19),'Courier_M.'!Z19,"")</f>
        <v>2.4655806337240636</v>
      </c>
      <c r="BP25" s="36">
        <f>IF(ISNUMBER(Laboratorio_M!Z17),Laboratorio_M!Z17,"")</f>
        <v>1.54</v>
      </c>
      <c r="BQ25" s="36">
        <f t="shared" si="29"/>
        <v>-0.92558063372406352</v>
      </c>
      <c r="BR25" s="267">
        <f t="shared" si="30"/>
        <v>0.92558063372406352</v>
      </c>
      <c r="BS25" s="161">
        <f t="shared" si="31"/>
        <v>60.102638553510616</v>
      </c>
      <c r="BT25" s="36"/>
      <c r="BU25" s="161"/>
    </row>
    <row r="26" spans="1:73" ht="15" x14ac:dyDescent="0.2">
      <c r="A26">
        <f>+A24+1</f>
        <v>12</v>
      </c>
      <c r="B26" s="7">
        <f>+B24+1</f>
        <v>46259</v>
      </c>
      <c r="C26" s="7" t="str">
        <f>DAY(B26) &amp; "-" &amp; MONTH(B26) &amp;"-" &amp; YEAR(B26)</f>
        <v>25-8-2026</v>
      </c>
      <c r="D26" s="35">
        <f>IF(ISNUMBER('Courier_M.'!E20),'Courier_M.'!E20,"")</f>
        <v>22.421327590942383</v>
      </c>
      <c r="E26" s="36">
        <f>IF(ISNUMBER(Laboratorio_M!E18),Laboratorio_M!E18,"")</f>
        <v>21.724</v>
      </c>
      <c r="F26" s="36">
        <f t="shared" si="6"/>
        <v>-0.69732759094238261</v>
      </c>
      <c r="G26" s="267">
        <f t="shared" si="7"/>
        <v>0.69732759094238261</v>
      </c>
      <c r="H26" s="161">
        <f t="shared" si="36"/>
        <v>3.2099410372969186</v>
      </c>
      <c r="I26" s="267">
        <f>Calculos_M!$I$1</f>
        <v>2.2302216249999991</v>
      </c>
      <c r="J26" s="267">
        <f t="shared" si="32"/>
        <v>-2.2302216249999991</v>
      </c>
      <c r="K26" s="35">
        <f>IF(ISNUMBER('Courier_M.'!G20),'Courier_M.'!G20,"")</f>
        <v>4.3784956932067871</v>
      </c>
      <c r="L26" s="36">
        <f>IF(ISNUMBER(Laboratorio_M!G18),Laboratorio_M!G18,"")</f>
        <v>5.9749999999999996</v>
      </c>
      <c r="M26" s="36">
        <f t="shared" si="8"/>
        <v>1.5965043067932125</v>
      </c>
      <c r="N26" s="267">
        <f t="shared" si="9"/>
        <v>1.5965043067932125</v>
      </c>
      <c r="O26" s="161">
        <f t="shared" si="37"/>
        <v>26.719737352187661</v>
      </c>
      <c r="P26" s="267">
        <f>Calculos_M!$J$1</f>
        <v>0.382682625</v>
      </c>
      <c r="Q26" s="267">
        <f t="shared" si="33"/>
        <v>-0.382682625</v>
      </c>
      <c r="R26" s="35">
        <f>IF(ISNUMBER('Courier_M.'!I20),'Courier_M.'!I20,"")</f>
        <v>27.547765731811523</v>
      </c>
      <c r="S26" s="36">
        <f>IF(ISNUMBER(Laboratorio_M!I18),Laboratorio_M!I18,"")</f>
        <v>26.67</v>
      </c>
      <c r="T26" s="36">
        <f t="shared" si="10"/>
        <v>-0.87776573181152173</v>
      </c>
      <c r="U26" s="267">
        <f t="shared" si="11"/>
        <v>0.87776573181152173</v>
      </c>
      <c r="V26" s="161">
        <f t="shared" si="12"/>
        <v>3.2912100930315775</v>
      </c>
      <c r="W26" s="267"/>
      <c r="X26" s="267"/>
      <c r="Y26" s="35">
        <f>IF(ISNUMBER('Courier_M.'!K20),'Courier_M.'!K20,"")</f>
        <v>22.300138473510742</v>
      </c>
      <c r="Z26" s="36">
        <f>IF(ISNUMBER(Laboratorio_M!K18),Laboratorio_M!K18,"")</f>
        <v>22.841000000000001</v>
      </c>
      <c r="AA26" s="36">
        <f t="shared" si="13"/>
        <v>0.54086152648925889</v>
      </c>
      <c r="AB26" s="267">
        <f t="shared" si="14"/>
        <v>0.54086152648925889</v>
      </c>
      <c r="AC26" s="161">
        <f t="shared" si="38"/>
        <v>2.3679415371010855</v>
      </c>
      <c r="AD26" s="267">
        <f>Calculos_M!$U$1</f>
        <v>1.0662891477272729</v>
      </c>
      <c r="AE26" s="267">
        <f t="shared" si="34"/>
        <v>-1.0662891477272729</v>
      </c>
      <c r="AF26" s="35">
        <f>IF(ISNUMBER('Courier_M.'!M20),'Courier_M.'!M20,"")</f>
        <v>0.43560272455215454</v>
      </c>
      <c r="AG26" s="36">
        <f>IF(ISNUMBER(Laboratorio_M!M18),Laboratorio_M!M18,"")</f>
        <v>6.7000000000000004E-2</v>
      </c>
      <c r="AH26" s="36">
        <f t="shared" si="15"/>
        <v>-0.36860272455215454</v>
      </c>
      <c r="AI26" s="267">
        <f t="shared" si="16"/>
        <v>0.36860272455215454</v>
      </c>
      <c r="AJ26" s="161">
        <f t="shared" si="39"/>
        <v>550.15332022709629</v>
      </c>
      <c r="AK26" s="267">
        <f>Calculos_M!$V$1</f>
        <v>3.2516250000000003E-2</v>
      </c>
      <c r="AL26" s="267">
        <f t="shared" si="35"/>
        <v>-3.2516250000000003E-2</v>
      </c>
      <c r="AM26" s="35">
        <f>IF(ISNUMBER('Courier_M.'!O20),'Courier_M.'!O20,"")</f>
        <v>28.917024612426758</v>
      </c>
      <c r="AN26" s="36">
        <f>IF(ISNUMBER(Laboratorio_M!O18),Laboratorio_M!O18,"")</f>
        <v>28.91</v>
      </c>
      <c r="AO26" s="36">
        <f t="shared" si="17"/>
        <v>-7.0246124267576704E-3</v>
      </c>
      <c r="AP26" s="267">
        <f t="shared" si="18"/>
        <v>7.0246124267576704E-3</v>
      </c>
      <c r="AQ26" s="161">
        <f t="shared" si="19"/>
        <v>2.4298209708604881E-2</v>
      </c>
      <c r="AR26" s="267"/>
      <c r="AS26" s="267"/>
      <c r="AT26" s="35">
        <f>IF(ISNUMBER('Courier_M.'!S20),'Courier_M.'!S20,0)</f>
        <v>0.85306304693222046</v>
      </c>
      <c r="AU26" s="36">
        <f>IF(ISNUMBER(Laboratorio_M!S18),Laboratorio_M!S18,"")</f>
        <v>0.92800000000000005</v>
      </c>
      <c r="AV26" s="36">
        <f t="shared" si="20"/>
        <v>7.4936953067779588E-2</v>
      </c>
      <c r="AW26" s="267">
        <f t="shared" si="21"/>
        <v>7.4936953067779588E-2</v>
      </c>
      <c r="AX26" s="161">
        <f t="shared" si="40"/>
        <v>8.0751027012693513</v>
      </c>
      <c r="AY26" s="267">
        <f>Calculos_M!$AH$1</f>
        <v>8.3191193181818196E-2</v>
      </c>
      <c r="AZ26" s="267">
        <f t="shared" si="22"/>
        <v>-8.3191193181818196E-2</v>
      </c>
      <c r="BA26" s="35">
        <f>IF(ISNUMBER('Courier_M.'!U20),'Courier_M.'!U20,0)</f>
        <v>54.821846008300781</v>
      </c>
      <c r="BB26" s="36">
        <f>IF(ISNUMBER(Laboratorio_M!U18),Laboratorio_M!U18,"")</f>
        <v>57.02</v>
      </c>
      <c r="BC26" s="36">
        <f t="shared" si="23"/>
        <v>2.1981539916992219</v>
      </c>
      <c r="BD26" s="267">
        <f t="shared" si="24"/>
        <v>2.1981539916992219</v>
      </c>
      <c r="BE26" s="161">
        <f t="shared" si="41"/>
        <v>3.8550578598723635</v>
      </c>
      <c r="BF26" s="267">
        <f>Calculos_M!$AI$1</f>
        <v>1.4830847050619838</v>
      </c>
      <c r="BG26" s="267">
        <f t="shared" si="25"/>
        <v>-1.4830847050619838</v>
      </c>
      <c r="BH26" s="35">
        <f>IF(ISNUMBER('Courier_M.'!W20),'Courier_M.'!W20,"")</f>
        <v>1.3860952854156494</v>
      </c>
      <c r="BI26" s="36">
        <f>IF(ISNUMBER(Laboratorio_M!W18),Laboratorio_M!W18,"")</f>
        <v>1.0820000000000001</v>
      </c>
      <c r="BJ26" s="36">
        <f t="shared" si="26"/>
        <v>-0.30409528541564934</v>
      </c>
      <c r="BK26" s="267">
        <f t="shared" si="27"/>
        <v>0.30409528541564934</v>
      </c>
      <c r="BL26" s="161">
        <f t="shared" si="28"/>
        <v>28.104924714939862</v>
      </c>
      <c r="BM26" s="36"/>
      <c r="BN26" s="161"/>
      <c r="BO26" s="35" t="str">
        <f>IF(ISNUMBER('Courier_M.'!Y20),'Courier_M.'!Y20,"")</f>
        <v/>
      </c>
      <c r="BP26" s="36">
        <f>IF(ISNUMBER(Laboratorio_M!Y18),Laboratorio_M!Y18,"")</f>
        <v>1.23</v>
      </c>
      <c r="BQ26" s="36" t="str">
        <f t="shared" si="29"/>
        <v xml:space="preserve"> </v>
      </c>
      <c r="BR26" s="267" t="str">
        <f t="shared" si="30"/>
        <v xml:space="preserve"> </v>
      </c>
      <c r="BS26" s="161" t="str">
        <f t="shared" si="31"/>
        <v xml:space="preserve"> </v>
      </c>
      <c r="BT26" s="36"/>
      <c r="BU26" s="161"/>
    </row>
    <row r="27" spans="1:73" ht="15" x14ac:dyDescent="0.2">
      <c r="C27" s="38" t="str">
        <f>DAY(B26) &amp; "-" &amp; MONTH(B26) &amp;"-" &amp; YEAR(B26)</f>
        <v>25-8-2026</v>
      </c>
      <c r="D27" s="35">
        <f>IF(ISNUMBER('Courier_M.'!F20),'Courier_M.'!F20,"")</f>
        <v>22.577163696289063</v>
      </c>
      <c r="E27" s="36">
        <f>IF(ISNUMBER(Laboratorio_M!F18),Laboratorio_M!F18,"")</f>
        <v>22.189</v>
      </c>
      <c r="F27" s="36">
        <f t="shared" si="6"/>
        <v>-0.38816369628906244</v>
      </c>
      <c r="G27" s="267">
        <f t="shared" si="7"/>
        <v>0.38816369628906244</v>
      </c>
      <c r="H27" s="161">
        <f t="shared" si="36"/>
        <v>1.7493519144128282</v>
      </c>
      <c r="I27" s="267">
        <f>Calculos_M!$I$1</f>
        <v>2.2302216249999991</v>
      </c>
      <c r="J27" s="267">
        <f t="shared" si="32"/>
        <v>-2.2302216249999991</v>
      </c>
      <c r="K27" s="35">
        <f>IF(ISNUMBER('Courier_M.'!H20),'Courier_M.'!H20,"")</f>
        <v>4.0803060531616211</v>
      </c>
      <c r="L27" s="36">
        <f>IF(ISNUMBER(Laboratorio_M!H18),Laboratorio_M!H18,"")</f>
        <v>2.98</v>
      </c>
      <c r="M27" s="36">
        <f t="shared" si="8"/>
        <v>-1.1003060531616211</v>
      </c>
      <c r="N27" s="267">
        <f t="shared" si="9"/>
        <v>1.1003060531616211</v>
      </c>
      <c r="O27" s="161">
        <f t="shared" si="37"/>
        <v>36.923021918175202</v>
      </c>
      <c r="P27" s="267">
        <f>Calculos_M!$J$1</f>
        <v>0.382682625</v>
      </c>
      <c r="Q27" s="267">
        <f t="shared" si="33"/>
        <v>-0.382682625</v>
      </c>
      <c r="R27" s="35">
        <f>IF(ISNUMBER('Courier_M.'!J20),'Courier_M.'!J20,"")</f>
        <v>27.947559356689453</v>
      </c>
      <c r="S27" s="36">
        <f>IF(ISNUMBER(Laboratorio_M!J18),Laboratorio_M!J18,"")</f>
        <v>25.99</v>
      </c>
      <c r="T27" s="36">
        <f t="shared" si="10"/>
        <v>-1.9575593566894547</v>
      </c>
      <c r="U27" s="267">
        <f t="shared" si="11"/>
        <v>1.9575593566894547</v>
      </c>
      <c r="V27" s="161">
        <f t="shared" si="12"/>
        <v>7.5319713608674679</v>
      </c>
      <c r="W27" s="267"/>
      <c r="X27" s="267"/>
      <c r="Y27" s="35">
        <f>IF(ISNUMBER('Courier_M.'!L20),'Courier_M.'!L20,"")</f>
        <v>23.689096450805664</v>
      </c>
      <c r="Z27" s="36">
        <f>IF(ISNUMBER(Laboratorio_M!L18),Laboratorio_M!L18,"")</f>
        <v>22.885000000000002</v>
      </c>
      <c r="AA27" s="36">
        <f t="shared" si="13"/>
        <v>-0.8040964508056625</v>
      </c>
      <c r="AB27" s="267">
        <f t="shared" si="14"/>
        <v>0.8040964508056625</v>
      </c>
      <c r="AC27" s="161">
        <f t="shared" si="38"/>
        <v>3.5136397238613171</v>
      </c>
      <c r="AD27" s="267">
        <f>Calculos_M!$U$1</f>
        <v>1.0662891477272729</v>
      </c>
      <c r="AE27" s="267">
        <f t="shared" si="34"/>
        <v>-1.0662891477272729</v>
      </c>
      <c r="AF27" s="35">
        <f>IF(ISNUMBER('Courier_M.'!N20),'Courier_M.'!N20,"")</f>
        <v>0.14035680890083313</v>
      </c>
      <c r="AG27" s="36">
        <f>IF(ISNUMBER(Laboratorio_M!N18),Laboratorio_M!N18,"")</f>
        <v>7.5999999999999998E-2</v>
      </c>
      <c r="AH27" s="36">
        <f t="shared" si="15"/>
        <v>-6.4356808900833132E-2</v>
      </c>
      <c r="AI27" s="267">
        <f t="shared" si="16"/>
        <v>6.4356808900833132E-2</v>
      </c>
      <c r="AJ27" s="161">
        <f t="shared" si="39"/>
        <v>84.680011711622555</v>
      </c>
      <c r="AK27" s="267">
        <f>Calculos_M!$V$1</f>
        <v>3.2516250000000003E-2</v>
      </c>
      <c r="AL27" s="267">
        <f t="shared" si="35"/>
        <v>-3.2516250000000003E-2</v>
      </c>
      <c r="AM27" s="35">
        <f>IF(ISNUMBER('Courier_M.'!P20),'Courier_M.'!P20,"")</f>
        <v>29.494268417358398</v>
      </c>
      <c r="AN27" s="36">
        <f>IF(ISNUMBER(Laboratorio_M!P18),Laboratorio_M!P18,"")</f>
        <v>28.51</v>
      </c>
      <c r="AO27" s="36">
        <f t="shared" si="17"/>
        <v>-0.98426841735839687</v>
      </c>
      <c r="AP27" s="267">
        <f t="shared" si="18"/>
        <v>0.98426841735839687</v>
      </c>
      <c r="AQ27" s="161">
        <f t="shared" si="19"/>
        <v>3.4523620391385368</v>
      </c>
      <c r="AR27" s="267"/>
      <c r="AS27" s="267"/>
      <c r="AT27" s="35">
        <f>IF(ISNUMBER('Courier_M.'!T20),'Courier_M.'!T20,0)</f>
        <v>0.93724614381790161</v>
      </c>
      <c r="AU27" s="36">
        <f>IF(ISNUMBER(Laboratorio_M!T18),Laboratorio_M!T18,"")</f>
        <v>0.78200000000000003</v>
      </c>
      <c r="AV27" s="36">
        <f t="shared" si="20"/>
        <v>-0.15524614381790158</v>
      </c>
      <c r="AW27" s="267">
        <f t="shared" si="21"/>
        <v>0.15524614381790158</v>
      </c>
      <c r="AX27" s="161">
        <f t="shared" si="40"/>
        <v>19.85244805855519</v>
      </c>
      <c r="AY27" s="267">
        <f>Calculos_M!$AH$1</f>
        <v>8.3191193181818196E-2</v>
      </c>
      <c r="AZ27" s="267">
        <f t="shared" si="22"/>
        <v>-8.3191193181818196E-2</v>
      </c>
      <c r="BA27" s="35">
        <f>IF(ISNUMBER('Courier_M.'!V20),'Courier_M.'!V20,0)</f>
        <v>56.847740173339844</v>
      </c>
      <c r="BB27" s="36">
        <f>IF(ISNUMBER(Laboratorio_M!V18),Laboratorio_M!V18,"")</f>
        <v>57.246000000000002</v>
      </c>
      <c r="BC27" s="36">
        <f t="shared" si="23"/>
        <v>0.39825982666015847</v>
      </c>
      <c r="BD27" s="267">
        <f t="shared" si="24"/>
        <v>0.39825982666015847</v>
      </c>
      <c r="BE27" s="161">
        <f t="shared" si="41"/>
        <v>0.69569896003241882</v>
      </c>
      <c r="BF27" s="267">
        <f>Calculos_M!$AI$1</f>
        <v>1.4830847050619838</v>
      </c>
      <c r="BG27" s="267">
        <f t="shared" si="25"/>
        <v>-1.4830847050619838</v>
      </c>
      <c r="BH27" s="35">
        <f>IF(ISNUMBER('Courier_M.'!X20),'Courier_M.'!X20,"")</f>
        <v>1.0358563661575317</v>
      </c>
      <c r="BI27" s="36">
        <f>IF(ISNUMBER(Laboratorio_M!X18),Laboratorio_M!X18,"")</f>
        <v>0.85699999999999998</v>
      </c>
      <c r="BJ27" s="36">
        <f t="shared" si="26"/>
        <v>-0.17885636615753175</v>
      </c>
      <c r="BK27" s="267">
        <f t="shared" si="27"/>
        <v>0.17885636615753175</v>
      </c>
      <c r="BL27" s="161">
        <f t="shared" si="28"/>
        <v>20.870054394111058</v>
      </c>
      <c r="BM27" s="36"/>
      <c r="BN27" s="161"/>
      <c r="BO27" s="35">
        <f>IF(ISNUMBER('Courier_M.'!Z20),'Courier_M.'!Z20,"")</f>
        <v>2.6159699029383363</v>
      </c>
      <c r="BP27" s="36">
        <f>IF(ISNUMBER(Laboratorio_M!Z18),Laboratorio_M!Z18,"")</f>
        <v>1.52</v>
      </c>
      <c r="BQ27" s="36">
        <f t="shared" si="29"/>
        <v>-1.0959699029383363</v>
      </c>
      <c r="BR27" s="267">
        <f t="shared" si="30"/>
        <v>1.0959699029383363</v>
      </c>
      <c r="BS27" s="161">
        <f t="shared" si="31"/>
        <v>72.103283088048443</v>
      </c>
      <c r="BT27" s="36"/>
      <c r="BU27" s="161"/>
    </row>
    <row r="28" spans="1:73" ht="15" x14ac:dyDescent="0.2">
      <c r="A28">
        <f>+A26+1</f>
        <v>13</v>
      </c>
      <c r="B28" s="7">
        <f>+B26+1</f>
        <v>46260</v>
      </c>
      <c r="C28" s="7" t="str">
        <f>DAY(B28) &amp; "-" &amp; MONTH(B28) &amp;"-" &amp; YEAR(B28)</f>
        <v>26-8-2026</v>
      </c>
      <c r="D28" s="35">
        <f>IF(ISNUMBER('Courier_M.'!E21),'Courier_M.'!E21,"")</f>
        <v>22.439613342285156</v>
      </c>
      <c r="E28" s="36">
        <f>IF(ISNUMBER(Laboratorio_M!E19),Laboratorio_M!E19,"")</f>
        <v>22.251999999999999</v>
      </c>
      <c r="F28" s="36">
        <f t="shared" si="6"/>
        <v>-0.18761334228515736</v>
      </c>
      <c r="G28" s="267">
        <f t="shared" si="7"/>
        <v>0.18761334228515736</v>
      </c>
      <c r="H28" s="161">
        <f t="shared" si="36"/>
        <v>0.84313024575389783</v>
      </c>
      <c r="I28" s="267">
        <f>Calculos_M!$I$1</f>
        <v>2.2302216249999991</v>
      </c>
      <c r="J28" s="267">
        <f t="shared" si="32"/>
        <v>-2.2302216249999991</v>
      </c>
      <c r="K28" s="35">
        <f>IF(ISNUMBER('Courier_M.'!G21),'Courier_M.'!G21,"")</f>
        <v>2.3282473087310791</v>
      </c>
      <c r="L28" s="36">
        <f>IF(ISNUMBER(Laboratorio_M!G19),Laboratorio_M!G19,"")</f>
        <v>2.2480000000000002</v>
      </c>
      <c r="M28" s="36">
        <f t="shared" si="8"/>
        <v>-8.0247308731078881E-2</v>
      </c>
      <c r="N28" s="267">
        <f t="shared" si="9"/>
        <v>8.0247308731078881E-2</v>
      </c>
      <c r="O28" s="161">
        <f t="shared" si="37"/>
        <v>3.5697201392828677</v>
      </c>
      <c r="P28" s="267">
        <f>Calculos_M!$J$1</f>
        <v>0.382682625</v>
      </c>
      <c r="Q28" s="267">
        <f t="shared" si="33"/>
        <v>-0.382682625</v>
      </c>
      <c r="R28" s="35">
        <f>IF(ISNUMBER('Courier_M.'!I21),'Courier_M.'!I21,"")</f>
        <v>28.225917816162109</v>
      </c>
      <c r="S28" s="36">
        <f>IF(ISNUMBER(Laboratorio_M!I19),Laboratorio_M!I19,"")</f>
        <v>27.56</v>
      </c>
      <c r="T28" s="36">
        <f t="shared" si="10"/>
        <v>-0.66591781616211065</v>
      </c>
      <c r="U28" s="267">
        <f t="shared" si="11"/>
        <v>0.66591781616211065</v>
      </c>
      <c r="V28" s="161">
        <f t="shared" si="12"/>
        <v>2.4162475187304451</v>
      </c>
      <c r="W28" s="267"/>
      <c r="X28" s="267"/>
      <c r="Y28" s="35">
        <f>IF(ISNUMBER('Courier_M.'!K21),'Courier_M.'!K21,"")</f>
        <v>20.800651550292969</v>
      </c>
      <c r="Z28" s="36">
        <f>IF(ISNUMBER(Laboratorio_M!K19),Laboratorio_M!K19,"")</f>
        <v>23.391999999999999</v>
      </c>
      <c r="AA28" s="36">
        <f t="shared" si="13"/>
        <v>2.5913484497070307</v>
      </c>
      <c r="AB28" s="267">
        <f t="shared" si="14"/>
        <v>2.5913484497070307</v>
      </c>
      <c r="AC28" s="161">
        <f t="shared" si="38"/>
        <v>11.077925999089564</v>
      </c>
      <c r="AD28" s="267">
        <f>Calculos_M!$U$1</f>
        <v>1.0662891477272729</v>
      </c>
      <c r="AE28" s="267">
        <f t="shared" si="34"/>
        <v>-1.0662891477272729</v>
      </c>
      <c r="AF28" s="35">
        <f>IF(ISNUMBER('Courier_M.'!M21),'Courier_M.'!M21,"")</f>
        <v>0.22028069198131561</v>
      </c>
      <c r="AG28" s="36">
        <f>IF(ISNUMBER(Laboratorio_M!M19),Laboratorio_M!M19,"")</f>
        <v>4.9000000000000002E-2</v>
      </c>
      <c r="AH28" s="36">
        <f t="shared" si="15"/>
        <v>-0.17128069198131562</v>
      </c>
      <c r="AI28" s="267">
        <f t="shared" si="16"/>
        <v>0.17128069198131562</v>
      </c>
      <c r="AJ28" s="161">
        <f t="shared" si="39"/>
        <v>349.55243261492984</v>
      </c>
      <c r="AK28" s="267">
        <f>Calculos_M!$V$1</f>
        <v>3.2516250000000003E-2</v>
      </c>
      <c r="AL28" s="267">
        <f t="shared" si="35"/>
        <v>-3.2516250000000003E-2</v>
      </c>
      <c r="AM28" s="35">
        <f>IF(ISNUMBER('Courier_M.'!O21),'Courier_M.'!O21,"")</f>
        <v>29.250423431396484</v>
      </c>
      <c r="AN28" s="36">
        <f>IF(ISNUMBER(Laboratorio_M!O19),Laboratorio_M!O19,"")</f>
        <v>28.42</v>
      </c>
      <c r="AO28" s="36">
        <f t="shared" si="17"/>
        <v>-0.83042343139648267</v>
      </c>
      <c r="AP28" s="267">
        <f t="shared" si="18"/>
        <v>0.83042343139648267</v>
      </c>
      <c r="AQ28" s="161">
        <f t="shared" si="19"/>
        <v>2.9219684426336476</v>
      </c>
      <c r="AR28" s="267"/>
      <c r="AS28" s="267"/>
      <c r="AT28" s="35">
        <f>IF(ISNUMBER('Courier_M.'!S21),'Courier_M.'!S21,0)</f>
        <v>0.90241354703903198</v>
      </c>
      <c r="AU28" s="36">
        <f>IF(ISNUMBER(Laboratorio_M!S19),Laboratorio_M!S19,"")</f>
        <v>0.56999999999999995</v>
      </c>
      <c r="AV28" s="36">
        <f t="shared" si="20"/>
        <v>-0.33241354703903203</v>
      </c>
      <c r="AW28" s="267">
        <f t="shared" si="21"/>
        <v>0.33241354703903203</v>
      </c>
      <c r="AX28" s="161">
        <f t="shared" si="40"/>
        <v>58.318166147198603</v>
      </c>
      <c r="AY28" s="267">
        <f>Calculos_M!$AH$1</f>
        <v>8.3191193181818196E-2</v>
      </c>
      <c r="AZ28" s="267">
        <f t="shared" si="22"/>
        <v>-8.3191193181818196E-2</v>
      </c>
      <c r="BA28" s="35">
        <f>IF(ISNUMBER('Courier_M.'!U21),'Courier_M.'!U21,0)</f>
        <v>56.794994354248047</v>
      </c>
      <c r="BB28" s="36">
        <f>IF(ISNUMBER(Laboratorio_M!U19),Laboratorio_M!U19,"")</f>
        <v>58.036999999999999</v>
      </c>
      <c r="BC28" s="36">
        <f t="shared" si="23"/>
        <v>1.2420056457519522</v>
      </c>
      <c r="BD28" s="267">
        <f t="shared" si="24"/>
        <v>1.2420056457519522</v>
      </c>
      <c r="BE28" s="161">
        <f t="shared" si="41"/>
        <v>2.1400238567671521</v>
      </c>
      <c r="BF28" s="267">
        <f>Calculos_M!$AI$1</f>
        <v>1.4830847050619838</v>
      </c>
      <c r="BG28" s="267">
        <f t="shared" si="25"/>
        <v>-1.4830847050619838</v>
      </c>
      <c r="BH28" s="35">
        <f>IF(ISNUMBER('Courier_M.'!W21),'Courier_M.'!W21,"")</f>
        <v>0.92830365896224976</v>
      </c>
      <c r="BI28" s="36">
        <f>IF(ISNUMBER(Laboratorio_M!W19),Laboratorio_M!W19,"")</f>
        <v>0.65</v>
      </c>
      <c r="BJ28" s="36">
        <f t="shared" si="26"/>
        <v>-0.27830365896224973</v>
      </c>
      <c r="BK28" s="267">
        <f t="shared" si="27"/>
        <v>0.27830365896224973</v>
      </c>
      <c r="BL28" s="161">
        <f t="shared" si="28"/>
        <v>42.815947532653801</v>
      </c>
      <c r="BM28" s="36"/>
      <c r="BN28" s="161"/>
      <c r="BO28" s="35">
        <f>IF(ISNUMBER('Courier_M.'!Y21),'Courier_M.'!Y21,"")</f>
        <v>2.7132976953725172</v>
      </c>
      <c r="BP28" s="36">
        <f>IF(ISNUMBER(Laboratorio_M!Y19),Laboratorio_M!Y19,"")</f>
        <v>0.91</v>
      </c>
      <c r="BQ28" s="36">
        <f t="shared" si="29"/>
        <v>-1.8032976953725171</v>
      </c>
      <c r="BR28" s="267">
        <f t="shared" si="30"/>
        <v>1.8032976953725171</v>
      </c>
      <c r="BS28" s="161">
        <f t="shared" si="31"/>
        <v>198.16458190906781</v>
      </c>
      <c r="BT28" s="36"/>
      <c r="BU28" s="161"/>
    </row>
    <row r="29" spans="1:73" ht="15" x14ac:dyDescent="0.2">
      <c r="C29" s="38" t="str">
        <f>DAY(B28) &amp; "-" &amp; MONTH(B28) &amp;"-" &amp; YEAR(B28)</f>
        <v>26-8-2026</v>
      </c>
      <c r="D29" s="35">
        <f>IF(ISNUMBER('Courier_M.'!F21),'Courier_M.'!F21,"")</f>
        <v>22.115400314331055</v>
      </c>
      <c r="E29" s="36">
        <f>IF(ISNUMBER(Laboratorio_M!F19),Laboratorio_M!F19,"")</f>
        <v>22.593</v>
      </c>
      <c r="F29" s="36">
        <f t="shared" si="6"/>
        <v>0.47759968566894528</v>
      </c>
      <c r="G29" s="267">
        <f t="shared" si="7"/>
        <v>0.47759968566894528</v>
      </c>
      <c r="H29" s="161">
        <f t="shared" si="36"/>
        <v>2.1139277018056268</v>
      </c>
      <c r="I29" s="267">
        <f>Calculos_M!$I$1</f>
        <v>2.2302216249999991</v>
      </c>
      <c r="J29" s="267">
        <f t="shared" si="32"/>
        <v>-2.2302216249999991</v>
      </c>
      <c r="K29" s="35">
        <f>IF(ISNUMBER('Courier_M.'!H21),'Courier_M.'!H21,"")</f>
        <v>2.5708036422729492</v>
      </c>
      <c r="L29" s="36">
        <f>IF(ISNUMBER(Laboratorio_M!H19),Laboratorio_M!H19,"")</f>
        <v>4.2629999999999999</v>
      </c>
      <c r="M29" s="36">
        <f t="shared" si="8"/>
        <v>1.6921963577270507</v>
      </c>
      <c r="N29" s="267">
        <f t="shared" si="9"/>
        <v>1.6921963577270507</v>
      </c>
      <c r="O29" s="161">
        <f t="shared" si="37"/>
        <v>39.694964994770132</v>
      </c>
      <c r="P29" s="267">
        <f>Calculos_M!$J$1</f>
        <v>0.382682625</v>
      </c>
      <c r="Q29" s="267">
        <f t="shared" si="33"/>
        <v>-0.382682625</v>
      </c>
      <c r="R29" s="35">
        <f>IF(ISNUMBER('Courier_M.'!J21),'Courier_M.'!J21,"")</f>
        <v>26.804603576660156</v>
      </c>
      <c r="S29" s="36">
        <f>IF(ISNUMBER(Laboratorio_M!J19),Laboratorio_M!J19,"")</f>
        <v>25.83</v>
      </c>
      <c r="T29" s="36">
        <f t="shared" si="10"/>
        <v>-0.97460357666015796</v>
      </c>
      <c r="U29" s="267">
        <f t="shared" si="11"/>
        <v>0.97460357666015796</v>
      </c>
      <c r="V29" s="161">
        <f t="shared" si="12"/>
        <v>3.7731458639572515</v>
      </c>
      <c r="W29" s="267"/>
      <c r="X29" s="267"/>
      <c r="Y29" s="35">
        <f>IF(ISNUMBER('Courier_M.'!L21),'Courier_M.'!L21,"")</f>
        <v>22.796459197998047</v>
      </c>
      <c r="Z29" s="36">
        <f>IF(ISNUMBER(Laboratorio_M!L19),Laboratorio_M!L19,"")</f>
        <v>23.785</v>
      </c>
      <c r="AA29" s="36">
        <f t="shared" si="13"/>
        <v>0.98854080200195327</v>
      </c>
      <c r="AB29" s="267">
        <f t="shared" si="14"/>
        <v>0.98854080200195327</v>
      </c>
      <c r="AC29" s="161">
        <f t="shared" si="38"/>
        <v>4.1561522051795388</v>
      </c>
      <c r="AD29" s="267">
        <f>Calculos_M!$U$1</f>
        <v>1.0662891477272729</v>
      </c>
      <c r="AE29" s="267">
        <f t="shared" si="34"/>
        <v>-1.0662891477272729</v>
      </c>
      <c r="AF29" s="35">
        <f>IF(ISNUMBER('Courier_M.'!N21),'Courier_M.'!N21,"")</f>
        <v>0.1689692884683609</v>
      </c>
      <c r="AG29" s="36">
        <f>IF(ISNUMBER(Laboratorio_M!N19),Laboratorio_M!N19,"")</f>
        <v>8.5999999999999993E-2</v>
      </c>
      <c r="AH29" s="36">
        <f t="shared" si="15"/>
        <v>-8.2969288468360908E-2</v>
      </c>
      <c r="AI29" s="267">
        <f t="shared" si="16"/>
        <v>8.2969288468360908E-2</v>
      </c>
      <c r="AJ29" s="161">
        <f t="shared" si="39"/>
        <v>96.475916823675476</v>
      </c>
      <c r="AK29" s="267">
        <f>Calculos_M!$V$1</f>
        <v>3.2516250000000003E-2</v>
      </c>
      <c r="AL29" s="267">
        <f t="shared" si="35"/>
        <v>-3.2516250000000003E-2</v>
      </c>
      <c r="AM29" s="35">
        <f>IF(ISNUMBER('Courier_M.'!P21),'Courier_M.'!P21,"")</f>
        <v>28.970615386962891</v>
      </c>
      <c r="AN29" s="36">
        <f>IF(ISNUMBER(Laboratorio_M!P19),Laboratorio_M!P19,"")</f>
        <v>29.19</v>
      </c>
      <c r="AO29" s="36">
        <f t="shared" si="17"/>
        <v>0.21938461303711065</v>
      </c>
      <c r="AP29" s="267">
        <f t="shared" si="18"/>
        <v>0.21938461303711065</v>
      </c>
      <c r="AQ29" s="161">
        <f t="shared" si="19"/>
        <v>0.75157455648205085</v>
      </c>
      <c r="AR29" s="267"/>
      <c r="AS29" s="267"/>
      <c r="AT29" s="35">
        <f>IF(ISNUMBER('Courier_M.'!T21),'Courier_M.'!T21,0)</f>
        <v>0.77111351490020752</v>
      </c>
      <c r="AU29" s="36">
        <f>IF(ISNUMBER(Laboratorio_M!T19),Laboratorio_M!T19,"")</f>
        <v>0.53700000000000003</v>
      </c>
      <c r="AV29" s="36">
        <f t="shared" si="20"/>
        <v>-0.23411351490020749</v>
      </c>
      <c r="AW29" s="267">
        <f t="shared" si="21"/>
        <v>0.23411351490020749</v>
      </c>
      <c r="AX29" s="161">
        <f t="shared" si="40"/>
        <v>43.596557709535844</v>
      </c>
      <c r="AY29" s="267">
        <f>Calculos_M!$AH$1</f>
        <v>8.3191193181818196E-2</v>
      </c>
      <c r="AZ29" s="267">
        <f t="shared" si="22"/>
        <v>-8.3191193181818196E-2</v>
      </c>
      <c r="BA29" s="35">
        <f>IF(ISNUMBER('Courier_M.'!V21),'Courier_M.'!V21,0)</f>
        <v>56.340744018554688</v>
      </c>
      <c r="BB29" s="36">
        <f>IF(ISNUMBER(Laboratorio_M!V19),Laboratorio_M!V19,"")</f>
        <v>57.472000000000001</v>
      </c>
      <c r="BC29" s="36">
        <f t="shared" si="23"/>
        <v>1.1312559814453138</v>
      </c>
      <c r="BD29" s="267">
        <f t="shared" si="24"/>
        <v>1.1312559814453138</v>
      </c>
      <c r="BE29" s="161">
        <f t="shared" si="41"/>
        <v>1.9683602127041233</v>
      </c>
      <c r="BF29" s="267">
        <f>Calculos_M!$AI$1</f>
        <v>1.4830847050619838</v>
      </c>
      <c r="BG29" s="267">
        <f t="shared" si="25"/>
        <v>-1.4830847050619838</v>
      </c>
      <c r="BH29" s="35">
        <f>IF(ISNUMBER('Courier_M.'!X21),'Courier_M.'!X21,"")</f>
        <v>0.78384280204772949</v>
      </c>
      <c r="BI29" s="36">
        <f>IF(ISNUMBER(Laboratorio_M!X19),Laboratorio_M!X19,"")</f>
        <v>0.71199999999999997</v>
      </c>
      <c r="BJ29" s="36">
        <f t="shared" si="26"/>
        <v>-7.1842802047729526E-2</v>
      </c>
      <c r="BK29" s="267">
        <f t="shared" si="27"/>
        <v>7.1842802047729526E-2</v>
      </c>
      <c r="BL29" s="161">
        <f t="shared" si="28"/>
        <v>10.090281186478867</v>
      </c>
      <c r="BM29" s="36"/>
      <c r="BN29" s="161"/>
      <c r="BO29" s="35" t="str">
        <f>IF(ISNUMBER('Courier_M.'!Z21),'Courier_M.'!Z21,"")</f>
        <v/>
      </c>
      <c r="BP29" s="36">
        <f>IF(ISNUMBER(Laboratorio_M!Z19),Laboratorio_M!Z19,"")</f>
        <v>1.76</v>
      </c>
      <c r="BQ29" s="36" t="str">
        <f t="shared" si="29"/>
        <v xml:space="preserve"> </v>
      </c>
      <c r="BR29" s="267" t="str">
        <f t="shared" si="30"/>
        <v xml:space="preserve"> </v>
      </c>
      <c r="BS29" s="161" t="str">
        <f t="shared" si="31"/>
        <v xml:space="preserve"> </v>
      </c>
      <c r="BT29" s="36"/>
      <c r="BU29" s="161"/>
    </row>
    <row r="30" spans="1:73" ht="15" x14ac:dyDescent="0.2">
      <c r="A30">
        <f>+A28+1</f>
        <v>14</v>
      </c>
      <c r="B30" s="7">
        <f>+B28+1</f>
        <v>46261</v>
      </c>
      <c r="C30" s="7" t="str">
        <f>DAY(B30) &amp; "-" &amp; MONTH(B30) &amp;"-" &amp; YEAR(B30)</f>
        <v>27-8-2026</v>
      </c>
      <c r="D30" s="35">
        <f>IF(ISNUMBER('Courier_M.'!E22),'Courier_M.'!E22,"")</f>
        <v>22.115400314331055</v>
      </c>
      <c r="E30" s="36">
        <f>IF(ISNUMBER(Laboratorio_M!E20),Laboratorio_M!E20,"")</f>
        <v>22.55</v>
      </c>
      <c r="F30" s="36">
        <f t="shared" si="6"/>
        <v>0.43459968566894602</v>
      </c>
      <c r="G30" s="267">
        <f t="shared" si="7"/>
        <v>0.43459968566894602</v>
      </c>
      <c r="H30" s="161">
        <f t="shared" si="36"/>
        <v>1.9272713333434413</v>
      </c>
      <c r="I30" s="267">
        <f>Calculos_M!$I$1</f>
        <v>2.2302216249999991</v>
      </c>
      <c r="J30" s="267">
        <f t="shared" si="32"/>
        <v>-2.2302216249999991</v>
      </c>
      <c r="K30" s="35">
        <f>IF(ISNUMBER('Courier_M.'!G22),'Courier_M.'!G22,"")</f>
        <v>2.5708036422729492</v>
      </c>
      <c r="L30" s="36">
        <f>IF(ISNUMBER(Laboratorio_M!G20),Laboratorio_M!G20,"")</f>
        <v>2.2709999999999999</v>
      </c>
      <c r="M30" s="36">
        <f t="shared" si="8"/>
        <v>-0.29980364227294931</v>
      </c>
      <c r="N30" s="267">
        <f t="shared" si="9"/>
        <v>0.29980364227294931</v>
      </c>
      <c r="O30" s="161">
        <f t="shared" si="37"/>
        <v>13.201393318932158</v>
      </c>
      <c r="P30" s="267">
        <f>Calculos_M!$J$1</f>
        <v>0.382682625</v>
      </c>
      <c r="Q30" s="267">
        <f t="shared" si="33"/>
        <v>-0.382682625</v>
      </c>
      <c r="R30" s="35">
        <f>IF(ISNUMBER('Courier_M.'!I22),'Courier_M.'!I22,"")</f>
        <v>26.804603576660156</v>
      </c>
      <c r="S30" s="36">
        <f>IF(ISNUMBER(Laboratorio_M!I20),Laboratorio_M!I20,"")</f>
        <v>28.12</v>
      </c>
      <c r="T30" s="36">
        <f t="shared" si="10"/>
        <v>1.3153964233398447</v>
      </c>
      <c r="U30" s="267">
        <f t="shared" si="11"/>
        <v>1.3153964233398447</v>
      </c>
      <c r="V30" s="161">
        <f t="shared" si="12"/>
        <v>4.6777966690606139</v>
      </c>
      <c r="W30" s="267"/>
      <c r="X30" s="267"/>
      <c r="Y30" s="35">
        <f>IF(ISNUMBER('Courier_M.'!K22),'Courier_M.'!K22,"")</f>
        <v>22.796459197998047</v>
      </c>
      <c r="Z30" s="36">
        <f>IF(ISNUMBER(Laboratorio_M!K20),Laboratorio_M!K20,"")</f>
        <v>23.541</v>
      </c>
      <c r="AA30" s="36">
        <f t="shared" si="13"/>
        <v>0.74454080200195349</v>
      </c>
      <c r="AB30" s="267">
        <f t="shared" si="14"/>
        <v>0.74454080200195349</v>
      </c>
      <c r="AC30" s="161">
        <f t="shared" si="38"/>
        <v>3.1627407586846497</v>
      </c>
      <c r="AD30" s="267">
        <f>Calculos_M!$U$1</f>
        <v>1.0662891477272729</v>
      </c>
      <c r="AE30" s="267">
        <f t="shared" si="34"/>
        <v>-1.0662891477272729</v>
      </c>
      <c r="AF30" s="35">
        <f>IF(ISNUMBER('Courier_M.'!M22),'Courier_M.'!M22,"")</f>
        <v>0.1689692884683609</v>
      </c>
      <c r="AG30" s="36">
        <f>IF(ISNUMBER(Laboratorio_M!M20),Laboratorio_M!M20,"")</f>
        <v>0.05</v>
      </c>
      <c r="AH30" s="36">
        <f t="shared" si="15"/>
        <v>-0.1189692884683609</v>
      </c>
      <c r="AI30" s="267">
        <f t="shared" si="16"/>
        <v>0.1189692884683609</v>
      </c>
      <c r="AJ30" s="161">
        <f t="shared" si="39"/>
        <v>237.9385769367218</v>
      </c>
      <c r="AK30" s="267">
        <f>Calculos_M!$V$1</f>
        <v>3.2516250000000003E-2</v>
      </c>
      <c r="AL30" s="267">
        <f t="shared" si="35"/>
        <v>-3.2516250000000003E-2</v>
      </c>
      <c r="AM30" s="35">
        <f>IF(ISNUMBER('Courier_M.'!O22),'Courier_M.'!O22,"")</f>
        <v>28.970615386962891</v>
      </c>
      <c r="AN30" s="36">
        <f>IF(ISNUMBER(Laboratorio_M!O20),Laboratorio_M!O20,"")</f>
        <v>29.26</v>
      </c>
      <c r="AO30" s="36">
        <f t="shared" si="17"/>
        <v>0.28938461303711094</v>
      </c>
      <c r="AP30" s="267">
        <f t="shared" si="18"/>
        <v>0.28938461303711094</v>
      </c>
      <c r="AQ30" s="161">
        <f t="shared" si="19"/>
        <v>0.98901098098807561</v>
      </c>
      <c r="AR30" s="267"/>
      <c r="AS30" s="267"/>
      <c r="AT30" s="35">
        <f>IF(ISNUMBER('Courier_M.'!S22),'Courier_M.'!S22,0)</f>
        <v>0.77111351490020752</v>
      </c>
      <c r="AU30" s="36" t="str">
        <f>IF(ISNUMBER(Laboratorio_M!S20),Laboratorio_M!S20,"")</f>
        <v/>
      </c>
      <c r="AV30" s="36" t="str">
        <f t="shared" si="20"/>
        <v xml:space="preserve"> </v>
      </c>
      <c r="AW30" s="267" t="str">
        <f t="shared" si="21"/>
        <v xml:space="preserve"> </v>
      </c>
      <c r="AX30" s="161" t="str">
        <f t="shared" si="40"/>
        <v xml:space="preserve"> </v>
      </c>
      <c r="AY30" s="267">
        <f>Calculos_M!$AH$1</f>
        <v>8.3191193181818196E-2</v>
      </c>
      <c r="AZ30" s="267">
        <f t="shared" si="22"/>
        <v>-8.3191193181818196E-2</v>
      </c>
      <c r="BA30" s="35">
        <f>IF(ISNUMBER('Courier_M.'!U22),'Courier_M.'!U22,0)</f>
        <v>56.340744018554688</v>
      </c>
      <c r="BB30" s="36" t="str">
        <f>IF(ISNUMBER(Laboratorio_M!U20),Laboratorio_M!U20,"")</f>
        <v/>
      </c>
      <c r="BC30" s="36" t="str">
        <f t="shared" si="23"/>
        <v xml:space="preserve"> </v>
      </c>
      <c r="BD30" s="267" t="str">
        <f t="shared" si="24"/>
        <v xml:space="preserve"> </v>
      </c>
      <c r="BE30" s="161" t="str">
        <f t="shared" si="41"/>
        <v xml:space="preserve"> </v>
      </c>
      <c r="BF30" s="267">
        <f>Calculos_M!$AI$1</f>
        <v>1.4830847050619838</v>
      </c>
      <c r="BG30" s="267">
        <f t="shared" si="25"/>
        <v>-1.4830847050619838</v>
      </c>
      <c r="BH30" s="35">
        <f>IF(ISNUMBER('Courier_M.'!W22),'Courier_M.'!W22,"")</f>
        <v>0.78384280204772949</v>
      </c>
      <c r="BI30" s="36" t="str">
        <f>IF(ISNUMBER(Laboratorio_M!W20),Laboratorio_M!W20,"")</f>
        <v/>
      </c>
      <c r="BJ30" s="36" t="str">
        <f t="shared" si="26"/>
        <v xml:space="preserve"> </v>
      </c>
      <c r="BK30" s="267" t="str">
        <f t="shared" si="27"/>
        <v xml:space="preserve"> </v>
      </c>
      <c r="BL30" s="161" t="str">
        <f t="shared" si="28"/>
        <v xml:space="preserve"> </v>
      </c>
      <c r="BM30" s="36"/>
      <c r="BN30" s="161"/>
      <c r="BO30" s="35" t="str">
        <f>IF(ISNUMBER('Courier_M.'!Y22),'Courier_M.'!Y22,"")</f>
        <v/>
      </c>
      <c r="BP30" s="36" t="str">
        <f>IF(ISNUMBER(Laboratorio_M!Y20),Laboratorio_M!Y20,"")</f>
        <v/>
      </c>
      <c r="BQ30" s="36" t="str">
        <f t="shared" si="29"/>
        <v xml:space="preserve"> </v>
      </c>
      <c r="BR30" s="267" t="str">
        <f t="shared" si="30"/>
        <v xml:space="preserve"> </v>
      </c>
      <c r="BS30" s="161" t="str">
        <f t="shared" si="31"/>
        <v xml:space="preserve"> </v>
      </c>
      <c r="BT30" s="36"/>
      <c r="BU30" s="161"/>
    </row>
    <row r="31" spans="1:73" ht="15" x14ac:dyDescent="0.2">
      <c r="C31" s="38" t="str">
        <f>DAY(B30) &amp; "-" &amp; MONTH(B30) &amp;"-" &amp; YEAR(B30)</f>
        <v>27-8-2026</v>
      </c>
      <c r="D31" s="35">
        <f>IF(ISNUMBER('Courier_M.'!F22),'Courier_M.'!F22,"")</f>
        <v>22.430482864379883</v>
      </c>
      <c r="E31" s="36">
        <f>IF(ISNUMBER(Laboratorio_M!F20),Laboratorio_M!F20,"")</f>
        <v>23.88</v>
      </c>
      <c r="F31" s="36">
        <f t="shared" si="6"/>
        <v>1.4495171356201162</v>
      </c>
      <c r="G31" s="267">
        <f t="shared" si="7"/>
        <v>1.4495171356201162</v>
      </c>
      <c r="H31" s="161">
        <f t="shared" si="36"/>
        <v>6.0700047555281254</v>
      </c>
      <c r="I31" s="267">
        <f>Calculos_M!$I$1</f>
        <v>2.2302216249999991</v>
      </c>
      <c r="J31" s="267">
        <f t="shared" si="32"/>
        <v>-2.2302216249999991</v>
      </c>
      <c r="K31" s="35">
        <f>IF(ISNUMBER('Courier_M.'!H22),'Courier_M.'!H22,"")</f>
        <v>0.68110287189483643</v>
      </c>
      <c r="L31" s="36">
        <f>IF(ISNUMBER(Laboratorio_M!H20),Laboratorio_M!H20,"")</f>
        <v>1.7969999999999999</v>
      </c>
      <c r="M31" s="36">
        <f t="shared" si="8"/>
        <v>1.1158971281051635</v>
      </c>
      <c r="N31" s="267">
        <f t="shared" si="9"/>
        <v>1.1158971281051635</v>
      </c>
      <c r="O31" s="161">
        <f t="shared" si="37"/>
        <v>62.097781196725855</v>
      </c>
      <c r="P31" s="267">
        <f>Calculos_M!$J$1</f>
        <v>0.382682625</v>
      </c>
      <c r="Q31" s="267">
        <f t="shared" si="33"/>
        <v>-0.382682625</v>
      </c>
      <c r="R31" s="35">
        <f>IF(ISNUMBER('Courier_M.'!J22),'Courier_M.'!J22,"")</f>
        <v>27.774629592895508</v>
      </c>
      <c r="S31" s="36">
        <f>IF(ISNUMBER(Laboratorio_M!J20),Laboratorio_M!J20,"")</f>
        <v>29.42</v>
      </c>
      <c r="T31" s="36">
        <f t="shared" si="10"/>
        <v>1.6453704071044939</v>
      </c>
      <c r="U31" s="267">
        <f t="shared" si="11"/>
        <v>1.6453704071044939</v>
      </c>
      <c r="V31" s="161">
        <f t="shared" si="12"/>
        <v>5.5926934299948803</v>
      </c>
      <c r="W31" s="267"/>
      <c r="X31" s="267"/>
      <c r="Y31" s="35">
        <f>IF(ISNUMBER('Courier_M.'!L22),'Courier_M.'!L22,"")</f>
        <v>21.517040252685547</v>
      </c>
      <c r="Z31" s="36">
        <f>IF(ISNUMBER(Laboratorio_M!L20),Laboratorio_M!L20,"")</f>
        <v>22.288</v>
      </c>
      <c r="AA31" s="36">
        <f t="shared" si="13"/>
        <v>0.77095974731445338</v>
      </c>
      <c r="AB31" s="267">
        <f t="shared" si="14"/>
        <v>0.77095974731445338</v>
      </c>
      <c r="AC31" s="161">
        <f t="shared" si="38"/>
        <v>3.4590799861560182</v>
      </c>
      <c r="AD31" s="267">
        <f>Calculos_M!$U$1</f>
        <v>1.0662891477272729</v>
      </c>
      <c r="AE31" s="267">
        <f t="shared" si="34"/>
        <v>-1.0662891477272729</v>
      </c>
      <c r="AF31" s="35">
        <f>IF(ISNUMBER('Courier_M.'!N22),'Courier_M.'!N22,"")</f>
        <v>6.8032629787921906E-2</v>
      </c>
      <c r="AG31" s="36">
        <f>IF(ISNUMBER(Laboratorio_M!N20),Laboratorio_M!N20,"")</f>
        <v>2.7E-2</v>
      </c>
      <c r="AH31" s="36">
        <f t="shared" si="15"/>
        <v>-4.1032629787921909E-2</v>
      </c>
      <c r="AI31" s="267">
        <f t="shared" si="16"/>
        <v>4.1032629787921909E-2</v>
      </c>
      <c r="AJ31" s="161">
        <f t="shared" si="39"/>
        <v>151.97270291822929</v>
      </c>
      <c r="AK31" s="267">
        <f>Calculos_M!$V$1</f>
        <v>3.2516250000000003E-2</v>
      </c>
      <c r="AL31" s="267">
        <f t="shared" si="35"/>
        <v>-3.2516250000000003E-2</v>
      </c>
      <c r="AM31" s="35">
        <f>IF(ISNUMBER('Courier_M.'!P22),'Courier_M.'!P22,"")</f>
        <v>29.194454193115234</v>
      </c>
      <c r="AN31" s="36">
        <f>IF(ISNUMBER(Laboratorio_M!P20),Laboratorio_M!P20,"")</f>
        <v>30.57</v>
      </c>
      <c r="AO31" s="36">
        <f t="shared" si="17"/>
        <v>1.3755458068847659</v>
      </c>
      <c r="AP31" s="267">
        <f t="shared" si="18"/>
        <v>1.3755458068847659</v>
      </c>
      <c r="AQ31" s="161">
        <f t="shared" si="19"/>
        <v>4.49965916547192</v>
      </c>
      <c r="AR31" s="267"/>
      <c r="AS31" s="267"/>
      <c r="AT31" s="35">
        <f>IF(ISNUMBER('Courier_M.'!T22),'Courier_M.'!T22,0)</f>
        <v>0.75849008560180664</v>
      </c>
      <c r="AU31" s="36">
        <f>IF(ISNUMBER(Laboratorio_M!T20),Laboratorio_M!T20,"")</f>
        <v>0.44400000000000001</v>
      </c>
      <c r="AV31" s="36">
        <f t="shared" si="20"/>
        <v>-0.31449008560180663</v>
      </c>
      <c r="AW31" s="267">
        <f t="shared" si="21"/>
        <v>0.31449008560180663</v>
      </c>
      <c r="AX31" s="161">
        <f t="shared" si="40"/>
        <v>70.831100360767266</v>
      </c>
      <c r="AY31" s="267">
        <f>Calculos_M!$AH$1</f>
        <v>8.3191193181818196E-2</v>
      </c>
      <c r="AZ31" s="267">
        <f t="shared" si="22"/>
        <v>-8.3191193181818196E-2</v>
      </c>
      <c r="BA31" s="35">
        <f>IF(ISNUMBER('Courier_M.'!V22),'Courier_M.'!V22,0)</f>
        <v>57.260551452636719</v>
      </c>
      <c r="BB31" s="36">
        <f>IF(ISNUMBER(Laboratorio_M!V20),Laboratorio_M!V20,"")</f>
        <v>57.484999999999999</v>
      </c>
      <c r="BC31" s="36">
        <f t="shared" si="23"/>
        <v>0.22444854736328068</v>
      </c>
      <c r="BD31" s="267">
        <f t="shared" si="24"/>
        <v>0.22444854736328068</v>
      </c>
      <c r="BE31" s="161">
        <f t="shared" si="41"/>
        <v>0.39044715554193388</v>
      </c>
      <c r="BF31" s="267">
        <f>Calculos_M!$AI$1</f>
        <v>1.4830847050619838</v>
      </c>
      <c r="BG31" s="267">
        <f t="shared" si="25"/>
        <v>-1.4830847050619838</v>
      </c>
      <c r="BH31" s="35">
        <f>IF(ISNUMBER('Courier_M.'!X22),'Courier_M.'!X22,"")</f>
        <v>0.76695138216018677</v>
      </c>
      <c r="BI31" s="36">
        <f>IF(ISNUMBER(Laboratorio_M!X20),Laboratorio_M!X20,"")</f>
        <v>0.84</v>
      </c>
      <c r="BJ31" s="36">
        <f t="shared" si="26"/>
        <v>7.3048617839813201E-2</v>
      </c>
      <c r="BK31" s="267">
        <f t="shared" si="27"/>
        <v>7.3048617839813201E-2</v>
      </c>
      <c r="BL31" s="161">
        <f t="shared" si="28"/>
        <v>8.6962640285491908</v>
      </c>
      <c r="BM31" s="36"/>
      <c r="BN31" s="161"/>
      <c r="BO31" s="35" t="str">
        <f>IF(ISNUMBER('Courier_M.'!Z22),'Courier_M.'!Z22,"")</f>
        <v/>
      </c>
      <c r="BP31" s="36">
        <f>IF(ISNUMBER(Laboratorio_M!Z20),Laboratorio_M!Z20,"")</f>
        <v>1.58</v>
      </c>
      <c r="BQ31" s="36" t="str">
        <f t="shared" si="29"/>
        <v xml:space="preserve"> </v>
      </c>
      <c r="BR31" s="267" t="str">
        <f t="shared" si="30"/>
        <v xml:space="preserve"> </v>
      </c>
      <c r="BS31" s="161" t="str">
        <f t="shared" si="31"/>
        <v xml:space="preserve"> </v>
      </c>
      <c r="BT31" s="36"/>
      <c r="BU31" s="161"/>
    </row>
    <row r="32" spans="1:73" ht="15" x14ac:dyDescent="0.2">
      <c r="A32">
        <f>+A30+1</f>
        <v>15</v>
      </c>
      <c r="B32" s="7">
        <f>+B30+1</f>
        <v>46262</v>
      </c>
      <c r="C32" s="7" t="str">
        <f>DAY(B32) &amp; "-" &amp; MONTH(B32) &amp;"-" &amp; YEAR(B32)</f>
        <v>28-8-2026</v>
      </c>
      <c r="D32" s="35">
        <f>IF(ISNUMBER('Courier_M.'!E23),'Courier_M.'!E23,"")</f>
        <v>23.856645584106445</v>
      </c>
      <c r="E32" s="36">
        <f>IF(ISNUMBER(Laboratorio_M!E21),Laboratorio_M!E21,"")</f>
        <v>23.491</v>
      </c>
      <c r="F32" s="36">
        <f t="shared" si="6"/>
        <v>-0.36564558410644565</v>
      </c>
      <c r="G32" s="267">
        <f t="shared" si="7"/>
        <v>0.36564558410644565</v>
      </c>
      <c r="H32" s="161">
        <f t="shared" si="36"/>
        <v>1.5565347754733543</v>
      </c>
      <c r="I32" s="267">
        <f>Calculos_M!$I$1</f>
        <v>2.2302216249999991</v>
      </c>
      <c r="J32" s="267">
        <f t="shared" si="32"/>
        <v>-2.2302216249999991</v>
      </c>
      <c r="K32" s="35">
        <f>IF(ISNUMBER('Courier_M.'!G23),'Courier_M.'!G23,"")</f>
        <v>0.74810713529586792</v>
      </c>
      <c r="L32" s="36">
        <f>IF(ISNUMBER(Laboratorio_M!G21),Laboratorio_M!G21,"")</f>
        <v>1.99</v>
      </c>
      <c r="M32" s="36">
        <f t="shared" si="8"/>
        <v>1.2418928647041321</v>
      </c>
      <c r="N32" s="267">
        <f t="shared" si="9"/>
        <v>1.2418928647041321</v>
      </c>
      <c r="O32" s="161">
        <f t="shared" si="37"/>
        <v>62.406676618298093</v>
      </c>
      <c r="P32" s="267">
        <f>Calculos_M!$J$1</f>
        <v>0.382682625</v>
      </c>
      <c r="Q32" s="267">
        <f t="shared" si="33"/>
        <v>-0.382682625</v>
      </c>
      <c r="R32" s="35">
        <f>IF(ISNUMBER('Courier_M.'!I23),'Courier_M.'!I23,"")</f>
        <v>27.966691970825195</v>
      </c>
      <c r="S32" s="36">
        <f>IF(ISNUMBER(Laboratorio_M!I21),Laboratorio_M!I21,"")</f>
        <v>29.52</v>
      </c>
      <c r="T32" s="36">
        <f t="shared" si="10"/>
        <v>1.5533080291748043</v>
      </c>
      <c r="U32" s="267">
        <f t="shared" si="11"/>
        <v>1.5533080291748043</v>
      </c>
      <c r="V32" s="161">
        <f t="shared" si="12"/>
        <v>5.2618835676653264</v>
      </c>
      <c r="W32" s="267"/>
      <c r="X32" s="267"/>
      <c r="Y32" s="35">
        <f>IF(ISNUMBER('Courier_M.'!K23),'Courier_M.'!K23,"")</f>
        <v>23.994331359863281</v>
      </c>
      <c r="Z32" s="36">
        <f>IF(ISNUMBER(Laboratorio_M!K21),Laboratorio_M!K21,"")</f>
        <v>23.565999999999999</v>
      </c>
      <c r="AA32" s="36">
        <f t="shared" si="13"/>
        <v>-0.4283313598632823</v>
      </c>
      <c r="AB32" s="267">
        <f t="shared" si="14"/>
        <v>0.4283313598632823</v>
      </c>
      <c r="AC32" s="161">
        <f t="shared" si="38"/>
        <v>1.8175819395030226</v>
      </c>
      <c r="AD32" s="267">
        <f>Calculos_M!$U$1</f>
        <v>1.0662891477272729</v>
      </c>
      <c r="AE32" s="267">
        <f t="shared" si="34"/>
        <v>-1.0662891477272729</v>
      </c>
      <c r="AF32" s="35">
        <f>IF(ISNUMBER('Courier_M.'!M23),'Courier_M.'!M23,"")</f>
        <v>9.1524593532085419E-2</v>
      </c>
      <c r="AG32" s="36">
        <f>IF(ISNUMBER(Laboratorio_M!M21),Laboratorio_M!M21,"")</f>
        <v>0.152</v>
      </c>
      <c r="AH32" s="36">
        <f t="shared" si="15"/>
        <v>6.0475406467914578E-2</v>
      </c>
      <c r="AI32" s="267">
        <f t="shared" si="16"/>
        <v>6.0475406467914578E-2</v>
      </c>
      <c r="AJ32" s="161">
        <f t="shared" si="39"/>
        <v>39.786451623628011</v>
      </c>
      <c r="AK32" s="267">
        <f>Calculos_M!$V$1</f>
        <v>3.2516250000000003E-2</v>
      </c>
      <c r="AL32" s="267">
        <f t="shared" si="35"/>
        <v>-3.2516250000000003E-2</v>
      </c>
      <c r="AM32" s="35">
        <f>IF(ISNUMBER('Courier_M.'!O23),'Courier_M.'!O23,"")</f>
        <v>29.186149597167969</v>
      </c>
      <c r="AN32" s="36">
        <f>IF(ISNUMBER(Laboratorio_M!O21),Laboratorio_M!O21,"")</f>
        <v>30.46</v>
      </c>
      <c r="AO32" s="36">
        <f t="shared" si="17"/>
        <v>1.2738504028320321</v>
      </c>
      <c r="AP32" s="267">
        <f t="shared" si="18"/>
        <v>1.2738504028320321</v>
      </c>
      <c r="AQ32" s="161">
        <f t="shared" si="19"/>
        <v>4.1820433448195411</v>
      </c>
      <c r="AR32" s="267"/>
      <c r="AS32" s="267"/>
      <c r="AT32" s="35">
        <f>IF(ISNUMBER('Courier_M.'!S23),'Courier_M.'!S23,0)</f>
        <v>0.73530465364456177</v>
      </c>
      <c r="AU32" s="36">
        <f>IF(ISNUMBER(Laboratorio_M!S21),Laboratorio_M!S21,"")</f>
        <v>0.47499999999999998</v>
      </c>
      <c r="AV32" s="36">
        <f t="shared" si="20"/>
        <v>-0.26030465364456179</v>
      </c>
      <c r="AW32" s="267">
        <f t="shared" si="21"/>
        <v>0.26030465364456179</v>
      </c>
      <c r="AX32" s="161">
        <f t="shared" si="40"/>
        <v>54.800979714644591</v>
      </c>
      <c r="AY32" s="267">
        <f>Calculos_M!$AH$1</f>
        <v>8.3191193181818196E-2</v>
      </c>
      <c r="AZ32" s="267">
        <f t="shared" si="22"/>
        <v>-8.3191193181818196E-2</v>
      </c>
      <c r="BA32" s="35">
        <f>IF(ISNUMBER('Courier_M.'!U23),'Courier_M.'!U23,0)</f>
        <v>56.498401641845703</v>
      </c>
      <c r="BB32" s="36">
        <f>IF(ISNUMBER(Laboratorio_M!U21),Laboratorio_M!U21,"")</f>
        <v>57.438000000000002</v>
      </c>
      <c r="BC32" s="36">
        <f t="shared" si="23"/>
        <v>0.93959835815429926</v>
      </c>
      <c r="BD32" s="267">
        <f t="shared" si="24"/>
        <v>0.93959835815429926</v>
      </c>
      <c r="BE32" s="161">
        <f t="shared" si="41"/>
        <v>1.6358479719946712</v>
      </c>
      <c r="BF32" s="267">
        <f>Calculos_M!$AI$1</f>
        <v>1.4830847050619838</v>
      </c>
      <c r="BG32" s="267">
        <f t="shared" si="25"/>
        <v>-1.4830847050619838</v>
      </c>
      <c r="BH32" s="35">
        <f>IF(ISNUMBER('Courier_M.'!W23),'Courier_M.'!W23,"")</f>
        <v>0.75686037540435791</v>
      </c>
      <c r="BI32" s="36">
        <f>IF(ISNUMBER(Laboratorio_M!W21),Laboratorio_M!W21,"")</f>
        <v>0.65400000000000003</v>
      </c>
      <c r="BJ32" s="36">
        <f t="shared" si="26"/>
        <v>-0.10286037540435788</v>
      </c>
      <c r="BK32" s="267">
        <f t="shared" si="27"/>
        <v>0.10286037540435788</v>
      </c>
      <c r="BL32" s="161">
        <f t="shared" si="28"/>
        <v>15.727886147455333</v>
      </c>
      <c r="BM32" s="36"/>
      <c r="BN32" s="161"/>
      <c r="BO32" s="35">
        <f>IF(ISNUMBER('Courier_M.'!Y23),'Courier_M.'!Y23,"")</f>
        <v>3.0035730596257779</v>
      </c>
      <c r="BP32" s="36">
        <f>IF(ISNUMBER(Laboratorio_M!Y21),Laboratorio_M!Y21,"")</f>
        <v>2.02</v>
      </c>
      <c r="BQ32" s="36">
        <f t="shared" si="29"/>
        <v>-0.9835730596257779</v>
      </c>
      <c r="BR32" s="267">
        <f t="shared" si="30"/>
        <v>0.9835730596257779</v>
      </c>
      <c r="BS32" s="161">
        <f t="shared" si="31"/>
        <v>48.691735625038504</v>
      </c>
      <c r="BT32" s="36"/>
      <c r="BU32" s="161"/>
    </row>
    <row r="33" spans="1:73" ht="15" x14ac:dyDescent="0.2">
      <c r="C33" s="38" t="str">
        <f>DAY(B32) &amp; "-" &amp; MONTH(B32) &amp;"-" &amp; YEAR(B32)</f>
        <v>28-8-2026</v>
      </c>
      <c r="D33" s="35">
        <f>IF(ISNUMBER('Courier_M.'!F23),'Courier_M.'!F23,"")</f>
        <v>23.230396270751953</v>
      </c>
      <c r="E33" s="36">
        <f>IF(ISNUMBER(Laboratorio_M!F21),Laboratorio_M!F21,"")</f>
        <v>22.542999999999999</v>
      </c>
      <c r="F33" s="36">
        <f t="shared" si="6"/>
        <v>-0.68739627075195386</v>
      </c>
      <c r="G33" s="267">
        <f t="shared" si="7"/>
        <v>0.68739627075195386</v>
      </c>
      <c r="H33" s="161">
        <f t="shared" si="36"/>
        <v>3.0492670485381441</v>
      </c>
      <c r="I33" s="267">
        <f>Calculos_M!$I$1</f>
        <v>2.2302216249999991</v>
      </c>
      <c r="J33" s="267">
        <f t="shared" si="32"/>
        <v>-2.2302216249999991</v>
      </c>
      <c r="K33" s="35">
        <f>IF(ISNUMBER('Courier_M.'!H23),'Courier_M.'!H23,"")</f>
        <v>0.76367515325546265</v>
      </c>
      <c r="L33" s="36">
        <f>IF(ISNUMBER(Laboratorio_M!H21),Laboratorio_M!H21,"")</f>
        <v>1.716</v>
      </c>
      <c r="M33" s="36">
        <f t="shared" si="8"/>
        <v>0.95232484674453732</v>
      </c>
      <c r="N33" s="267">
        <f t="shared" si="9"/>
        <v>0.95232484674453732</v>
      </c>
      <c r="O33" s="161">
        <f t="shared" si="37"/>
        <v>55.496785940823855</v>
      </c>
      <c r="P33" s="267">
        <f>Calculos_M!$J$1</f>
        <v>0.382682625</v>
      </c>
      <c r="Q33" s="267">
        <f t="shared" si="33"/>
        <v>-0.382682625</v>
      </c>
      <c r="R33" s="35">
        <f>IF(ISNUMBER('Courier_M.'!J23),'Courier_M.'!J23,"")</f>
        <v>27.659448623657227</v>
      </c>
      <c r="S33" s="36">
        <f>IF(ISNUMBER(Laboratorio_M!J21),Laboratorio_M!J21,"")</f>
        <v>29.59</v>
      </c>
      <c r="T33" s="36">
        <f t="shared" si="10"/>
        <v>1.9305513763427733</v>
      </c>
      <c r="U33" s="267">
        <f t="shared" si="11"/>
        <v>1.9305513763427733</v>
      </c>
      <c r="V33" s="161">
        <f t="shared" si="12"/>
        <v>6.5243371961567194</v>
      </c>
      <c r="W33" s="267"/>
      <c r="X33" s="267"/>
      <c r="Y33" s="35">
        <f>IF(ISNUMBER('Courier_M.'!L23),'Courier_M.'!L23,"")</f>
        <v>22.875391006469727</v>
      </c>
      <c r="Z33" s="36">
        <f>IF(ISNUMBER(Laboratorio_M!L21),Laboratorio_M!L21,"")</f>
        <v>22.196000000000002</v>
      </c>
      <c r="AA33" s="36">
        <f t="shared" si="13"/>
        <v>-0.67939100646972506</v>
      </c>
      <c r="AB33" s="267">
        <f t="shared" si="14"/>
        <v>0.67939100646972506</v>
      </c>
      <c r="AC33" s="161">
        <f t="shared" si="38"/>
        <v>3.0608713573153947</v>
      </c>
      <c r="AD33" s="267">
        <f>Calculos_M!$U$1</f>
        <v>1.0662891477272729</v>
      </c>
      <c r="AE33" s="267">
        <f t="shared" si="34"/>
        <v>-1.0662891477272729</v>
      </c>
      <c r="AF33" s="35">
        <f>IF(ISNUMBER('Courier_M.'!N23),'Courier_M.'!N23,"")</f>
        <v>6.9822221994400024E-2</v>
      </c>
      <c r="AG33" s="36">
        <f>IF(ISNUMBER(Laboratorio_M!N21),Laboratorio_M!N21,"")</f>
        <v>0.13700000000000001</v>
      </c>
      <c r="AH33" s="36">
        <f t="shared" si="15"/>
        <v>6.7177778005599986E-2</v>
      </c>
      <c r="AI33" s="267">
        <f t="shared" si="16"/>
        <v>6.7177778005599986E-2</v>
      </c>
      <c r="AJ33" s="161">
        <f t="shared" si="39"/>
        <v>49.034874456642328</v>
      </c>
      <c r="AK33" s="267">
        <f>Calculos_M!$V$1</f>
        <v>3.2516250000000003E-2</v>
      </c>
      <c r="AL33" s="267">
        <f t="shared" si="35"/>
        <v>-3.2516250000000003E-2</v>
      </c>
      <c r="AM33" s="35">
        <f>IF(ISNUMBER('Courier_M.'!P23),'Courier_M.'!P23,"")</f>
        <v>29.129720687866211</v>
      </c>
      <c r="AN33" s="36">
        <f>IF(ISNUMBER(Laboratorio_M!P21),Laboratorio_M!P21,"")</f>
        <v>30.12</v>
      </c>
      <c r="AO33" s="36">
        <f t="shared" si="17"/>
        <v>0.99027931213379006</v>
      </c>
      <c r="AP33" s="267">
        <f t="shared" si="18"/>
        <v>0.99027931213379006</v>
      </c>
      <c r="AQ33" s="161">
        <f t="shared" si="19"/>
        <v>3.2877799207629148</v>
      </c>
      <c r="AR33" s="267"/>
      <c r="AS33" s="267"/>
      <c r="AT33" s="35">
        <f>IF(ISNUMBER('Courier_M.'!T23),'Courier_M.'!T23,0)</f>
        <v>0.61146652698516846</v>
      </c>
      <c r="AU33" s="36">
        <f>IF(ISNUMBER(Laboratorio_M!T21),Laboratorio_M!T21,"")</f>
        <v>0.41899999999999998</v>
      </c>
      <c r="AV33" s="36">
        <f t="shared" si="20"/>
        <v>-0.19246652698516847</v>
      </c>
      <c r="AW33" s="267">
        <f t="shared" si="21"/>
        <v>0.19246652698516847</v>
      </c>
      <c r="AX33" s="161">
        <f t="shared" si="40"/>
        <v>45.934731977367179</v>
      </c>
      <c r="AY33" s="267">
        <f>Calculos_M!$AH$1</f>
        <v>8.3191193181818196E-2</v>
      </c>
      <c r="AZ33" s="267">
        <f t="shared" si="22"/>
        <v>-8.3191193181818196E-2</v>
      </c>
      <c r="BA33" s="35">
        <f>IF(ISNUMBER('Courier_M.'!V23),'Courier_M.'!V23,0)</f>
        <v>56.82696533203125</v>
      </c>
      <c r="BB33" s="36">
        <f>IF(ISNUMBER(Laboratorio_M!V21),Laboratorio_M!V21,"")</f>
        <v>57.631999999999998</v>
      </c>
      <c r="BC33" s="36">
        <f t="shared" si="23"/>
        <v>0.8050346679687479</v>
      </c>
      <c r="BD33" s="267">
        <f t="shared" si="24"/>
        <v>0.8050346679687479</v>
      </c>
      <c r="BE33" s="161">
        <f t="shared" si="41"/>
        <v>1.3968536021112368</v>
      </c>
      <c r="BF33" s="267">
        <f>Calculos_M!$AI$1</f>
        <v>1.4830847050619838</v>
      </c>
      <c r="BG33" s="267">
        <f t="shared" si="25"/>
        <v>-1.4830847050619838</v>
      </c>
      <c r="BH33" s="35">
        <f>IF(ISNUMBER('Courier_M.'!X23),'Courier_M.'!X23,"")</f>
        <v>0.85735327005386353</v>
      </c>
      <c r="BI33" s="36">
        <f>IF(ISNUMBER(Laboratorio_M!X21),Laboratorio_M!X21,"")</f>
        <v>0.67500000000000004</v>
      </c>
      <c r="BJ33" s="36">
        <f t="shared" si="26"/>
        <v>-0.18235327005386348</v>
      </c>
      <c r="BK33" s="267">
        <f t="shared" si="27"/>
        <v>0.18235327005386348</v>
      </c>
      <c r="BL33" s="161">
        <f t="shared" si="28"/>
        <v>27.015299267239033</v>
      </c>
      <c r="BM33" s="36"/>
      <c r="BN33" s="161"/>
      <c r="BO33" s="35">
        <f>IF(ISNUMBER('Courier_M.'!Z23),'Courier_M.'!Z23,"")</f>
        <v>2.7453752378277034</v>
      </c>
      <c r="BP33" s="36">
        <f>IF(ISNUMBER(Laboratorio_M!Z21),Laboratorio_M!Z21,"")</f>
        <v>1.72</v>
      </c>
      <c r="BQ33" s="36">
        <f t="shared" si="29"/>
        <v>-1.0253752378277035</v>
      </c>
      <c r="BR33" s="267">
        <f t="shared" si="30"/>
        <v>1.0253752378277035</v>
      </c>
      <c r="BS33" s="161">
        <f t="shared" si="31"/>
        <v>59.614839408587414</v>
      </c>
      <c r="BT33" s="36"/>
      <c r="BU33" s="161"/>
    </row>
    <row r="34" spans="1:73" ht="15" x14ac:dyDescent="0.2">
      <c r="A34">
        <f>+A32+1</f>
        <v>16</v>
      </c>
      <c r="B34" s="7">
        <f>+B32+1</f>
        <v>46263</v>
      </c>
      <c r="C34" s="7" t="str">
        <f>DAY(B34) &amp; "-" &amp; MONTH(B34) &amp;"-" &amp; YEAR(B34)</f>
        <v>29-8-2026</v>
      </c>
      <c r="D34" s="35">
        <f>IF(ISNUMBER('Courier_M.'!E24),'Courier_M.'!E24,"")</f>
        <v>22.504552841186523</v>
      </c>
      <c r="E34" s="36">
        <f>IF(ISNUMBER(Laboratorio_M!E22),Laboratorio_M!E22,"")</f>
        <v>19.701000000000001</v>
      </c>
      <c r="F34" s="36">
        <f t="shared" si="6"/>
        <v>-2.8035528411865229</v>
      </c>
      <c r="G34" s="267">
        <f t="shared" si="7"/>
        <v>2.8035528411865229</v>
      </c>
      <c r="H34" s="161">
        <f t="shared" si="36"/>
        <v>14.230510335447555</v>
      </c>
      <c r="I34" s="267">
        <f>Calculos_M!$I$1</f>
        <v>2.2302216249999991</v>
      </c>
      <c r="J34" s="267">
        <f t="shared" si="32"/>
        <v>-2.2302216249999991</v>
      </c>
      <c r="K34" s="35">
        <f>IF(ISNUMBER('Courier_M.'!G24),'Courier_M.'!G24,"")</f>
        <v>1.1042046546936035</v>
      </c>
      <c r="L34" s="36">
        <f>IF(ISNUMBER(Laboratorio_M!G22),Laboratorio_M!G22,"")</f>
        <v>1.3540000000000001</v>
      </c>
      <c r="M34" s="36">
        <f t="shared" si="8"/>
        <v>0.24979534530639658</v>
      </c>
      <c r="N34" s="267">
        <f t="shared" si="9"/>
        <v>0.24979534530639658</v>
      </c>
      <c r="O34" s="161">
        <f t="shared" si="37"/>
        <v>18.448696108301075</v>
      </c>
      <c r="P34" s="267">
        <f>Calculos_M!$J$1</f>
        <v>0.382682625</v>
      </c>
      <c r="Q34" s="267">
        <f t="shared" si="33"/>
        <v>-0.382682625</v>
      </c>
      <c r="R34" s="35">
        <f>IF(ISNUMBER('Courier_M.'!I24),'Courier_M.'!I24,"")</f>
        <v>27.208417892456055</v>
      </c>
      <c r="S34" s="36">
        <f>IF(ISNUMBER(Laboratorio_M!I22),Laboratorio_M!I22,"")</f>
        <v>27.3</v>
      </c>
      <c r="T34" s="36">
        <f t="shared" si="10"/>
        <v>9.1582107543946023E-2</v>
      </c>
      <c r="U34" s="267">
        <f t="shared" si="11"/>
        <v>9.1582107543946023E-2</v>
      </c>
      <c r="V34" s="161">
        <f t="shared" si="12"/>
        <v>0.33546559539906967</v>
      </c>
      <c r="W34" s="267"/>
      <c r="X34" s="267"/>
      <c r="Y34" s="35">
        <f>IF(ISNUMBER('Courier_M.'!K24),'Courier_M.'!K24,"")</f>
        <v>21.951410293579102</v>
      </c>
      <c r="Z34" s="36">
        <f>IF(ISNUMBER(Laboratorio_M!K22),Laboratorio_M!K22,"")</f>
        <v>20.398</v>
      </c>
      <c r="AA34" s="36">
        <f t="shared" si="13"/>
        <v>-1.5534102935791019</v>
      </c>
      <c r="AB34" s="267">
        <f t="shared" si="14"/>
        <v>1.5534102935791019</v>
      </c>
      <c r="AC34" s="161">
        <f t="shared" si="38"/>
        <v>7.6155029590111871</v>
      </c>
      <c r="AD34" s="267">
        <f>Calculos_M!$U$1</f>
        <v>1.0662891477272729</v>
      </c>
      <c r="AE34" s="267">
        <f t="shared" si="34"/>
        <v>-1.0662891477272729</v>
      </c>
      <c r="AF34" s="35">
        <f>IF(ISNUMBER('Courier_M.'!M24),'Courier_M.'!M24,"")</f>
        <v>9.7445882856845856E-2</v>
      </c>
      <c r="AG34" s="36">
        <f>IF(ISNUMBER(Laboratorio_M!M22),Laboratorio_M!M22,"")</f>
        <v>7.6999999999999999E-2</v>
      </c>
      <c r="AH34" s="36">
        <f t="shared" si="15"/>
        <v>-2.0445882856845857E-2</v>
      </c>
      <c r="AI34" s="267">
        <f t="shared" si="16"/>
        <v>2.0445882856845857E-2</v>
      </c>
      <c r="AJ34" s="161">
        <f t="shared" si="39"/>
        <v>26.553094619280333</v>
      </c>
      <c r="AK34" s="267">
        <f>Calculos_M!$V$1</f>
        <v>3.2516250000000003E-2</v>
      </c>
      <c r="AL34" s="267">
        <f t="shared" si="35"/>
        <v>-3.2516250000000003E-2</v>
      </c>
      <c r="AM34" s="35">
        <f>IF(ISNUMBER('Courier_M.'!O24),'Courier_M.'!O24,"")</f>
        <v>29.329471588134766</v>
      </c>
      <c r="AN34" s="36">
        <f>IF(ISNUMBER(Laboratorio_M!O22),Laboratorio_M!O22,"")</f>
        <v>28.54</v>
      </c>
      <c r="AO34" s="36">
        <f t="shared" si="17"/>
        <v>-0.78947158813476648</v>
      </c>
      <c r="AP34" s="267">
        <f t="shared" si="18"/>
        <v>0.78947158813476648</v>
      </c>
      <c r="AQ34" s="161">
        <f t="shared" si="19"/>
        <v>2.7661933711799804</v>
      </c>
      <c r="AR34" s="267"/>
      <c r="AS34" s="267"/>
      <c r="AT34" s="35">
        <f>IF(ISNUMBER('Courier_M.'!S24),'Courier_M.'!S24,0)</f>
        <v>0.59000110626220703</v>
      </c>
      <c r="AU34" s="36">
        <f>IF(ISNUMBER(Laboratorio_M!S22),Laboratorio_M!S22,"")</f>
        <v>0.45900000000000002</v>
      </c>
      <c r="AV34" s="36">
        <f t="shared" si="20"/>
        <v>-0.13100110626220701</v>
      </c>
      <c r="AW34" s="267">
        <f t="shared" si="21"/>
        <v>0.13100110626220701</v>
      </c>
      <c r="AX34" s="161">
        <f t="shared" si="40"/>
        <v>28.540546026624618</v>
      </c>
      <c r="AY34" s="267">
        <f>Calculos_M!$AH$1</f>
        <v>8.3191193181818196E-2</v>
      </c>
      <c r="AZ34" s="267">
        <f t="shared" si="22"/>
        <v>-8.3191193181818196E-2</v>
      </c>
      <c r="BA34" s="35">
        <f>IF(ISNUMBER('Courier_M.'!U24),'Courier_M.'!U24,0)</f>
        <v>56.480049133300781</v>
      </c>
      <c r="BB34" s="36">
        <f>IF(ISNUMBER(Laboratorio_M!U22),Laboratorio_M!U22,"")</f>
        <v>57.127000000000002</v>
      </c>
      <c r="BC34" s="36">
        <f t="shared" si="23"/>
        <v>0.64695086669922119</v>
      </c>
      <c r="BD34" s="267">
        <f t="shared" si="24"/>
        <v>0.64695086669922119</v>
      </c>
      <c r="BE34" s="161">
        <f t="shared" si="41"/>
        <v>1.1324782794461834</v>
      </c>
      <c r="BF34" s="267">
        <f>Calculos_M!$AI$1</f>
        <v>1.4830847050619838</v>
      </c>
      <c r="BG34" s="267">
        <f t="shared" si="25"/>
        <v>-1.4830847050619838</v>
      </c>
      <c r="BH34" s="35">
        <f>IF(ISNUMBER('Courier_M.'!W24),'Courier_M.'!W24,"")</f>
        <v>0.79479086399078369</v>
      </c>
      <c r="BI34" s="36">
        <f>IF(ISNUMBER(Laboratorio_M!W22),Laboratorio_M!W22,"")</f>
        <v>0.82099999999999995</v>
      </c>
      <c r="BJ34" s="36">
        <f t="shared" si="26"/>
        <v>2.6209136009216261E-2</v>
      </c>
      <c r="BK34" s="267">
        <f t="shared" si="27"/>
        <v>2.6209136009216261E-2</v>
      </c>
      <c r="BL34" s="161">
        <f t="shared" si="28"/>
        <v>3.1923429974684852</v>
      </c>
      <c r="BM34" s="36"/>
      <c r="BN34" s="161"/>
      <c r="BO34" s="35">
        <f>IF(ISNUMBER('Courier_M.'!Y24),'Courier_M.'!Y24,"")</f>
        <v>3.1424075673579392</v>
      </c>
      <c r="BP34" s="36">
        <f>IF(ISNUMBER(Laboratorio_M!Y22),Laboratorio_M!Y22,"")</f>
        <v>2.2000000000000002</v>
      </c>
      <c r="BQ34" s="36">
        <f t="shared" si="29"/>
        <v>-0.94240756735793907</v>
      </c>
      <c r="BR34" s="267">
        <f t="shared" si="30"/>
        <v>0.94240756735793907</v>
      </c>
      <c r="BS34" s="161">
        <f t="shared" si="31"/>
        <v>42.836707607179051</v>
      </c>
      <c r="BT34" s="36"/>
      <c r="BU34" s="161"/>
    </row>
    <row r="35" spans="1:73" ht="15" x14ac:dyDescent="0.2">
      <c r="C35" s="38" t="str">
        <f>DAY(B34) &amp; "-" &amp; MONTH(B34) &amp;"-" &amp; YEAR(B34)</f>
        <v>29-8-2026</v>
      </c>
      <c r="D35" s="35">
        <f>IF(ISNUMBER('Courier_M.'!F24),'Courier_M.'!F24,"")</f>
        <v>22.002679824829102</v>
      </c>
      <c r="E35" s="36">
        <f>IF(ISNUMBER(Laboratorio_M!F22),Laboratorio_M!F22,"")</f>
        <v>20.995000000000001</v>
      </c>
      <c r="F35" s="36">
        <f t="shared" si="6"/>
        <v>-1.0076798248291006</v>
      </c>
      <c r="G35" s="267">
        <f t="shared" si="7"/>
        <v>1.0076798248291006</v>
      </c>
      <c r="H35" s="161">
        <f t="shared" si="36"/>
        <v>4.7996181225487042</v>
      </c>
      <c r="I35" s="267">
        <f>Calculos_M!$I$1</f>
        <v>2.2302216249999991</v>
      </c>
      <c r="J35" s="267">
        <f t="shared" si="32"/>
        <v>-2.2302216249999991</v>
      </c>
      <c r="K35" s="35">
        <f>IF(ISNUMBER('Courier_M.'!H24),'Courier_M.'!H24,"")</f>
        <v>1.250199556350708</v>
      </c>
      <c r="L35" s="36">
        <f>IF(ISNUMBER(Laboratorio_M!H22),Laboratorio_M!H22,"")</f>
        <v>0.95399999999999996</v>
      </c>
      <c r="M35" s="36">
        <f t="shared" si="8"/>
        <v>-0.29619955635070805</v>
      </c>
      <c r="N35" s="267">
        <f t="shared" si="9"/>
        <v>0.29619955635070805</v>
      </c>
      <c r="O35" s="161">
        <f t="shared" si="37"/>
        <v>31.048171525231457</v>
      </c>
      <c r="P35" s="267">
        <f>Calculos_M!$J$1</f>
        <v>0.382682625</v>
      </c>
      <c r="Q35" s="267">
        <f t="shared" si="33"/>
        <v>-0.382682625</v>
      </c>
      <c r="R35" s="35">
        <f>IF(ISNUMBER('Courier_M.'!J24),'Courier_M.'!J24,"")</f>
        <v>28.356494903564453</v>
      </c>
      <c r="S35" s="36">
        <f>IF(ISNUMBER(Laboratorio_M!J22),Laboratorio_M!J22,"")</f>
        <v>30.37</v>
      </c>
      <c r="T35" s="36">
        <f t="shared" si="10"/>
        <v>2.0135050964355479</v>
      </c>
      <c r="U35" s="267">
        <f t="shared" si="11"/>
        <v>2.0135050964355479</v>
      </c>
      <c r="V35" s="161">
        <f t="shared" si="12"/>
        <v>6.6299147067354225</v>
      </c>
      <c r="W35" s="267"/>
      <c r="X35" s="267"/>
      <c r="Y35" s="35">
        <f>IF(ISNUMBER('Courier_M.'!L24),'Courier_M.'!L24,"")</f>
        <v>21.885499954223633</v>
      </c>
      <c r="Z35" s="36">
        <f>IF(ISNUMBER(Laboratorio_M!L22),Laboratorio_M!L22,"")</f>
        <v>21.393000000000001</v>
      </c>
      <c r="AA35" s="36">
        <f t="shared" si="13"/>
        <v>-0.49249995422363213</v>
      </c>
      <c r="AB35" s="267">
        <f t="shared" si="14"/>
        <v>0.49249995422363213</v>
      </c>
      <c r="AC35" s="161">
        <f t="shared" si="38"/>
        <v>2.3021546965064843</v>
      </c>
      <c r="AD35" s="267">
        <f>Calculos_M!$U$1</f>
        <v>1.0662891477272729</v>
      </c>
      <c r="AE35" s="267">
        <f t="shared" si="34"/>
        <v>-1.0662891477272729</v>
      </c>
      <c r="AF35" s="35">
        <f>IF(ISNUMBER('Courier_M.'!N24),'Courier_M.'!N24,"")</f>
        <v>5.1226496696472168E-2</v>
      </c>
      <c r="AG35" s="36">
        <f>IF(ISNUMBER(Laboratorio_M!N22),Laboratorio_M!N22,"")</f>
        <v>7.8E-2</v>
      </c>
      <c r="AH35" s="36">
        <f t="shared" si="15"/>
        <v>2.6773503303527832E-2</v>
      </c>
      <c r="AI35" s="267">
        <f t="shared" si="16"/>
        <v>2.6773503303527832E-2</v>
      </c>
      <c r="AJ35" s="161">
        <f t="shared" si="39"/>
        <v>34.325004235292091</v>
      </c>
      <c r="AK35" s="267">
        <f>Calculos_M!$V$1</f>
        <v>3.2516250000000003E-2</v>
      </c>
      <c r="AL35" s="267">
        <f t="shared" si="35"/>
        <v>-3.2516250000000003E-2</v>
      </c>
      <c r="AM35" s="35">
        <f>IF(ISNUMBER('Courier_M.'!P24),'Courier_M.'!P24,"")</f>
        <v>29.416046142578125</v>
      </c>
      <c r="AN35" s="36">
        <f>IF(ISNUMBER(Laboratorio_M!P22),Laboratorio_M!P22,"")</f>
        <v>31.25</v>
      </c>
      <c r="AO35" s="36">
        <f t="shared" si="17"/>
        <v>1.833953857421875</v>
      </c>
      <c r="AP35" s="267">
        <f t="shared" si="18"/>
        <v>1.833953857421875</v>
      </c>
      <c r="AQ35" s="161">
        <f t="shared" si="19"/>
        <v>5.86865234375</v>
      </c>
      <c r="AR35" s="267"/>
      <c r="AS35" s="267"/>
      <c r="AT35" s="35">
        <f>IF(ISNUMBER('Courier_M.'!T24),'Courier_M.'!T24,0)</f>
        <v>0.52631789445877075</v>
      </c>
      <c r="AU35" s="36">
        <f>IF(ISNUMBER(Laboratorio_M!T22),Laboratorio_M!T22,"")</f>
        <v>0.45400000000000001</v>
      </c>
      <c r="AV35" s="36">
        <f t="shared" si="20"/>
        <v>-7.2317894458770737E-2</v>
      </c>
      <c r="AW35" s="267">
        <f t="shared" si="21"/>
        <v>7.2317894458770737E-2</v>
      </c>
      <c r="AX35" s="161">
        <f t="shared" si="40"/>
        <v>15.929051642901044</v>
      </c>
      <c r="AY35" s="267">
        <f>Calculos_M!$AH$1</f>
        <v>8.3191193181818196E-2</v>
      </c>
      <c r="AZ35" s="267">
        <f t="shared" si="22"/>
        <v>-8.3191193181818196E-2</v>
      </c>
      <c r="BA35" s="35">
        <f>IF(ISNUMBER('Courier_M.'!V24),'Courier_M.'!V24,0)</f>
        <v>57.101436614990234</v>
      </c>
      <c r="BB35" s="36">
        <f>IF(ISNUMBER(Laboratorio_M!V22),Laboratorio_M!V22,"")</f>
        <v>56.825000000000003</v>
      </c>
      <c r="BC35" s="36">
        <f t="shared" si="23"/>
        <v>-0.27643661499023153</v>
      </c>
      <c r="BD35" s="267">
        <f t="shared" si="24"/>
        <v>0.27643661499023153</v>
      </c>
      <c r="BE35" s="161">
        <f t="shared" si="41"/>
        <v>0.48647006597489051</v>
      </c>
      <c r="BF35" s="267">
        <f>Calculos_M!$AI$1</f>
        <v>1.4830847050619838</v>
      </c>
      <c r="BG35" s="267">
        <f t="shared" si="25"/>
        <v>-1.4830847050619838</v>
      </c>
      <c r="BH35" s="35">
        <f>IF(ISNUMBER('Courier_M.'!X24),'Courier_M.'!X24,"")</f>
        <v>0.67580217123031616</v>
      </c>
      <c r="BI35" s="36">
        <f>IF(ISNUMBER(Laboratorio_M!X22),Laboratorio_M!X22,"")</f>
        <v>1.1319999999999999</v>
      </c>
      <c r="BJ35" s="36">
        <f t="shared" si="26"/>
        <v>0.45619782876968373</v>
      </c>
      <c r="BK35" s="267">
        <f t="shared" si="27"/>
        <v>0.45619782876968373</v>
      </c>
      <c r="BL35" s="161">
        <f t="shared" si="28"/>
        <v>40.300161552092206</v>
      </c>
      <c r="BM35" s="36"/>
      <c r="BN35" s="161"/>
      <c r="BO35" s="35">
        <f>IF(ISNUMBER('Courier_M.'!Z24),'Courier_M.'!Z24,"")</f>
        <v>3.0238548358805772</v>
      </c>
      <c r="BP35" s="36">
        <f>IF(ISNUMBER(Laboratorio_M!Z22),Laboratorio_M!Z22,"")</f>
        <v>2.04</v>
      </c>
      <c r="BQ35" s="36">
        <f t="shared" si="29"/>
        <v>-0.98385483588057721</v>
      </c>
      <c r="BR35" s="267">
        <f t="shared" si="30"/>
        <v>0.98385483588057721</v>
      </c>
      <c r="BS35" s="161">
        <f t="shared" si="31"/>
        <v>48.228178229440061</v>
      </c>
      <c r="BT35" s="36"/>
      <c r="BU35" s="161"/>
    </row>
    <row r="36" spans="1:73" ht="15" x14ac:dyDescent="0.2">
      <c r="A36">
        <f>+A34+1</f>
        <v>17</v>
      </c>
      <c r="B36" s="7">
        <f>+B34+1</f>
        <v>46264</v>
      </c>
      <c r="C36" s="7" t="str">
        <f>DAY(B36) &amp; "-" &amp; MONTH(B36) &amp;"-" &amp; YEAR(B36)</f>
        <v>30-8-2026</v>
      </c>
      <c r="D36" s="35">
        <f>IF(ISNUMBER('Courier_M.'!E25),'Courier_M.'!E25,"")</f>
        <v>21.807527542114258</v>
      </c>
      <c r="E36" s="36">
        <f>IF(ISNUMBER(Laboratorio_M!E23),Laboratorio_M!E23,"")</f>
        <v>20</v>
      </c>
      <c r="F36" s="36">
        <f t="shared" si="6"/>
        <v>-1.8075275421142578</v>
      </c>
      <c r="G36" s="267">
        <f t="shared" si="7"/>
        <v>1.8075275421142578</v>
      </c>
      <c r="H36" s="161">
        <f t="shared" si="36"/>
        <v>9.0376377105712891</v>
      </c>
      <c r="I36" s="267">
        <f>Calculos_M!$I$1</f>
        <v>2.2302216249999991</v>
      </c>
      <c r="J36" s="267">
        <f t="shared" si="32"/>
        <v>-2.2302216249999991</v>
      </c>
      <c r="K36" s="35">
        <f>IF(ISNUMBER('Courier_M.'!G25),'Courier_M.'!G25,"")</f>
        <v>1.1539222002029419</v>
      </c>
      <c r="L36" s="36">
        <f>IF(ISNUMBER(Laboratorio_M!G23),Laboratorio_M!G23,"")</f>
        <v>0.97099999999999997</v>
      </c>
      <c r="M36" s="36">
        <f t="shared" si="8"/>
        <v>-0.18292220020294192</v>
      </c>
      <c r="N36" s="267">
        <f t="shared" si="9"/>
        <v>0.18292220020294192</v>
      </c>
      <c r="O36" s="161">
        <f t="shared" si="37"/>
        <v>18.838537611013585</v>
      </c>
      <c r="P36" s="267">
        <f>Calculos_M!$J$1</f>
        <v>0.382682625</v>
      </c>
      <c r="Q36" s="267">
        <f t="shared" si="33"/>
        <v>-0.382682625</v>
      </c>
      <c r="R36" s="35">
        <f>IF(ISNUMBER('Courier_M.'!I25),'Courier_M.'!I25,"")</f>
        <v>28.27708625793457</v>
      </c>
      <c r="S36" s="36">
        <f>IF(ISNUMBER(Laboratorio_M!I23),Laboratorio_M!I23,"")</f>
        <v>28.38</v>
      </c>
      <c r="T36" s="36">
        <f t="shared" si="10"/>
        <v>0.10291374206542869</v>
      </c>
      <c r="U36" s="267">
        <f t="shared" si="11"/>
        <v>0.10291374206542869</v>
      </c>
      <c r="V36" s="161">
        <f t="shared" si="12"/>
        <v>0.36262770283801515</v>
      </c>
      <c r="W36" s="267"/>
      <c r="X36" s="267"/>
      <c r="Y36" s="35">
        <f>IF(ISNUMBER('Courier_M.'!K25),'Courier_M.'!K25,"")</f>
        <v>22.472513198852539</v>
      </c>
      <c r="Z36" s="36">
        <f>IF(ISNUMBER(Laboratorio_M!K23),Laboratorio_M!K23,"")</f>
        <v>22.288</v>
      </c>
      <c r="AA36" s="36">
        <f t="shared" si="13"/>
        <v>-0.18451319885253881</v>
      </c>
      <c r="AB36" s="267">
        <f t="shared" si="14"/>
        <v>0.18451319885253881</v>
      </c>
      <c r="AC36" s="161">
        <f t="shared" si="38"/>
        <v>0.82785893239653086</v>
      </c>
      <c r="AD36" s="267">
        <f>Calculos_M!$U$1</f>
        <v>1.0662891477272729</v>
      </c>
      <c r="AE36" s="267">
        <f t="shared" si="34"/>
        <v>-1.0662891477272729</v>
      </c>
      <c r="AF36" s="35">
        <f>IF(ISNUMBER('Courier_M.'!M25),'Courier_M.'!M25,"")</f>
        <v>6.0069702565670013E-2</v>
      </c>
      <c r="AG36" s="36">
        <f>IF(ISNUMBER(Laboratorio_M!M23),Laboratorio_M!M23,"")</f>
        <v>9.7000000000000003E-2</v>
      </c>
      <c r="AH36" s="36">
        <f t="shared" si="15"/>
        <v>3.6930297434329989E-2</v>
      </c>
      <c r="AI36" s="267">
        <f t="shared" si="16"/>
        <v>3.6930297434329989E-2</v>
      </c>
      <c r="AJ36" s="161">
        <f t="shared" si="39"/>
        <v>38.072471581783496</v>
      </c>
      <c r="AK36" s="267">
        <f>Calculos_M!$V$1</f>
        <v>3.2516250000000003E-2</v>
      </c>
      <c r="AL36" s="267">
        <f t="shared" si="35"/>
        <v>-3.2516250000000003E-2</v>
      </c>
      <c r="AM36" s="35">
        <f>IF(ISNUMBER('Courier_M.'!O25),'Courier_M.'!O25,"")</f>
        <v>29.422409057617188</v>
      </c>
      <c r="AN36" s="36">
        <f>IF(ISNUMBER(Laboratorio_M!O23),Laboratorio_M!O23,"")</f>
        <v>29.79</v>
      </c>
      <c r="AO36" s="36">
        <f t="shared" si="17"/>
        <v>0.36759094238281165</v>
      </c>
      <c r="AP36" s="267">
        <f t="shared" si="18"/>
        <v>0.36759094238281165</v>
      </c>
      <c r="AQ36" s="161">
        <f t="shared" si="19"/>
        <v>1.2339407263605628</v>
      </c>
      <c r="AR36" s="267"/>
      <c r="AS36" s="267"/>
      <c r="AT36" s="35">
        <f>IF(ISNUMBER('Courier_M.'!S25),'Courier_M.'!S25,0)</f>
        <v>0.39342418313026428</v>
      </c>
      <c r="AU36" s="36">
        <f>IF(ISNUMBER(Laboratorio_M!S23),Laboratorio_M!S23,"")</f>
        <v>0.60099999999999998</v>
      </c>
      <c r="AV36" s="36">
        <f t="shared" si="20"/>
        <v>0.2075758168697357</v>
      </c>
      <c r="AW36" s="267">
        <f t="shared" si="21"/>
        <v>0.2075758168697357</v>
      </c>
      <c r="AX36" s="161">
        <f t="shared" si="40"/>
        <v>34.538405469173995</v>
      </c>
      <c r="AY36" s="267">
        <f>Calculos_M!$AH$1</f>
        <v>8.3191193181818196E-2</v>
      </c>
      <c r="AZ36" s="267">
        <f t="shared" si="22"/>
        <v>-8.3191193181818196E-2</v>
      </c>
      <c r="BA36" s="35">
        <f>IF(ISNUMBER('Courier_M.'!U25),'Courier_M.'!U25,0)</f>
        <v>56.011753082275391</v>
      </c>
      <c r="BB36" s="36">
        <f>IF(ISNUMBER(Laboratorio_M!U23),Laboratorio_M!U23,"")</f>
        <v>53.348999999999997</v>
      </c>
      <c r="BC36" s="36">
        <f t="shared" si="23"/>
        <v>-2.662753082275394</v>
      </c>
      <c r="BD36" s="267">
        <f t="shared" si="24"/>
        <v>2.662753082275394</v>
      </c>
      <c r="BE36" s="161">
        <f t="shared" si="41"/>
        <v>4.9911958654808792</v>
      </c>
      <c r="BF36" s="267">
        <f>Calculos_M!$AI$1</f>
        <v>1.4830847050619838</v>
      </c>
      <c r="BG36" s="267">
        <f t="shared" si="25"/>
        <v>-1.4830847050619838</v>
      </c>
      <c r="BH36" s="35">
        <f>IF(ISNUMBER('Courier_M.'!W25),'Courier_M.'!W25,"")</f>
        <v>0.82908517122268677</v>
      </c>
      <c r="BI36" s="36">
        <f>IF(ISNUMBER(Laboratorio_M!W23),Laboratorio_M!W23,"")</f>
        <v>3.4649999999999999</v>
      </c>
      <c r="BJ36" s="36">
        <f t="shared" si="26"/>
        <v>2.6359148287773131</v>
      </c>
      <c r="BK36" s="267">
        <f t="shared" si="27"/>
        <v>2.6359148287773131</v>
      </c>
      <c r="BL36" s="161">
        <f t="shared" si="28"/>
        <v>76.072578031091282</v>
      </c>
      <c r="BM36" s="36"/>
      <c r="BN36" s="161"/>
      <c r="BO36" s="35">
        <f>IF(ISNUMBER('Courier_M.'!Y25),'Courier_M.'!Y25,"")</f>
        <v>3.0497904115348535</v>
      </c>
      <c r="BP36" s="36">
        <f>IF(ISNUMBER(Laboratorio_M!Y23),Laboratorio_M!Y23,"")</f>
        <v>2.64</v>
      </c>
      <c r="BQ36" s="36">
        <f t="shared" si="29"/>
        <v>-0.4097904115348534</v>
      </c>
      <c r="BR36" s="267">
        <f t="shared" si="30"/>
        <v>0.4097904115348534</v>
      </c>
      <c r="BS36" s="161">
        <f t="shared" si="31"/>
        <v>15.522364073289902</v>
      </c>
      <c r="BT36" s="36"/>
      <c r="BU36" s="161"/>
    </row>
    <row r="37" spans="1:73" ht="15" x14ac:dyDescent="0.2">
      <c r="C37" s="38" t="str">
        <f>DAY(B36) &amp; "-" &amp; MONTH(B36) &amp;"-" &amp; YEAR(B36)</f>
        <v>30-8-2026</v>
      </c>
      <c r="D37" s="35">
        <f>IF(ISNUMBER('Courier_M.'!F25),'Courier_M.'!F25,"")</f>
        <v>22.898529052734375</v>
      </c>
      <c r="E37" s="36">
        <f>IF(ISNUMBER(Laboratorio_M!F23),Laboratorio_M!F23,"")</f>
        <v>23.084</v>
      </c>
      <c r="F37" s="36">
        <f t="shared" si="6"/>
        <v>0.18547094726562463</v>
      </c>
      <c r="G37" s="267">
        <f t="shared" si="7"/>
        <v>0.18547094726562463</v>
      </c>
      <c r="H37" s="161">
        <f t="shared" si="36"/>
        <v>0.80346104343105451</v>
      </c>
      <c r="I37" s="267">
        <f>Calculos_M!$I$1</f>
        <v>2.2302216249999991</v>
      </c>
      <c r="J37" s="267">
        <f t="shared" si="32"/>
        <v>-2.2302216249999991</v>
      </c>
      <c r="K37" s="35">
        <f>IF(ISNUMBER('Courier_M.'!H25),'Courier_M.'!H25,"")</f>
        <v>1.1675971746444702</v>
      </c>
      <c r="L37" s="36">
        <f>IF(ISNUMBER(Laboratorio_M!H23),Laboratorio_M!H23,"")</f>
        <v>1.677</v>
      </c>
      <c r="M37" s="36">
        <f t="shared" si="8"/>
        <v>0.50940282535552983</v>
      </c>
      <c r="N37" s="267">
        <f t="shared" si="9"/>
        <v>0.50940282535552983</v>
      </c>
      <c r="O37" s="161">
        <f t="shared" si="37"/>
        <v>30.375839317562896</v>
      </c>
      <c r="P37" s="267">
        <f>Calculos_M!$J$1</f>
        <v>0.382682625</v>
      </c>
      <c r="Q37" s="267">
        <f t="shared" si="33"/>
        <v>-0.382682625</v>
      </c>
      <c r="R37" s="35">
        <f>IF(ISNUMBER('Courier_M.'!J25),'Courier_M.'!J25,"")</f>
        <v>28.763704299926758</v>
      </c>
      <c r="S37" s="36">
        <f>IF(ISNUMBER(Laboratorio_M!J23),Laboratorio_M!J23,"")</f>
        <v>29.28</v>
      </c>
      <c r="T37" s="36">
        <f t="shared" si="10"/>
        <v>0.51629570007324332</v>
      </c>
      <c r="U37" s="267">
        <f t="shared" si="11"/>
        <v>0.51629570007324332</v>
      </c>
      <c r="V37" s="161">
        <f t="shared" si="12"/>
        <v>1.7633049865889459</v>
      </c>
      <c r="W37" s="267"/>
      <c r="X37" s="267"/>
      <c r="Y37" s="35">
        <f>IF(ISNUMBER('Courier_M.'!L25),'Courier_M.'!L25,"")</f>
        <v>23.350467681884766</v>
      </c>
      <c r="Z37" s="36">
        <f>IF(ISNUMBER(Laboratorio_M!L23),Laboratorio_M!L23,"")</f>
        <v>24.675999999999998</v>
      </c>
      <c r="AA37" s="36">
        <f t="shared" si="13"/>
        <v>1.3255323181152328</v>
      </c>
      <c r="AB37" s="267">
        <f t="shared" si="14"/>
        <v>1.3255323181152328</v>
      </c>
      <c r="AC37" s="161">
        <f t="shared" si="38"/>
        <v>5.3717471150722682</v>
      </c>
      <c r="AD37" s="267">
        <f>Calculos_M!$U$1</f>
        <v>1.0662891477272729</v>
      </c>
      <c r="AE37" s="267">
        <f t="shared" si="34"/>
        <v>-1.0662891477272729</v>
      </c>
      <c r="AF37" s="35">
        <f>IF(ISNUMBER('Courier_M.'!N25),'Courier_M.'!N25,"")</f>
        <v>0.12544995546340942</v>
      </c>
      <c r="AG37" s="36">
        <f>IF(ISNUMBER(Laboratorio_M!N23),Laboratorio_M!N23,"")</f>
        <v>0.125</v>
      </c>
      <c r="AH37" s="36">
        <f t="shared" si="15"/>
        <v>-4.4995546340942383E-4</v>
      </c>
      <c r="AI37" s="267">
        <f t="shared" si="16"/>
        <v>4.4995546340942383E-4</v>
      </c>
      <c r="AJ37" s="161">
        <f t="shared" si="39"/>
        <v>0.35996437072753906</v>
      </c>
      <c r="AK37" s="267">
        <f>Calculos_M!$V$1</f>
        <v>3.2516250000000003E-2</v>
      </c>
      <c r="AL37" s="267">
        <f t="shared" si="35"/>
        <v>-3.2516250000000003E-2</v>
      </c>
      <c r="AM37" s="35">
        <f>IF(ISNUMBER('Courier_M.'!P25),'Courier_M.'!P25,"")</f>
        <v>29.085533142089844</v>
      </c>
      <c r="AN37" s="36">
        <f>IF(ISNUMBER(Laboratorio_M!P23),Laboratorio_M!P23,"")</f>
        <v>30.15</v>
      </c>
      <c r="AO37" s="36">
        <f t="shared" si="17"/>
        <v>1.0644668579101548</v>
      </c>
      <c r="AP37" s="267">
        <f t="shared" si="18"/>
        <v>1.0644668579101548</v>
      </c>
      <c r="AQ37" s="161">
        <f t="shared" si="19"/>
        <v>3.530570009652255</v>
      </c>
      <c r="AR37" s="267"/>
      <c r="AS37" s="267"/>
      <c r="AT37" s="35">
        <f>IF(ISNUMBER('Courier_M.'!T25),'Courier_M.'!T25,0)</f>
        <v>0.5572211742401123</v>
      </c>
      <c r="AU37" s="36">
        <f>IF(ISNUMBER(Laboratorio_M!T23),Laboratorio_M!T23,"")</f>
        <v>0.56100000000000005</v>
      </c>
      <c r="AV37" s="36">
        <f t="shared" si="20"/>
        <v>3.7788257598877495E-3</v>
      </c>
      <c r="AW37" s="267">
        <f t="shared" si="21"/>
        <v>3.7788257598877495E-3</v>
      </c>
      <c r="AX37" s="161">
        <f t="shared" si="40"/>
        <v>0.67358747948088227</v>
      </c>
      <c r="AY37" s="267">
        <f>Calculos_M!$AH$1</f>
        <v>8.3191193181818196E-2</v>
      </c>
      <c r="AZ37" s="267">
        <f t="shared" si="22"/>
        <v>-8.3191193181818196E-2</v>
      </c>
      <c r="BA37" s="35">
        <f>IF(ISNUMBER('Courier_M.'!V25),'Courier_M.'!V25,0)</f>
        <v>57.540431976318359</v>
      </c>
      <c r="BB37" s="36">
        <f>IF(ISNUMBER(Laboratorio_M!V23),Laboratorio_M!V23,"")</f>
        <v>55.825000000000003</v>
      </c>
      <c r="BC37" s="36">
        <f t="shared" si="23"/>
        <v>-1.7154319763183565</v>
      </c>
      <c r="BD37" s="267">
        <f t="shared" si="24"/>
        <v>1.7154319763183565</v>
      </c>
      <c r="BE37" s="161">
        <f t="shared" si="41"/>
        <v>3.0728741179012209</v>
      </c>
      <c r="BF37" s="267">
        <f>Calculos_M!$AI$1</f>
        <v>1.4830847050619838</v>
      </c>
      <c r="BG37" s="267">
        <f t="shared" si="25"/>
        <v>-1.4830847050619838</v>
      </c>
      <c r="BH37" s="35">
        <f>IF(ISNUMBER('Courier_M.'!X25),'Courier_M.'!X25,"")</f>
        <v>0.71086245775222778</v>
      </c>
      <c r="BI37" s="36">
        <f>IF(ISNUMBER(Laboratorio_M!X23),Laboratorio_M!X23,"")</f>
        <v>1.8089999999999999</v>
      </c>
      <c r="BJ37" s="36">
        <f t="shared" si="26"/>
        <v>1.0981375422477722</v>
      </c>
      <c r="BK37" s="267">
        <f t="shared" si="27"/>
        <v>1.0981375422477722</v>
      </c>
      <c r="BL37" s="161">
        <f t="shared" si="28"/>
        <v>60.704120632823233</v>
      </c>
      <c r="BM37" s="36"/>
      <c r="BN37" s="161"/>
      <c r="BO37" s="35">
        <f>IF(ISNUMBER('Courier_M.'!Z25),'Courier_M.'!Z25,"")</f>
        <v>2.5285269788813181</v>
      </c>
      <c r="BP37" s="36">
        <f>IF(ISNUMBER(Laboratorio_M!Z23),Laboratorio_M!Z23,"")</f>
        <v>2.12</v>
      </c>
      <c r="BQ37" s="36">
        <f t="shared" si="29"/>
        <v>-0.40852697888131795</v>
      </c>
      <c r="BR37" s="267">
        <f t="shared" si="30"/>
        <v>0.40852697888131795</v>
      </c>
      <c r="BS37" s="161">
        <f t="shared" si="31"/>
        <v>19.270140513269713</v>
      </c>
      <c r="BT37" s="36"/>
      <c r="BU37" s="161"/>
    </row>
    <row r="38" spans="1:73" ht="15" x14ac:dyDescent="0.2">
      <c r="A38">
        <f>+A36+1</f>
        <v>18</v>
      </c>
      <c r="B38" s="7">
        <f>+B36+1</f>
        <v>46265</v>
      </c>
      <c r="C38" s="7" t="str">
        <f>DAY(B38) &amp; "-" &amp; MONTH(B38) &amp;"-" &amp; YEAR(B38)</f>
        <v>31-8-2026</v>
      </c>
      <c r="D38" s="35">
        <f>IF(ISNUMBER('Courier_M.'!E26),'Courier_M.'!E26,"")</f>
        <v>22.604328155517578</v>
      </c>
      <c r="E38" s="36">
        <f>IF(ISNUMBER(Laboratorio_M!E24),Laboratorio_M!E24,"")</f>
        <v>21.457999999999998</v>
      </c>
      <c r="F38" s="36">
        <f t="shared" si="6"/>
        <v>-1.1463281555175797</v>
      </c>
      <c r="G38" s="267">
        <f t="shared" si="7"/>
        <v>1.1463281555175797</v>
      </c>
      <c r="H38" s="161">
        <f t="shared" si="36"/>
        <v>5.342194778253238</v>
      </c>
      <c r="I38" s="267">
        <f>Calculos_M!$I$1</f>
        <v>2.2302216249999991</v>
      </c>
      <c r="J38" s="267">
        <f t="shared" si="32"/>
        <v>-2.2302216249999991</v>
      </c>
      <c r="K38" s="35">
        <f>IF(ISNUMBER('Courier_M.'!G26),'Courier_M.'!G26,"")</f>
        <v>1.2683455944061279</v>
      </c>
      <c r="L38" s="36">
        <f>IF(ISNUMBER(Laboratorio_M!G24),Laboratorio_M!G24,"")</f>
        <v>1.538</v>
      </c>
      <c r="M38" s="36">
        <f t="shared" si="8"/>
        <v>0.2696544055938721</v>
      </c>
      <c r="N38" s="267">
        <f t="shared" si="9"/>
        <v>0.2696544055938721</v>
      </c>
      <c r="O38" s="161">
        <f t="shared" si="37"/>
        <v>17.532796202462425</v>
      </c>
      <c r="P38" s="267">
        <f>Calculos_M!$J$1</f>
        <v>0.382682625</v>
      </c>
      <c r="Q38" s="267">
        <f t="shared" si="33"/>
        <v>-0.382682625</v>
      </c>
      <c r="R38" s="35">
        <f>IF(ISNUMBER('Courier_M.'!I26),'Courier_M.'!I26,"")</f>
        <v>28.495849609375</v>
      </c>
      <c r="S38" s="36">
        <f>IF(ISNUMBER(Laboratorio_M!I24),Laboratorio_M!I24,"")</f>
        <v>27</v>
      </c>
      <c r="T38" s="36">
        <f t="shared" si="10"/>
        <v>-1.495849609375</v>
      </c>
      <c r="U38" s="267">
        <f t="shared" si="11"/>
        <v>1.495849609375</v>
      </c>
      <c r="V38" s="161">
        <f t="shared" si="12"/>
        <v>5.5401837384259256</v>
      </c>
      <c r="W38" s="267"/>
      <c r="X38" s="267"/>
      <c r="Y38" s="35">
        <f>IF(ISNUMBER('Courier_M.'!K26),'Courier_M.'!K26,"")</f>
        <v>22.97532844543457</v>
      </c>
      <c r="Z38" s="36">
        <f>IF(ISNUMBER(Laboratorio_M!K24),Laboratorio_M!K24,"")</f>
        <v>21.358000000000001</v>
      </c>
      <c r="AA38" s="36">
        <f t="shared" si="13"/>
        <v>-1.6173284454345698</v>
      </c>
      <c r="AB38" s="267">
        <f t="shared" si="14"/>
        <v>1.6173284454345698</v>
      </c>
      <c r="AC38" s="161">
        <f t="shared" si="38"/>
        <v>7.5724714178976011</v>
      </c>
      <c r="AD38" s="267">
        <f>Calculos_M!$U$1</f>
        <v>1.0662891477272729</v>
      </c>
      <c r="AE38" s="267">
        <f t="shared" si="34"/>
        <v>-1.0662891477272729</v>
      </c>
      <c r="AF38" s="35">
        <f>IF(ISNUMBER('Courier_M.'!M26),'Courier_M.'!M26,"")</f>
        <v>0.13723689317703247</v>
      </c>
      <c r="AG38" s="36">
        <f>IF(ISNUMBER(Laboratorio_M!M24),Laboratorio_M!M24,"")</f>
        <v>0.10299999999999999</v>
      </c>
      <c r="AH38" s="36">
        <f t="shared" si="15"/>
        <v>-3.4236893177032476E-2</v>
      </c>
      <c r="AI38" s="267">
        <f t="shared" si="16"/>
        <v>3.4236893177032476E-2</v>
      </c>
      <c r="AJ38" s="161">
        <f t="shared" si="39"/>
        <v>33.239702113623764</v>
      </c>
      <c r="AK38" s="267">
        <f>Calculos_M!$V$1</f>
        <v>3.2516250000000003E-2</v>
      </c>
      <c r="AL38" s="267">
        <f t="shared" si="35"/>
        <v>-3.2516250000000003E-2</v>
      </c>
      <c r="AM38" s="35">
        <f>IF(ISNUMBER('Courier_M.'!O26),'Courier_M.'!O26,"")</f>
        <v>29.232358932495117</v>
      </c>
      <c r="AN38" s="36">
        <f>IF(ISNUMBER(Laboratorio_M!O24),Laboratorio_M!O24,"")</f>
        <v>28.73</v>
      </c>
      <c r="AO38" s="36">
        <f t="shared" si="17"/>
        <v>-0.50235893249511676</v>
      </c>
      <c r="AP38" s="267">
        <f t="shared" si="18"/>
        <v>0.50235893249511676</v>
      </c>
      <c r="AQ38" s="161">
        <f t="shared" si="19"/>
        <v>1.7485518012360486</v>
      </c>
      <c r="AR38" s="267"/>
      <c r="AS38" s="267"/>
      <c r="AT38" s="35">
        <f>IF(ISNUMBER('Courier_M.'!S26),'Courier_M.'!S26,0)</f>
        <v>0.49724653363227844</v>
      </c>
      <c r="AU38" s="36" t="str">
        <f>IF(ISNUMBER(Laboratorio_M!S24),Laboratorio_M!S24,"")</f>
        <v/>
      </c>
      <c r="AV38" s="36" t="str">
        <f t="shared" si="20"/>
        <v xml:space="preserve"> </v>
      </c>
      <c r="AW38" s="267" t="str">
        <f t="shared" si="21"/>
        <v xml:space="preserve"> </v>
      </c>
      <c r="AX38" s="161" t="str">
        <f t="shared" si="40"/>
        <v xml:space="preserve"> </v>
      </c>
      <c r="AY38" s="267">
        <f>Calculos_M!$AH$1</f>
        <v>8.3191193181818196E-2</v>
      </c>
      <c r="AZ38" s="267">
        <f t="shared" si="22"/>
        <v>-8.3191193181818196E-2</v>
      </c>
      <c r="BA38" s="35">
        <f>IF(ISNUMBER('Courier_M.'!U26),'Courier_M.'!U26,0)</f>
        <v>55.790214538574219</v>
      </c>
      <c r="BB38" s="36" t="str">
        <f>IF(ISNUMBER(Laboratorio_M!U24),Laboratorio_M!U24,"")</f>
        <v/>
      </c>
      <c r="BC38" s="36" t="str">
        <f t="shared" si="23"/>
        <v xml:space="preserve"> </v>
      </c>
      <c r="BD38" s="267" t="str">
        <f t="shared" si="24"/>
        <v xml:space="preserve"> </v>
      </c>
      <c r="BE38" s="161" t="str">
        <f t="shared" si="41"/>
        <v xml:space="preserve"> </v>
      </c>
      <c r="BF38" s="267">
        <f>Calculos_M!$AI$1</f>
        <v>1.4830847050619838</v>
      </c>
      <c r="BG38" s="267">
        <f t="shared" si="25"/>
        <v>-1.4830847050619838</v>
      </c>
      <c r="BH38" s="35">
        <f>IF(ISNUMBER('Courier_M.'!W26),'Courier_M.'!W26,"")</f>
        <v>0.74903416633605957</v>
      </c>
      <c r="BI38" s="36" t="str">
        <f>IF(ISNUMBER(Laboratorio_M!W24),Laboratorio_M!W24,"")</f>
        <v/>
      </c>
      <c r="BJ38" s="36" t="str">
        <f t="shared" si="26"/>
        <v xml:space="preserve"> </v>
      </c>
      <c r="BK38" s="267" t="str">
        <f t="shared" si="27"/>
        <v xml:space="preserve"> </v>
      </c>
      <c r="BL38" s="161" t="str">
        <f t="shared" si="28"/>
        <v xml:space="preserve"> </v>
      </c>
      <c r="BM38" s="36"/>
      <c r="BN38" s="161"/>
      <c r="BO38" s="35" t="str">
        <f>IF(ISNUMBER('Courier_M.'!Y26),'Courier_M.'!Y26,"")</f>
        <v/>
      </c>
      <c r="BP38" s="36" t="str">
        <f>IF(ISNUMBER(Laboratorio_M!Y24),Laboratorio_M!Y24,"")</f>
        <v/>
      </c>
      <c r="BQ38" s="36" t="str">
        <f t="shared" si="29"/>
        <v xml:space="preserve"> </v>
      </c>
      <c r="BR38" s="267" t="str">
        <f t="shared" si="30"/>
        <v xml:space="preserve"> </v>
      </c>
      <c r="BS38" s="161" t="str">
        <f t="shared" si="31"/>
        <v xml:space="preserve"> </v>
      </c>
      <c r="BT38" s="36"/>
      <c r="BU38" s="161"/>
    </row>
    <row r="39" spans="1:73" ht="15" x14ac:dyDescent="0.2">
      <c r="C39" s="38" t="str">
        <f>DAY(B38) &amp; "-" &amp; MONTH(B38) &amp;"-" &amp; YEAR(B38)</f>
        <v>31-8-2026</v>
      </c>
      <c r="D39" s="35">
        <f>IF(ISNUMBER('Courier_M.'!F26),'Courier_M.'!F26,"")</f>
        <v>22.234939575195313</v>
      </c>
      <c r="E39" s="36" t="str">
        <f>IF(ISNUMBER(Laboratorio_M!F24),Laboratorio_M!F24,"")</f>
        <v/>
      </c>
      <c r="F39" s="36" t="str">
        <f t="shared" si="6"/>
        <v xml:space="preserve"> </v>
      </c>
      <c r="G39" s="267" t="str">
        <f t="shared" si="7"/>
        <v xml:space="preserve"> </v>
      </c>
      <c r="H39" s="161" t="str">
        <f t="shared" si="36"/>
        <v xml:space="preserve"> </v>
      </c>
      <c r="I39" s="267">
        <f>Calculos_M!$I$1</f>
        <v>2.2302216249999991</v>
      </c>
      <c r="J39" s="267">
        <f t="shared" si="32"/>
        <v>-2.2302216249999991</v>
      </c>
      <c r="K39" s="35">
        <f>IF(ISNUMBER('Courier_M.'!H26),'Courier_M.'!H26,"")</f>
        <v>1.1988584995269775</v>
      </c>
      <c r="L39" s="36" t="str">
        <f>IF(ISNUMBER(Laboratorio_M!H24),Laboratorio_M!H24,"")</f>
        <v/>
      </c>
      <c r="M39" s="36" t="str">
        <f t="shared" si="8"/>
        <v xml:space="preserve"> </v>
      </c>
      <c r="N39" s="267" t="str">
        <f t="shared" si="9"/>
        <v xml:space="preserve"> </v>
      </c>
      <c r="O39" s="161" t="str">
        <f t="shared" si="37"/>
        <v xml:space="preserve"> </v>
      </c>
      <c r="P39" s="267">
        <f>Calculos_M!$J$1</f>
        <v>0.382682625</v>
      </c>
      <c r="Q39" s="267">
        <f t="shared" si="33"/>
        <v>-0.382682625</v>
      </c>
      <c r="R39" s="35">
        <f>IF(ISNUMBER('Courier_M.'!J26),'Courier_M.'!J26,"")</f>
        <v>28.5963134765625</v>
      </c>
      <c r="S39" s="36" t="str">
        <f>IF(ISNUMBER(Laboratorio_M!J24),Laboratorio_M!J24,"")</f>
        <v/>
      </c>
      <c r="T39" s="36" t="str">
        <f t="shared" si="10"/>
        <v xml:space="preserve"> </v>
      </c>
      <c r="U39" s="267" t="str">
        <f t="shared" si="11"/>
        <v xml:space="preserve"> </v>
      </c>
      <c r="V39" s="161" t="str">
        <f t="shared" si="12"/>
        <v xml:space="preserve"> </v>
      </c>
      <c r="W39" s="267"/>
      <c r="X39" s="267"/>
      <c r="Y39" s="35">
        <f>IF(ISNUMBER('Courier_M.'!L26),'Courier_M.'!L26,"")</f>
        <v>22.950065612792969</v>
      </c>
      <c r="Z39" s="36" t="str">
        <f>IF(ISNUMBER(Laboratorio_M!L24),Laboratorio_M!L24,"")</f>
        <v/>
      </c>
      <c r="AA39" s="36" t="str">
        <f t="shared" si="13"/>
        <v xml:space="preserve"> </v>
      </c>
      <c r="AB39" s="267" t="str">
        <f t="shared" si="14"/>
        <v xml:space="preserve"> </v>
      </c>
      <c r="AC39" s="161" t="str">
        <f t="shared" si="38"/>
        <v xml:space="preserve"> </v>
      </c>
      <c r="AD39" s="267">
        <f>Calculos_M!$U$1</f>
        <v>1.0662891477272729</v>
      </c>
      <c r="AE39" s="267">
        <f t="shared" si="34"/>
        <v>-1.0662891477272729</v>
      </c>
      <c r="AF39" s="35">
        <f>IF(ISNUMBER('Courier_M.'!N26),'Courier_M.'!N26,"")</f>
        <v>0.17933668196201324</v>
      </c>
      <c r="AG39" s="36" t="str">
        <f>IF(ISNUMBER(Laboratorio_M!N24),Laboratorio_M!N24,"")</f>
        <v/>
      </c>
      <c r="AH39" s="36" t="str">
        <f t="shared" si="15"/>
        <v xml:space="preserve"> </v>
      </c>
      <c r="AI39" s="267" t="str">
        <f t="shared" si="16"/>
        <v xml:space="preserve"> </v>
      </c>
      <c r="AJ39" s="161" t="str">
        <f t="shared" si="39"/>
        <v xml:space="preserve"> </v>
      </c>
      <c r="AK39" s="267">
        <f>Calculos_M!$V$1</f>
        <v>3.2516250000000003E-2</v>
      </c>
      <c r="AL39" s="267">
        <f t="shared" si="35"/>
        <v>-3.2516250000000003E-2</v>
      </c>
      <c r="AM39" s="35">
        <f>IF(ISNUMBER('Courier_M.'!P26),'Courier_M.'!P26,"")</f>
        <v>29.035747528076172</v>
      </c>
      <c r="AN39" s="36" t="str">
        <f>IF(ISNUMBER(Laboratorio_M!P24),Laboratorio_M!P24,"")</f>
        <v/>
      </c>
      <c r="AO39" s="36" t="str">
        <f t="shared" si="17"/>
        <v xml:space="preserve"> </v>
      </c>
      <c r="AP39" s="267" t="str">
        <f t="shared" si="18"/>
        <v xml:space="preserve"> </v>
      </c>
      <c r="AQ39" s="161" t="str">
        <f t="shared" si="19"/>
        <v xml:space="preserve"> </v>
      </c>
      <c r="AR39" s="267"/>
      <c r="AS39" s="267"/>
      <c r="AT39" s="35">
        <f>IF(ISNUMBER('Courier_M.'!T26),'Courier_M.'!T26,0)</f>
        <v>0.49724653363227844</v>
      </c>
      <c r="AU39" s="36" t="str">
        <f>IF(ISNUMBER(Laboratorio_M!T24),Laboratorio_M!T24,"")</f>
        <v/>
      </c>
      <c r="AV39" s="36" t="str">
        <f t="shared" si="20"/>
        <v xml:space="preserve"> </v>
      </c>
      <c r="AW39" s="267" t="str">
        <f t="shared" si="21"/>
        <v xml:space="preserve"> </v>
      </c>
      <c r="AX39" s="161" t="str">
        <f t="shared" si="40"/>
        <v xml:space="preserve"> </v>
      </c>
      <c r="AY39" s="267">
        <f>Calculos_M!$AH$1</f>
        <v>8.3191193181818196E-2</v>
      </c>
      <c r="AZ39" s="267">
        <f t="shared" si="22"/>
        <v>-8.3191193181818196E-2</v>
      </c>
      <c r="BA39" s="35">
        <f>IF(ISNUMBER('Courier_M.'!V26),'Courier_M.'!V26,0)</f>
        <v>55.790214538574219</v>
      </c>
      <c r="BB39" s="36" t="str">
        <f>IF(ISNUMBER(Laboratorio_M!V24),Laboratorio_M!V24,"")</f>
        <v/>
      </c>
      <c r="BC39" s="36" t="str">
        <f t="shared" si="23"/>
        <v xml:space="preserve"> </v>
      </c>
      <c r="BD39" s="267" t="str">
        <f t="shared" si="24"/>
        <v xml:space="preserve"> </v>
      </c>
      <c r="BE39" s="161" t="str">
        <f t="shared" si="41"/>
        <v xml:space="preserve"> </v>
      </c>
      <c r="BF39" s="267">
        <f>Calculos_M!$AI$1</f>
        <v>1.4830847050619838</v>
      </c>
      <c r="BG39" s="267">
        <f t="shared" si="25"/>
        <v>-1.4830847050619838</v>
      </c>
      <c r="BH39" s="35">
        <f>IF(ISNUMBER('Courier_M.'!X26),'Courier_M.'!X26,"")</f>
        <v>0.74903416633605957</v>
      </c>
      <c r="BI39" s="36" t="str">
        <f>IF(ISNUMBER(Laboratorio_M!X24),Laboratorio_M!X24,"")</f>
        <v/>
      </c>
      <c r="BJ39" s="36" t="str">
        <f t="shared" si="26"/>
        <v xml:space="preserve"> </v>
      </c>
      <c r="BK39" s="267" t="str">
        <f t="shared" si="27"/>
        <v xml:space="preserve"> </v>
      </c>
      <c r="BL39" s="161" t="str">
        <f t="shared" si="28"/>
        <v xml:space="preserve"> </v>
      </c>
      <c r="BM39" s="36"/>
      <c r="BN39" s="161"/>
      <c r="BO39" s="35" t="str">
        <f>IF(ISNUMBER('Courier_M.'!Z26),'Courier_M.'!Z26,"")</f>
        <v/>
      </c>
      <c r="BP39" s="36" t="str">
        <f>IF(ISNUMBER(Laboratorio_M!Z24),Laboratorio_M!Z24,"")</f>
        <v/>
      </c>
      <c r="BQ39" s="36" t="str">
        <f t="shared" si="29"/>
        <v xml:space="preserve"> </v>
      </c>
      <c r="BR39" s="267" t="str">
        <f t="shared" si="30"/>
        <v xml:space="preserve"> </v>
      </c>
      <c r="BS39" s="161" t="str">
        <f t="shared" si="31"/>
        <v xml:space="preserve"> </v>
      </c>
      <c r="BT39" s="36"/>
      <c r="BU39" s="161"/>
    </row>
    <row r="40" spans="1:73" ht="15" x14ac:dyDescent="0.2">
      <c r="A40">
        <f>+A38+1</f>
        <v>19</v>
      </c>
      <c r="B40" s="7">
        <f>+B38+1</f>
        <v>46266</v>
      </c>
      <c r="C40" s="7" t="str">
        <f>DAY(B40) &amp; "-" &amp; MONTH(B40) &amp;"-" &amp; YEAR(B40)</f>
        <v>1-9-2026</v>
      </c>
      <c r="D40" s="35">
        <f>IF(ISNUMBER('Courier_M.'!E27),'Courier_M.'!E27,"")</f>
        <v>21.570816040039063</v>
      </c>
      <c r="E40" s="36" t="str">
        <f>IF(ISNUMBER(Laboratorio_M!E25),Laboratorio_M!E25,"")</f>
        <v/>
      </c>
      <c r="F40" s="36" t="str">
        <f t="shared" si="6"/>
        <v xml:space="preserve"> </v>
      </c>
      <c r="G40" s="267" t="str">
        <f t="shared" si="7"/>
        <v xml:space="preserve"> </v>
      </c>
      <c r="H40" s="161" t="str">
        <f t="shared" si="36"/>
        <v xml:space="preserve"> </v>
      </c>
      <c r="I40" s="267">
        <f>Calculos_M!$I$1</f>
        <v>2.2302216249999991</v>
      </c>
      <c r="J40" s="267">
        <f t="shared" si="32"/>
        <v>-2.2302216249999991</v>
      </c>
      <c r="K40" s="35">
        <f>IF(ISNUMBER('Courier_M.'!G27),'Courier_M.'!G27,"")</f>
        <v>1.8395336866378784</v>
      </c>
      <c r="L40" s="36" t="str">
        <f>IF(ISNUMBER(Laboratorio_M!G25),Laboratorio_M!G25,"")</f>
        <v/>
      </c>
      <c r="M40" s="36" t="str">
        <f t="shared" si="8"/>
        <v xml:space="preserve"> </v>
      </c>
      <c r="N40" s="267" t="str">
        <f t="shared" si="9"/>
        <v xml:space="preserve"> </v>
      </c>
      <c r="O40" s="161" t="str">
        <f t="shared" si="37"/>
        <v xml:space="preserve"> </v>
      </c>
      <c r="P40" s="267">
        <f>Calculos_M!$J$1</f>
        <v>0.382682625</v>
      </c>
      <c r="Q40" s="267">
        <f t="shared" si="33"/>
        <v>-0.382682625</v>
      </c>
      <c r="R40" s="35">
        <f>IF(ISNUMBER('Courier_M.'!I27),'Courier_M.'!I27,"")</f>
        <v>27.663223266601563</v>
      </c>
      <c r="S40" s="36" t="str">
        <f>IF(ISNUMBER(Laboratorio_M!I25),Laboratorio_M!I25,"")</f>
        <v/>
      </c>
      <c r="T40" s="36" t="str">
        <f t="shared" si="10"/>
        <v xml:space="preserve"> </v>
      </c>
      <c r="U40" s="267" t="str">
        <f t="shared" si="11"/>
        <v xml:space="preserve"> </v>
      </c>
      <c r="V40" s="161" t="str">
        <f t="shared" si="12"/>
        <v xml:space="preserve"> </v>
      </c>
      <c r="W40" s="267"/>
      <c r="X40" s="267"/>
      <c r="Y40" s="35">
        <f>IF(ISNUMBER('Courier_M.'!K27),'Courier_M.'!K27,"")</f>
        <v>22.950065612792969</v>
      </c>
      <c r="Z40" s="36" t="str">
        <f>IF(ISNUMBER(Laboratorio_M!K25),Laboratorio_M!K25,"")</f>
        <v/>
      </c>
      <c r="AA40" s="36" t="str">
        <f t="shared" si="13"/>
        <v xml:space="preserve"> </v>
      </c>
      <c r="AB40" s="267" t="str">
        <f t="shared" si="14"/>
        <v xml:space="preserve"> </v>
      </c>
      <c r="AC40" s="161" t="str">
        <f t="shared" si="38"/>
        <v xml:space="preserve"> </v>
      </c>
      <c r="AD40" s="267">
        <f>Calculos_M!$U$1</f>
        <v>1.0662891477272729</v>
      </c>
      <c r="AE40" s="267">
        <f t="shared" si="34"/>
        <v>-1.0662891477272729</v>
      </c>
      <c r="AF40" s="35">
        <f>IF(ISNUMBER('Courier_M.'!M27),'Courier_M.'!M27,"")</f>
        <v>0.17933668196201324</v>
      </c>
      <c r="AG40" s="36" t="str">
        <f>IF(ISNUMBER(Laboratorio_M!M25),Laboratorio_M!M25,"")</f>
        <v/>
      </c>
      <c r="AH40" s="36" t="str">
        <f t="shared" si="15"/>
        <v xml:space="preserve"> </v>
      </c>
      <c r="AI40" s="267" t="str">
        <f t="shared" si="16"/>
        <v xml:space="preserve"> </v>
      </c>
      <c r="AJ40" s="161" t="str">
        <f t="shared" si="39"/>
        <v xml:space="preserve"> </v>
      </c>
      <c r="AK40" s="267">
        <f>Calculos_M!$V$1</f>
        <v>3.2516250000000003E-2</v>
      </c>
      <c r="AL40" s="267">
        <f t="shared" si="35"/>
        <v>-3.2516250000000003E-2</v>
      </c>
      <c r="AM40" s="35">
        <f>IF(ISNUMBER('Courier_M.'!O27),'Courier_M.'!O27,"")</f>
        <v>29.035747528076172</v>
      </c>
      <c r="AN40" s="36" t="str">
        <f>IF(ISNUMBER(Laboratorio_M!O25),Laboratorio_M!O25,"")</f>
        <v/>
      </c>
      <c r="AO40" s="36" t="str">
        <f t="shared" si="17"/>
        <v xml:space="preserve"> </v>
      </c>
      <c r="AP40" s="267" t="str">
        <f t="shared" si="18"/>
        <v xml:space="preserve"> </v>
      </c>
      <c r="AQ40" s="161" t="str">
        <f t="shared" si="19"/>
        <v xml:space="preserve"> </v>
      </c>
      <c r="AR40" s="267"/>
      <c r="AS40" s="267"/>
      <c r="AT40" s="35">
        <f>IF(ISNUMBER('Courier_M.'!S27),'Courier_M.'!S27,0)</f>
        <v>0.49724653363227844</v>
      </c>
      <c r="AU40" s="36" t="str">
        <f>IF(ISNUMBER(Laboratorio_M!S25),Laboratorio_M!S25,"")</f>
        <v/>
      </c>
      <c r="AV40" s="36" t="str">
        <f t="shared" si="20"/>
        <v xml:space="preserve"> </v>
      </c>
      <c r="AW40" s="267" t="str">
        <f t="shared" si="21"/>
        <v xml:space="preserve"> </v>
      </c>
      <c r="AX40" s="161" t="str">
        <f t="shared" si="40"/>
        <v xml:space="preserve"> </v>
      </c>
      <c r="AY40" s="267">
        <f>Calculos_M!$AH$1</f>
        <v>8.3191193181818196E-2</v>
      </c>
      <c r="AZ40" s="267">
        <f t="shared" si="22"/>
        <v>-8.3191193181818196E-2</v>
      </c>
      <c r="BA40" s="35">
        <f>IF(ISNUMBER('Courier_M.'!U27),'Courier_M.'!U27,0)</f>
        <v>55.790214538574219</v>
      </c>
      <c r="BB40" s="36" t="str">
        <f>IF(ISNUMBER(Laboratorio_M!U25),Laboratorio_M!U25,"")</f>
        <v/>
      </c>
      <c r="BC40" s="36" t="str">
        <f t="shared" si="23"/>
        <v xml:space="preserve"> </v>
      </c>
      <c r="BD40" s="267" t="str">
        <f t="shared" si="24"/>
        <v xml:space="preserve"> </v>
      </c>
      <c r="BE40" s="161" t="str">
        <f t="shared" si="41"/>
        <v xml:space="preserve"> </v>
      </c>
      <c r="BF40" s="267">
        <f>Calculos_M!$AI$1</f>
        <v>1.4830847050619838</v>
      </c>
      <c r="BG40" s="267">
        <f t="shared" si="25"/>
        <v>-1.4830847050619838</v>
      </c>
      <c r="BH40" s="35">
        <f>IF(ISNUMBER('Courier_M.'!W27),'Courier_M.'!W27,"")</f>
        <v>0.74903416633605957</v>
      </c>
      <c r="BI40" s="36" t="str">
        <f>IF(ISNUMBER(Laboratorio_M!W25),Laboratorio_M!W25,"")</f>
        <v/>
      </c>
      <c r="BJ40" s="36" t="str">
        <f t="shared" si="26"/>
        <v xml:space="preserve"> </v>
      </c>
      <c r="BK40" s="267" t="str">
        <f t="shared" si="27"/>
        <v xml:space="preserve"> </v>
      </c>
      <c r="BL40" s="161" t="str">
        <f t="shared" si="28"/>
        <v xml:space="preserve"> </v>
      </c>
      <c r="BM40" s="36"/>
      <c r="BN40" s="161"/>
      <c r="BO40" s="35" t="str">
        <f>IF(ISNUMBER('Courier_M.'!Y27),'Courier_M.'!Y27,"")</f>
        <v/>
      </c>
      <c r="BP40" s="36" t="str">
        <f>IF(ISNUMBER(Laboratorio_M!Y25),Laboratorio_M!Y25,"")</f>
        <v/>
      </c>
      <c r="BQ40" s="36" t="str">
        <f t="shared" si="29"/>
        <v xml:space="preserve"> </v>
      </c>
      <c r="BR40" s="267" t="str">
        <f t="shared" si="30"/>
        <v xml:space="preserve"> </v>
      </c>
      <c r="BS40" s="161" t="str">
        <f t="shared" si="31"/>
        <v xml:space="preserve"> </v>
      </c>
      <c r="BT40" s="36"/>
      <c r="BU40" s="161"/>
    </row>
    <row r="41" spans="1:73" ht="15" x14ac:dyDescent="0.2">
      <c r="C41" s="38" t="str">
        <f>DAY(B40) &amp; "-" &amp; MONTH(B40) &amp;"-" &amp; YEAR(B40)</f>
        <v>1-9-2026</v>
      </c>
      <c r="D41" s="35">
        <f>IF(ISNUMBER('Courier_M.'!F27),'Courier_M.'!F27,"")</f>
        <v>22.481559753417969</v>
      </c>
      <c r="E41" s="36">
        <f>IF(ISNUMBER(Laboratorio_M!F25),Laboratorio_M!F25,"")</f>
        <v>21.108000000000001</v>
      </c>
      <c r="F41" s="36">
        <f t="shared" si="6"/>
        <v>-1.3735597534179682</v>
      </c>
      <c r="G41" s="267">
        <f t="shared" si="7"/>
        <v>1.3735597534179682</v>
      </c>
      <c r="H41" s="161">
        <f t="shared" si="36"/>
        <v>6.5072946438220969</v>
      </c>
      <c r="I41" s="267">
        <f>Calculos_M!$I$1</f>
        <v>2.2302216249999991</v>
      </c>
      <c r="J41" s="267">
        <f t="shared" si="32"/>
        <v>-2.2302216249999991</v>
      </c>
      <c r="K41" s="35">
        <f>IF(ISNUMBER('Courier_M.'!H27),'Courier_M.'!H27,"")</f>
        <v>2.4774608612060547</v>
      </c>
      <c r="L41" s="36">
        <f>IF(ISNUMBER(Laboratorio_M!H25),Laboratorio_M!H25,"")</f>
        <v>2.657</v>
      </c>
      <c r="M41" s="36">
        <f t="shared" si="8"/>
        <v>0.17953913879394534</v>
      </c>
      <c r="N41" s="267">
        <f t="shared" si="9"/>
        <v>0.17953913879394534</v>
      </c>
      <c r="O41" s="161">
        <f t="shared" si="37"/>
        <v>6.7572126004495807</v>
      </c>
      <c r="P41" s="267">
        <f>Calculos_M!$J$1</f>
        <v>0.382682625</v>
      </c>
      <c r="Q41" s="267">
        <f t="shared" si="33"/>
        <v>-0.382682625</v>
      </c>
      <c r="R41" s="35">
        <f>IF(ISNUMBER('Courier_M.'!J27),'Courier_M.'!J27,"")</f>
        <v>28.908685684204102</v>
      </c>
      <c r="S41" s="36">
        <f>IF(ISNUMBER(Laboratorio_M!J25),Laboratorio_M!J25,"")</f>
        <v>28.95</v>
      </c>
      <c r="T41" s="36">
        <f t="shared" si="10"/>
        <v>4.1314315795897727E-2</v>
      </c>
      <c r="U41" s="267">
        <f t="shared" si="11"/>
        <v>4.1314315795897727E-2</v>
      </c>
      <c r="V41" s="161">
        <f t="shared" si="12"/>
        <v>0.14270920827598524</v>
      </c>
      <c r="W41" s="267"/>
      <c r="X41" s="267"/>
      <c r="Y41" s="35">
        <f>IF(ISNUMBER('Courier_M.'!L27),'Courier_M.'!L27,"")</f>
        <v>22.364408493041992</v>
      </c>
      <c r="Z41" s="36">
        <f>IF(ISNUMBER(Laboratorio_M!L25),Laboratorio_M!L25,"")</f>
        <v>22.564</v>
      </c>
      <c r="AA41" s="36">
        <f t="shared" si="13"/>
        <v>0.19959150695800787</v>
      </c>
      <c r="AB41" s="267">
        <f t="shared" si="14"/>
        <v>0.19959150695800787</v>
      </c>
      <c r="AC41" s="161">
        <f t="shared" si="38"/>
        <v>0.88455729018794471</v>
      </c>
      <c r="AD41" s="267">
        <f>Calculos_M!$U$1</f>
        <v>1.0662891477272729</v>
      </c>
      <c r="AE41" s="267">
        <f t="shared" si="34"/>
        <v>-1.0662891477272729</v>
      </c>
      <c r="AF41" s="35">
        <f>IF(ISNUMBER('Courier_M.'!N27),'Courier_M.'!N27,"")</f>
        <v>0.85045719146728516</v>
      </c>
      <c r="AG41" s="36">
        <f>IF(ISNUMBER(Laboratorio_M!N25),Laboratorio_M!N25,"")</f>
        <v>5.3999999999999999E-2</v>
      </c>
      <c r="AH41" s="36">
        <f t="shared" si="15"/>
        <v>-0.79645719146728511</v>
      </c>
      <c r="AI41" s="267">
        <f t="shared" si="16"/>
        <v>0.79645719146728511</v>
      </c>
      <c r="AJ41" s="161">
        <f t="shared" si="39"/>
        <v>1474.9207249394169</v>
      </c>
      <c r="AK41" s="267">
        <f>Calculos_M!$V$1</f>
        <v>3.2516250000000003E-2</v>
      </c>
      <c r="AL41" s="267">
        <f t="shared" si="35"/>
        <v>-3.2516250000000003E-2</v>
      </c>
      <c r="AM41" s="35">
        <f>IF(ISNUMBER('Courier_M.'!P27),'Courier_M.'!P27,"")</f>
        <v>27.969631195068359</v>
      </c>
      <c r="AN41" s="36">
        <f>IF(ISNUMBER(Laboratorio_M!P25),Laboratorio_M!P25,"")</f>
        <v>28.59</v>
      </c>
      <c r="AO41" s="36">
        <f t="shared" si="17"/>
        <v>0.62036880493164048</v>
      </c>
      <c r="AP41" s="267">
        <f t="shared" si="18"/>
        <v>0.62036880493164048</v>
      </c>
      <c r="AQ41" s="161">
        <f t="shared" si="19"/>
        <v>2.1698803950039891</v>
      </c>
      <c r="AR41" s="267"/>
      <c r="AS41" s="267"/>
      <c r="AT41" s="35">
        <f>IF(ISNUMBER('Courier_M.'!T27),'Courier_M.'!T27,0)</f>
        <v>0.49724653363227844</v>
      </c>
      <c r="AU41" s="36">
        <f>IF(ISNUMBER(Laboratorio_M!T25),Laboratorio_M!T25,"")</f>
        <v>0.60699999999999998</v>
      </c>
      <c r="AV41" s="36">
        <f t="shared" si="20"/>
        <v>0.10975346636772154</v>
      </c>
      <c r="AW41" s="267">
        <f t="shared" si="21"/>
        <v>0.10975346636772154</v>
      </c>
      <c r="AX41" s="161">
        <f t="shared" si="40"/>
        <v>18.081295941964008</v>
      </c>
      <c r="AY41" s="267">
        <f>Calculos_M!$AH$1</f>
        <v>8.3191193181818196E-2</v>
      </c>
      <c r="AZ41" s="267">
        <f t="shared" si="22"/>
        <v>-8.3191193181818196E-2</v>
      </c>
      <c r="BA41" s="35">
        <f>IF(ISNUMBER('Courier_M.'!V27),'Courier_M.'!V27,0)</f>
        <v>55.790214538574219</v>
      </c>
      <c r="BB41" s="36">
        <f>IF(ISNUMBER(Laboratorio_M!V25),Laboratorio_M!V25,"")</f>
        <v>55.411000000000001</v>
      </c>
      <c r="BC41" s="36">
        <f t="shared" si="23"/>
        <v>-0.37921453857421739</v>
      </c>
      <c r="BD41" s="267">
        <f t="shared" si="24"/>
        <v>0.37921453857421739</v>
      </c>
      <c r="BE41" s="161">
        <f t="shared" si="41"/>
        <v>0.68436689208680113</v>
      </c>
      <c r="BF41" s="267">
        <f>Calculos_M!$AI$1</f>
        <v>1.4830847050619838</v>
      </c>
      <c r="BG41" s="267">
        <f t="shared" si="25"/>
        <v>-1.4830847050619838</v>
      </c>
      <c r="BH41" s="35">
        <f>IF(ISNUMBER('Courier_M.'!X27),'Courier_M.'!X27,"")</f>
        <v>0.74903416633605957</v>
      </c>
      <c r="BI41" s="36">
        <f>IF(ISNUMBER(Laboratorio_M!X25),Laboratorio_M!X25,"")</f>
        <v>1.6519999999999999</v>
      </c>
      <c r="BJ41" s="36">
        <f t="shared" si="26"/>
        <v>0.90296583366394034</v>
      </c>
      <c r="BK41" s="267">
        <f t="shared" si="27"/>
        <v>0.90296583366394034</v>
      </c>
      <c r="BL41" s="161">
        <f t="shared" si="28"/>
        <v>54.658948769003658</v>
      </c>
      <c r="BM41" s="36"/>
      <c r="BN41" s="161"/>
      <c r="BO41" s="35" t="str">
        <f>IF(ISNUMBER('Courier_M.'!Z27),'Courier_M.'!Z27,"")</f>
        <v/>
      </c>
      <c r="BP41" s="36">
        <f>IF(ISNUMBER(Laboratorio_M!Z25),Laboratorio_M!Z25,"")</f>
        <v>3.09</v>
      </c>
      <c r="BQ41" s="36" t="str">
        <f t="shared" si="29"/>
        <v xml:space="preserve"> </v>
      </c>
      <c r="BR41" s="267" t="str">
        <f t="shared" si="30"/>
        <v xml:space="preserve"> </v>
      </c>
      <c r="BS41" s="161" t="str">
        <f t="shared" si="31"/>
        <v xml:space="preserve"> </v>
      </c>
      <c r="BT41" s="36"/>
      <c r="BU41" s="161"/>
    </row>
    <row r="42" spans="1:73" ht="15" x14ac:dyDescent="0.2">
      <c r="A42">
        <f>A40+1</f>
        <v>20</v>
      </c>
      <c r="B42" s="7">
        <f>+B40+1</f>
        <v>46267</v>
      </c>
      <c r="C42" s="7" t="str">
        <f>DAY(B42) &amp; "-" &amp; MONTH(B42) &amp;"-" &amp; YEAR(B42)</f>
        <v>2-9-2026</v>
      </c>
      <c r="D42" s="35">
        <f>IF(ISNUMBER('Courier_M.'!E28),'Courier_M.'!E28,"")</f>
        <v>24.347196578979492</v>
      </c>
      <c r="E42" s="36">
        <f>IF(ISNUMBER(Laboratorio_M!E26),Laboratorio_M!E26,"")</f>
        <v>23.391999999999999</v>
      </c>
      <c r="F42" s="36">
        <f t="shared" si="6"/>
        <v>-0.95519657897949273</v>
      </c>
      <c r="G42" s="267">
        <f t="shared" si="7"/>
        <v>0.95519657897949273</v>
      </c>
      <c r="H42" s="161">
        <f t="shared" si="36"/>
        <v>4.0834327076756702</v>
      </c>
      <c r="I42" s="267">
        <f>Calculos_M!$I$1</f>
        <v>2.2302216249999991</v>
      </c>
      <c r="J42" s="267">
        <f t="shared" si="32"/>
        <v>-2.2302216249999991</v>
      </c>
      <c r="K42" s="35">
        <f>IF(ISNUMBER('Courier_M.'!G28),'Courier_M.'!G28,"")</f>
        <v>2.4923830032348633</v>
      </c>
      <c r="L42" s="36">
        <f>IF(ISNUMBER(Laboratorio_M!G26),Laboratorio_M!G26,"")</f>
        <v>2.6150000000000002</v>
      </c>
      <c r="M42" s="36">
        <f t="shared" si="8"/>
        <v>0.12261699676513693</v>
      </c>
      <c r="N42" s="267">
        <f t="shared" si="9"/>
        <v>0.12261699676513693</v>
      </c>
      <c r="O42" s="161">
        <f t="shared" si="37"/>
        <v>4.6889864919746431</v>
      </c>
      <c r="P42" s="267">
        <f>Calculos_M!$J$1</f>
        <v>0.382682625</v>
      </c>
      <c r="Q42" s="267">
        <f t="shared" si="33"/>
        <v>-0.382682625</v>
      </c>
      <c r="R42" s="35">
        <f>IF(ISNUMBER('Courier_M.'!I28),'Courier_M.'!I28,"")</f>
        <v>29.583076477050781</v>
      </c>
      <c r="S42" s="36">
        <f>IF(ISNUMBER(Laboratorio_M!I26),Laboratorio_M!I26,"")</f>
        <v>26.88</v>
      </c>
      <c r="T42" s="36">
        <f t="shared" si="10"/>
        <v>-2.7030764770507822</v>
      </c>
      <c r="U42" s="267">
        <f t="shared" si="11"/>
        <v>2.7030764770507822</v>
      </c>
      <c r="V42" s="161">
        <f t="shared" si="12"/>
        <v>10.056088084266303</v>
      </c>
      <c r="W42" s="267"/>
      <c r="X42" s="267"/>
      <c r="Y42" s="35">
        <f>IF(ISNUMBER('Courier_M.'!K28),'Courier_M.'!K28,"")</f>
        <v>22.362728118896484</v>
      </c>
      <c r="Z42" s="36">
        <f>IF(ISNUMBER(Laboratorio_M!K26),Laboratorio_M!K26,"")</f>
        <v>23.491</v>
      </c>
      <c r="AA42" s="36">
        <f t="shared" si="13"/>
        <v>1.1282718811035153</v>
      </c>
      <c r="AB42" s="267">
        <f t="shared" si="14"/>
        <v>1.1282718811035153</v>
      </c>
      <c r="AC42" s="161">
        <f t="shared" si="38"/>
        <v>4.8029963862905598</v>
      </c>
      <c r="AD42" s="267">
        <f>Calculos_M!$U$1</f>
        <v>1.0662891477272729</v>
      </c>
      <c r="AE42" s="267">
        <f t="shared" si="34"/>
        <v>-1.0662891477272729</v>
      </c>
      <c r="AF42" s="35">
        <f>IF(ISNUMBER('Courier_M.'!M28),'Courier_M.'!M28,"")</f>
        <v>1.069115161895752</v>
      </c>
      <c r="AG42" s="36">
        <f>IF(ISNUMBER(Laboratorio_M!M26),Laboratorio_M!M26,"")</f>
        <v>7.5999999999999998E-2</v>
      </c>
      <c r="AH42" s="36">
        <f t="shared" si="15"/>
        <v>-0.993115161895752</v>
      </c>
      <c r="AI42" s="267">
        <f t="shared" si="16"/>
        <v>0.993115161895752</v>
      </c>
      <c r="AJ42" s="161">
        <f t="shared" si="39"/>
        <v>1306.7304761786211</v>
      </c>
      <c r="AK42" s="267">
        <f>Calculos_M!$V$1</f>
        <v>3.2516250000000003E-2</v>
      </c>
      <c r="AL42" s="267">
        <f t="shared" si="35"/>
        <v>-3.2516250000000003E-2</v>
      </c>
      <c r="AM42" s="35">
        <f>IF(ISNUMBER('Courier_M.'!O28),'Courier_M.'!O28,"")</f>
        <v>28.6943359375</v>
      </c>
      <c r="AN42" s="36">
        <f>IF(ISNUMBER(Laboratorio_M!O26),Laboratorio_M!O26,"")</f>
        <v>26.89</v>
      </c>
      <c r="AO42" s="36">
        <f t="shared" si="17"/>
        <v>-1.8043359374999994</v>
      </c>
      <c r="AP42" s="267">
        <f t="shared" si="18"/>
        <v>1.8043359374999994</v>
      </c>
      <c r="AQ42" s="161">
        <f t="shared" si="19"/>
        <v>6.7100629880996632</v>
      </c>
      <c r="AR42" s="267"/>
      <c r="AS42" s="267"/>
      <c r="AT42" s="35">
        <f>IF(ISNUMBER('Courier_M.'!S28),'Courier_M.'!S28,0)</f>
        <v>0.85389852523803711</v>
      </c>
      <c r="AU42" s="36" t="str">
        <f>IF(ISNUMBER(Laboratorio_M!S26),Laboratorio_M!S26,"")</f>
        <v/>
      </c>
      <c r="AV42" s="36" t="str">
        <f t="shared" si="20"/>
        <v xml:space="preserve"> </v>
      </c>
      <c r="AW42" s="267" t="str">
        <f t="shared" si="21"/>
        <v xml:space="preserve"> </v>
      </c>
      <c r="AX42" s="161" t="str">
        <f t="shared" si="40"/>
        <v xml:space="preserve"> </v>
      </c>
      <c r="AY42" s="267">
        <f>Calculos_M!$AH$1</f>
        <v>8.3191193181818196E-2</v>
      </c>
      <c r="AZ42" s="267">
        <f t="shared" si="22"/>
        <v>-8.3191193181818196E-2</v>
      </c>
      <c r="BA42" s="35">
        <f>IF(ISNUMBER('Courier_M.'!U28),'Courier_M.'!U28,0)</f>
        <v>50</v>
      </c>
      <c r="BB42" s="36" t="str">
        <f>IF(ISNUMBER(Laboratorio_M!U26),Laboratorio_M!U26,"")</f>
        <v/>
      </c>
      <c r="BC42" s="36" t="str">
        <f t="shared" si="23"/>
        <v xml:space="preserve"> </v>
      </c>
      <c r="BD42" s="267" t="str">
        <f t="shared" si="24"/>
        <v xml:space="preserve"> </v>
      </c>
      <c r="BE42" s="161" t="str">
        <f t="shared" si="41"/>
        <v xml:space="preserve"> </v>
      </c>
      <c r="BF42" s="267">
        <f>Calculos_M!$AI$1</f>
        <v>1.4830847050619838</v>
      </c>
      <c r="BG42" s="267">
        <f t="shared" si="25"/>
        <v>-1.4830847050619838</v>
      </c>
      <c r="BH42" s="35">
        <f>IF(ISNUMBER('Courier_M.'!W28),'Courier_M.'!W28,"")</f>
        <v>4.8867397308349609</v>
      </c>
      <c r="BI42" s="36" t="str">
        <f>IF(ISNUMBER(Laboratorio_M!W26),Laboratorio_M!W26,"")</f>
        <v/>
      </c>
      <c r="BJ42" s="36" t="str">
        <f t="shared" si="26"/>
        <v xml:space="preserve"> </v>
      </c>
      <c r="BK42" s="267" t="str">
        <f t="shared" si="27"/>
        <v xml:space="preserve"> </v>
      </c>
      <c r="BL42" s="161" t="str">
        <f t="shared" si="28"/>
        <v xml:space="preserve"> </v>
      </c>
      <c r="BM42" s="36"/>
      <c r="BN42" s="161"/>
      <c r="BO42" s="35" t="str">
        <f>IF(ISNUMBER('Courier_M.'!Y28),'Courier_M.'!Y28,"")</f>
        <v/>
      </c>
      <c r="BP42" s="36" t="str">
        <f>IF(ISNUMBER(Laboratorio_M!Y26),Laboratorio_M!Y26,"")</f>
        <v/>
      </c>
      <c r="BQ42" s="36" t="str">
        <f t="shared" si="29"/>
        <v xml:space="preserve"> </v>
      </c>
      <c r="BR42" s="267" t="str">
        <f t="shared" si="30"/>
        <v xml:space="preserve"> </v>
      </c>
      <c r="BS42" s="161" t="str">
        <f t="shared" si="31"/>
        <v xml:space="preserve"> </v>
      </c>
      <c r="BT42" s="36"/>
      <c r="BU42" s="161"/>
    </row>
    <row r="43" spans="1:73" ht="15" x14ac:dyDescent="0.2">
      <c r="C43" s="38" t="str">
        <f>DAY(B42) &amp; "-" &amp; MONTH(B42) &amp;"-" &amp; YEAR(B42)</f>
        <v>2-9-2026</v>
      </c>
      <c r="D43" s="35">
        <f>IF(ISNUMBER('Courier_M.'!F28),'Courier_M.'!F28,"")</f>
        <v>23.374361038208008</v>
      </c>
      <c r="E43" s="36">
        <f>IF(ISNUMBER(Laboratorio_M!F26),Laboratorio_M!F26,"")</f>
        <v>23.292999999999999</v>
      </c>
      <c r="F43" s="36">
        <f t="shared" si="6"/>
        <v>-8.1361038208008551E-2</v>
      </c>
      <c r="G43" s="267">
        <f t="shared" si="7"/>
        <v>8.1361038208008551E-2</v>
      </c>
      <c r="H43" s="161">
        <f t="shared" si="36"/>
        <v>0.34929394327913343</v>
      </c>
      <c r="I43" s="267">
        <f>Calculos_M!$I$1</f>
        <v>2.2302216249999991</v>
      </c>
      <c r="J43" s="267">
        <f t="shared" si="32"/>
        <v>-2.2302216249999991</v>
      </c>
      <c r="K43" s="35">
        <f>IF(ISNUMBER('Courier_M.'!H28),'Courier_M.'!H28,"")</f>
        <v>2.3033030033111572</v>
      </c>
      <c r="L43" s="36">
        <f>IF(ISNUMBER(Laboratorio_M!H26),Laboratorio_M!H26,"")</f>
        <v>2.73</v>
      </c>
      <c r="M43" s="36">
        <f t="shared" si="8"/>
        <v>0.42669699668884276</v>
      </c>
      <c r="N43" s="267">
        <f t="shared" si="9"/>
        <v>0.42669699668884276</v>
      </c>
      <c r="O43" s="161">
        <f t="shared" si="37"/>
        <v>15.629926618638928</v>
      </c>
      <c r="P43" s="267">
        <f>Calculos_M!$J$1</f>
        <v>0.382682625</v>
      </c>
      <c r="Q43" s="267">
        <f t="shared" si="33"/>
        <v>-0.382682625</v>
      </c>
      <c r="R43" s="35">
        <f>IF(ISNUMBER('Courier_M.'!J28),'Courier_M.'!J28,"")</f>
        <v>28.93815803527832</v>
      </c>
      <c r="S43" s="36">
        <f>IF(ISNUMBER(Laboratorio_M!J26),Laboratorio_M!J26,"")</f>
        <v>28.44</v>
      </c>
      <c r="T43" s="36">
        <f t="shared" si="10"/>
        <v>-0.49815803527831903</v>
      </c>
      <c r="U43" s="267">
        <f t="shared" si="11"/>
        <v>0.49815803527831903</v>
      </c>
      <c r="V43" s="161">
        <f t="shared" si="12"/>
        <v>1.7516105319209532</v>
      </c>
      <c r="W43" s="267"/>
      <c r="X43" s="267"/>
      <c r="Y43" s="35">
        <f>IF(ISNUMBER('Courier_M.'!L28),'Courier_M.'!L28,"")</f>
        <v>23.310703277587891</v>
      </c>
      <c r="Z43" s="36">
        <f>IF(ISNUMBER(Laboratorio_M!L26),Laboratorio_M!L26,"")</f>
        <v>19.402999999999999</v>
      </c>
      <c r="AA43" s="36">
        <f t="shared" si="13"/>
        <v>-3.9077032775878919</v>
      </c>
      <c r="AB43" s="267">
        <f t="shared" si="14"/>
        <v>3.9077032775878919</v>
      </c>
      <c r="AC43" s="161">
        <f t="shared" si="38"/>
        <v>20.1396860155022</v>
      </c>
      <c r="AD43" s="267">
        <f>Calculos_M!$U$1</f>
        <v>1.0662891477272729</v>
      </c>
      <c r="AE43" s="267">
        <f t="shared" si="34"/>
        <v>-1.0662891477272729</v>
      </c>
      <c r="AF43" s="35">
        <f>IF(ISNUMBER('Courier_M.'!N28),'Courier_M.'!N28,"")</f>
        <v>0.20690819621086121</v>
      </c>
      <c r="AG43" s="36">
        <f>IF(ISNUMBER(Laboratorio_M!N26),Laboratorio_M!N26,"")</f>
        <v>4.5999999999999999E-2</v>
      </c>
      <c r="AH43" s="36">
        <f t="shared" si="15"/>
        <v>-0.16090819621086122</v>
      </c>
      <c r="AI43" s="267">
        <f t="shared" si="16"/>
        <v>0.16090819621086122</v>
      </c>
      <c r="AJ43" s="161">
        <f t="shared" si="39"/>
        <v>349.80042654535049</v>
      </c>
      <c r="AK43" s="267">
        <f>Calculos_M!$V$1</f>
        <v>3.2516250000000003E-2</v>
      </c>
      <c r="AL43" s="267">
        <f t="shared" si="35"/>
        <v>-3.2516250000000003E-2</v>
      </c>
      <c r="AM43" s="35">
        <f>IF(ISNUMBER('Courier_M.'!P28),'Courier_M.'!P28,"")</f>
        <v>29.032255172729492</v>
      </c>
      <c r="AN43" s="36">
        <f>IF(ISNUMBER(Laboratorio_M!P26),Laboratorio_M!P26,"")</f>
        <v>29.21</v>
      </c>
      <c r="AO43" s="36">
        <f t="shared" si="17"/>
        <v>0.17774482727050867</v>
      </c>
      <c r="AP43" s="267">
        <f t="shared" si="18"/>
        <v>0.17774482727050867</v>
      </c>
      <c r="AQ43" s="161">
        <f t="shared" si="19"/>
        <v>0.60850676915614055</v>
      </c>
      <c r="AR43" s="267"/>
      <c r="AS43" s="267"/>
      <c r="AT43" s="35">
        <f>IF(ISNUMBER('Courier_M.'!T28),'Courier_M.'!T28,0)</f>
        <v>0.63955205678939819</v>
      </c>
      <c r="AU43" s="36">
        <f>IF(ISNUMBER(Laboratorio_M!T26),Laboratorio_M!T26,"")</f>
        <v>0.68</v>
      </c>
      <c r="AV43" s="36">
        <f t="shared" si="20"/>
        <v>4.0447943210601855E-2</v>
      </c>
      <c r="AW43" s="267">
        <f t="shared" si="21"/>
        <v>4.0447943210601855E-2</v>
      </c>
      <c r="AX43" s="161">
        <f t="shared" si="40"/>
        <v>5.948226942735567</v>
      </c>
      <c r="AY43" s="267">
        <f>Calculos_M!$AH$1</f>
        <v>8.3191193181818196E-2</v>
      </c>
      <c r="AZ43" s="267">
        <f t="shared" si="22"/>
        <v>-8.3191193181818196E-2</v>
      </c>
      <c r="BA43" s="35">
        <f>IF(ISNUMBER('Courier_M.'!V28),'Courier_M.'!V28,0)</f>
        <v>54.681602478027344</v>
      </c>
      <c r="BB43" s="36">
        <f>IF(ISNUMBER(Laboratorio_M!V26),Laboratorio_M!V26,"")</f>
        <v>56.656999999999996</v>
      </c>
      <c r="BC43" s="36">
        <f t="shared" si="23"/>
        <v>1.9753975219726527</v>
      </c>
      <c r="BD43" s="267">
        <f t="shared" si="24"/>
        <v>1.9753975219726527</v>
      </c>
      <c r="BE43" s="161">
        <f t="shared" si="41"/>
        <v>3.4865903983138056</v>
      </c>
      <c r="BF43" s="267">
        <f>Calculos_M!$AI$1</f>
        <v>1.4830847050619838</v>
      </c>
      <c r="BG43" s="267">
        <f t="shared" si="25"/>
        <v>-1.4830847050619838</v>
      </c>
      <c r="BH43" s="35">
        <f>IF(ISNUMBER('Courier_M.'!X28),'Courier_M.'!X28,"")</f>
        <v>1.9930775165557861</v>
      </c>
      <c r="BI43" s="36">
        <f>IF(ISNUMBER(Laboratorio_M!X26),Laboratorio_M!X26,"")</f>
        <v>1.099</v>
      </c>
      <c r="BJ43" s="36">
        <f t="shared" si="26"/>
        <v>-0.89407751655578616</v>
      </c>
      <c r="BK43" s="267">
        <f t="shared" si="27"/>
        <v>0.89407751655578616</v>
      </c>
      <c r="BL43" s="161">
        <f t="shared" si="28"/>
        <v>81.353732170681184</v>
      </c>
      <c r="BM43" s="36"/>
      <c r="BN43" s="161"/>
      <c r="BO43" s="35">
        <f>IF(ISNUMBER('Courier_M.'!Z28),'Courier_M.'!Z28,"")</f>
        <v>3.0004227654005775</v>
      </c>
      <c r="BP43" s="36">
        <f>IF(ISNUMBER(Laboratorio_M!Z26),Laboratorio_M!Z26,"")</f>
        <v>2.11</v>
      </c>
      <c r="BQ43" s="36">
        <f t="shared" si="29"/>
        <v>-0.89042276540057763</v>
      </c>
      <c r="BR43" s="267">
        <f t="shared" si="30"/>
        <v>0.89042276540057763</v>
      </c>
      <c r="BS43" s="161">
        <f t="shared" si="31"/>
        <v>42.20013106163875</v>
      </c>
      <c r="BT43" s="36"/>
      <c r="BU43" s="161"/>
    </row>
    <row r="44" spans="1:73" ht="15" x14ac:dyDescent="0.2">
      <c r="A44">
        <f>+A42+1</f>
        <v>21</v>
      </c>
      <c r="B44" s="7">
        <f>+B42+1</f>
        <v>46268</v>
      </c>
      <c r="C44" s="7" t="str">
        <f>DAY(B44) &amp; "-" &amp; MONTH(B44) &amp;"-" &amp; YEAR(B44)</f>
        <v>3-9-2026</v>
      </c>
      <c r="D44" s="35">
        <f>IF(ISNUMBER('Courier_M.'!E29),'Courier_M.'!E29,"")</f>
        <v>22.50579833984375</v>
      </c>
      <c r="E44" s="36">
        <f>IF(ISNUMBER(Laboratorio_M!E27),Laboratorio_M!E27,"")</f>
        <v>23.431999999999999</v>
      </c>
      <c r="F44" s="36">
        <f t="shared" si="6"/>
        <v>0.92620166015624861</v>
      </c>
      <c r="G44" s="267">
        <f t="shared" si="7"/>
        <v>0.92620166015624861</v>
      </c>
      <c r="H44" s="161">
        <f t="shared" si="36"/>
        <v>3.9527213219368758</v>
      </c>
      <c r="I44" s="267">
        <f>Calculos_M!$I$1</f>
        <v>2.2302216249999991</v>
      </c>
      <c r="J44" s="267">
        <f t="shared" si="32"/>
        <v>-2.2302216249999991</v>
      </c>
      <c r="K44" s="35">
        <f>IF(ISNUMBER('Courier_M.'!G29),'Courier_M.'!G29,"")</f>
        <v>2.4225966930389404</v>
      </c>
      <c r="L44" s="36">
        <f>IF(ISNUMBER(Laboratorio_M!G27),Laboratorio_M!G27,"")</f>
        <v>2.0859999999999999</v>
      </c>
      <c r="M44" s="36">
        <f t="shared" si="8"/>
        <v>-0.33659669303894058</v>
      </c>
      <c r="N44" s="267">
        <f t="shared" si="9"/>
        <v>0.33659669303894058</v>
      </c>
      <c r="O44" s="161">
        <f t="shared" si="37"/>
        <v>16.13598720225027</v>
      </c>
      <c r="P44" s="267">
        <f>Calculos_M!$J$1</f>
        <v>0.382682625</v>
      </c>
      <c r="Q44" s="267">
        <f t="shared" si="33"/>
        <v>-0.382682625</v>
      </c>
      <c r="R44" s="35">
        <f>IF(ISNUMBER('Courier_M.'!I29),'Courier_M.'!I29,"")</f>
        <v>29.058753967285156</v>
      </c>
      <c r="S44" s="36">
        <f>IF(ISNUMBER(Laboratorio_M!I27),Laboratorio_M!I27,"")</f>
        <v>30</v>
      </c>
      <c r="T44" s="36">
        <f t="shared" si="10"/>
        <v>0.94124603271484375</v>
      </c>
      <c r="U44" s="267">
        <f t="shared" si="11"/>
        <v>0.94124603271484375</v>
      </c>
      <c r="V44" s="161">
        <f t="shared" si="12"/>
        <v>3.137486775716146</v>
      </c>
      <c r="W44" s="267"/>
      <c r="X44" s="267"/>
      <c r="Y44" s="35">
        <f>IF(ISNUMBER('Courier_M.'!K29),'Courier_M.'!K29,"")</f>
        <v>22.593915939331055</v>
      </c>
      <c r="Z44" s="36">
        <f>IF(ISNUMBER(Laboratorio_M!K27),Laboratorio_M!K27,"")</f>
        <v>23.382999999999999</v>
      </c>
      <c r="AA44" s="36">
        <f t="shared" si="13"/>
        <v>0.78908406066894443</v>
      </c>
      <c r="AB44" s="267">
        <f t="shared" si="14"/>
        <v>0.78908406066894443</v>
      </c>
      <c r="AC44" s="161">
        <f t="shared" si="38"/>
        <v>3.3746057420730633</v>
      </c>
      <c r="AD44" s="267">
        <f>Calculos_M!$U$1</f>
        <v>1.0662891477272729</v>
      </c>
      <c r="AE44" s="267">
        <f t="shared" si="34"/>
        <v>-1.0662891477272729</v>
      </c>
      <c r="AF44" s="35">
        <f>IF(ISNUMBER('Courier_M.'!M29),'Courier_M.'!M29,"")</f>
        <v>0.49336770176887512</v>
      </c>
      <c r="AG44" s="36">
        <f>IF(ISNUMBER(Laboratorio_M!M27),Laboratorio_M!M27,"")</f>
        <v>7.2999999999999995E-2</v>
      </c>
      <c r="AH44" s="36">
        <f t="shared" si="15"/>
        <v>-0.42036770176887511</v>
      </c>
      <c r="AI44" s="267">
        <f t="shared" si="16"/>
        <v>0.42036770176887511</v>
      </c>
      <c r="AJ44" s="161">
        <f t="shared" si="39"/>
        <v>575.8461668066783</v>
      </c>
      <c r="AK44" s="267">
        <f>Calculos_M!$V$1</f>
        <v>3.2516250000000003E-2</v>
      </c>
      <c r="AL44" s="267">
        <f t="shared" si="35"/>
        <v>-3.2516250000000003E-2</v>
      </c>
      <c r="AM44" s="35">
        <f>IF(ISNUMBER('Courier_M.'!O29),'Courier_M.'!O29,"")</f>
        <v>28.929935455322266</v>
      </c>
      <c r="AN44" s="36">
        <f>IF(ISNUMBER(Laboratorio_M!O27),Laboratorio_M!O27,"")</f>
        <v>31.46</v>
      </c>
      <c r="AO44" s="36">
        <f t="shared" si="17"/>
        <v>2.5300645446777352</v>
      </c>
      <c r="AP44" s="267">
        <f t="shared" si="18"/>
        <v>2.5300645446777352</v>
      </c>
      <c r="AQ44" s="161">
        <f t="shared" si="19"/>
        <v>8.0421632062229342</v>
      </c>
      <c r="AR44" s="267"/>
      <c r="AS44" s="267"/>
      <c r="AT44" s="35">
        <f>IF(ISNUMBER('Courier_M.'!S29),'Courier_M.'!S29,0)</f>
        <v>0.50771427154541016</v>
      </c>
      <c r="AU44" s="36">
        <f>IF(ISNUMBER(Laboratorio_M!S27),Laboratorio_M!S27,"")</f>
        <v>0.92400000000000004</v>
      </c>
      <c r="AV44" s="36">
        <f t="shared" si="20"/>
        <v>0.41628572845458989</v>
      </c>
      <c r="AW44" s="267">
        <f t="shared" si="21"/>
        <v>0.41628572845458989</v>
      </c>
      <c r="AX44" s="161">
        <f t="shared" si="40"/>
        <v>45.052568014565999</v>
      </c>
      <c r="AY44" s="267">
        <f>Calculos_M!$AH$1</f>
        <v>8.3191193181818196E-2</v>
      </c>
      <c r="AZ44" s="267">
        <f t="shared" si="22"/>
        <v>-8.3191193181818196E-2</v>
      </c>
      <c r="BA44" s="35">
        <f>IF(ISNUMBER('Courier_M.'!U29),'Courier_M.'!U29,0)</f>
        <v>56.021316528320313</v>
      </c>
      <c r="BB44" s="36">
        <f>IF(ISNUMBER(Laboratorio_M!U27),Laboratorio_M!U27,"")</f>
        <v>55.795999999999999</v>
      </c>
      <c r="BC44" s="36">
        <f t="shared" si="23"/>
        <v>-0.22531652832031313</v>
      </c>
      <c r="BD44" s="267">
        <f t="shared" si="24"/>
        <v>0.22531652832031313</v>
      </c>
      <c r="BE44" s="161">
        <f t="shared" si="41"/>
        <v>0.40382200932022572</v>
      </c>
      <c r="BF44" s="267">
        <f>Calculos_M!$AI$1</f>
        <v>1.4830847050619838</v>
      </c>
      <c r="BG44" s="267">
        <f t="shared" si="25"/>
        <v>-1.4830847050619838</v>
      </c>
      <c r="BH44" s="35">
        <f>IF(ISNUMBER('Courier_M.'!W29),'Courier_M.'!W29,"")</f>
        <v>1.1316992044448853</v>
      </c>
      <c r="BI44" s="36">
        <f>IF(ISNUMBER(Laboratorio_M!W27),Laboratorio_M!W27,"")</f>
        <v>1.2390000000000001</v>
      </c>
      <c r="BJ44" s="36">
        <f t="shared" si="26"/>
        <v>0.10730079555511485</v>
      </c>
      <c r="BK44" s="267">
        <f t="shared" si="27"/>
        <v>0.10730079555511485</v>
      </c>
      <c r="BL44" s="161">
        <f t="shared" si="28"/>
        <v>8.6602740561028924</v>
      </c>
      <c r="BM44" s="36"/>
      <c r="BN44" s="161"/>
      <c r="BO44" s="35" t="str">
        <f>IF(ISNUMBER('Courier_M.'!Y29),'Courier_M.'!Y29,"")</f>
        <v/>
      </c>
      <c r="BP44" s="36">
        <f>IF(ISNUMBER(Laboratorio_M!Y27),Laboratorio_M!Y27,"")</f>
        <v>2.94</v>
      </c>
      <c r="BQ44" s="36" t="str">
        <f t="shared" si="29"/>
        <v xml:space="preserve"> </v>
      </c>
      <c r="BR44" s="267" t="str">
        <f t="shared" si="30"/>
        <v xml:space="preserve"> </v>
      </c>
      <c r="BS44" s="161" t="str">
        <f t="shared" si="31"/>
        <v xml:space="preserve"> </v>
      </c>
      <c r="BT44" s="36"/>
      <c r="BU44" s="161"/>
    </row>
    <row r="45" spans="1:73" ht="15" x14ac:dyDescent="0.2">
      <c r="C45" s="38" t="str">
        <f>DAY(B44) &amp; "-" &amp; MONTH(B44) &amp;"-" &amp; YEAR(B44)</f>
        <v>3-9-2026</v>
      </c>
      <c r="D45" s="35">
        <f>IF(ISNUMBER('Courier_M.'!F29),'Courier_M.'!F29,"")</f>
        <v>22.958297729492188</v>
      </c>
      <c r="E45" s="36">
        <f>IF(ISNUMBER(Laboratorio_M!F27),Laboratorio_M!F27,"")</f>
        <v>21.99</v>
      </c>
      <c r="F45" s="36">
        <f t="shared" si="6"/>
        <v>-0.96829772949218906</v>
      </c>
      <c r="G45" s="267">
        <f t="shared" si="7"/>
        <v>0.96829772949218906</v>
      </c>
      <c r="H45" s="161">
        <f t="shared" si="36"/>
        <v>4.4033548408012244</v>
      </c>
      <c r="I45" s="267">
        <f>Calculos_M!$I$1</f>
        <v>2.2302216249999991</v>
      </c>
      <c r="J45" s="267">
        <f t="shared" si="32"/>
        <v>-2.2302216249999991</v>
      </c>
      <c r="K45" s="35">
        <f>IF(ISNUMBER('Courier_M.'!H29),'Courier_M.'!H29,"")</f>
        <v>1.8730242252349854</v>
      </c>
      <c r="L45" s="36">
        <f>IF(ISNUMBER(Laboratorio_M!H27),Laboratorio_M!H27,"")</f>
        <v>2.048</v>
      </c>
      <c r="M45" s="36">
        <f t="shared" si="8"/>
        <v>0.17497577476501469</v>
      </c>
      <c r="N45" s="267">
        <f t="shared" si="9"/>
        <v>0.17497577476501469</v>
      </c>
      <c r="O45" s="161">
        <f t="shared" si="37"/>
        <v>8.5437390021979827</v>
      </c>
      <c r="P45" s="267">
        <f>Calculos_M!$J$1</f>
        <v>0.382682625</v>
      </c>
      <c r="Q45" s="267">
        <f t="shared" si="33"/>
        <v>-0.382682625</v>
      </c>
      <c r="R45" s="35">
        <f>IF(ISNUMBER('Courier_M.'!J29),'Courier_M.'!J29,"")</f>
        <v>28.734310150146484</v>
      </c>
      <c r="S45" s="36">
        <f>IF(ISNUMBER(Laboratorio_M!J27),Laboratorio_M!J27,"")</f>
        <v>30.22</v>
      </c>
      <c r="T45" s="36">
        <f t="shared" si="10"/>
        <v>1.4856898498535145</v>
      </c>
      <c r="U45" s="267">
        <f t="shared" si="11"/>
        <v>1.4856898498535145</v>
      </c>
      <c r="V45" s="161">
        <f t="shared" si="12"/>
        <v>4.9162470213551108</v>
      </c>
      <c r="W45" s="267"/>
      <c r="X45" s="267"/>
      <c r="Y45" s="35">
        <f>IF(ISNUMBER('Courier_M.'!L29),'Courier_M.'!L29,"")</f>
        <v>22.245033264160156</v>
      </c>
      <c r="Z45" s="36">
        <f>IF(ISNUMBER(Laboratorio_M!L27),Laboratorio_M!L27,"")</f>
        <v>22.786000000000001</v>
      </c>
      <c r="AA45" s="36">
        <f t="shared" si="13"/>
        <v>0.54096673583984511</v>
      </c>
      <c r="AB45" s="267">
        <f t="shared" si="14"/>
        <v>0.54096673583984511</v>
      </c>
      <c r="AC45" s="161">
        <f t="shared" si="38"/>
        <v>2.3741189144204555</v>
      </c>
      <c r="AD45" s="267">
        <f>Calculos_M!$U$1</f>
        <v>1.0662891477272729</v>
      </c>
      <c r="AE45" s="267">
        <f t="shared" si="34"/>
        <v>-1.0662891477272729</v>
      </c>
      <c r="AF45" s="35">
        <f>IF(ISNUMBER('Courier_M.'!N29),'Courier_M.'!N29,"")</f>
        <v>9.0064592659473419E-2</v>
      </c>
      <c r="AG45" s="36">
        <f>IF(ISNUMBER(Laboratorio_M!N27),Laboratorio_M!N27,"")</f>
        <v>4.1000000000000002E-2</v>
      </c>
      <c r="AH45" s="36">
        <f t="shared" si="15"/>
        <v>-4.9064592659473417E-2</v>
      </c>
      <c r="AI45" s="267">
        <f t="shared" si="16"/>
        <v>4.9064592659473417E-2</v>
      </c>
      <c r="AJ45" s="161">
        <f t="shared" si="39"/>
        <v>119.66973819383759</v>
      </c>
      <c r="AK45" s="267">
        <f>Calculos_M!$V$1</f>
        <v>3.2516250000000003E-2</v>
      </c>
      <c r="AL45" s="267">
        <f t="shared" si="35"/>
        <v>-3.2516250000000003E-2</v>
      </c>
      <c r="AM45" s="35">
        <f>IF(ISNUMBER('Courier_M.'!P29),'Courier_M.'!P29,"")</f>
        <v>29.46795654296875</v>
      </c>
      <c r="AN45" s="36">
        <f>IF(ISNUMBER(Laboratorio_M!P27),Laboratorio_M!P27,"")</f>
        <v>31.29</v>
      </c>
      <c r="AO45" s="36">
        <f t="shared" si="17"/>
        <v>1.8220434570312491</v>
      </c>
      <c r="AP45" s="267">
        <f t="shared" si="18"/>
        <v>1.8220434570312491</v>
      </c>
      <c r="AQ45" s="161">
        <f t="shared" si="19"/>
        <v>5.8230855130433019</v>
      </c>
      <c r="AR45" s="267"/>
      <c r="AS45" s="267"/>
      <c r="AT45" s="35">
        <f>IF(ISNUMBER('Courier_M.'!T29),'Courier_M.'!T29,0)</f>
        <v>0.52816736698150635</v>
      </c>
      <c r="AU45" s="36">
        <f>IF(ISNUMBER(Laboratorio_M!T27),Laboratorio_M!T27,"")</f>
        <v>0.56999999999999995</v>
      </c>
      <c r="AV45" s="36">
        <f t="shared" si="20"/>
        <v>4.1832633018493603E-2</v>
      </c>
      <c r="AW45" s="267">
        <f t="shared" si="21"/>
        <v>4.1832633018493603E-2</v>
      </c>
      <c r="AX45" s="161">
        <f t="shared" si="40"/>
        <v>7.3390584242971233</v>
      </c>
      <c r="AY45" s="267">
        <f>Calculos_M!$AH$1</f>
        <v>8.3191193181818196E-2</v>
      </c>
      <c r="AZ45" s="267">
        <f t="shared" si="22"/>
        <v>-8.3191193181818196E-2</v>
      </c>
      <c r="BA45" s="35">
        <f>IF(ISNUMBER('Courier_M.'!V29),'Courier_M.'!V29,0)</f>
        <v>56.302833557128906</v>
      </c>
      <c r="BB45" s="36">
        <f>IF(ISNUMBER(Laboratorio_M!V27),Laboratorio_M!V27,"")</f>
        <v>57.256999999999998</v>
      </c>
      <c r="BC45" s="36">
        <f t="shared" si="23"/>
        <v>0.95416644287109165</v>
      </c>
      <c r="BD45" s="267">
        <f t="shared" si="24"/>
        <v>0.95416644287109165</v>
      </c>
      <c r="BE45" s="161">
        <f t="shared" si="41"/>
        <v>1.6664625161484041</v>
      </c>
      <c r="BF45" s="267">
        <f>Calculos_M!$AI$1</f>
        <v>1.4830847050619838</v>
      </c>
      <c r="BG45" s="267">
        <f t="shared" si="25"/>
        <v>-1.4830847050619838</v>
      </c>
      <c r="BH45" s="35">
        <f>IF(ISNUMBER('Courier_M.'!X29),'Courier_M.'!X29,"")</f>
        <v>0.89176481962203979</v>
      </c>
      <c r="BI45" s="36">
        <f>IF(ISNUMBER(Laboratorio_M!X27),Laboratorio_M!X27,"")</f>
        <v>0.83199999999999996</v>
      </c>
      <c r="BJ45" s="36">
        <f t="shared" si="26"/>
        <v>-5.9764819622039833E-2</v>
      </c>
      <c r="BK45" s="267">
        <f t="shared" si="27"/>
        <v>5.9764819622039833E-2</v>
      </c>
      <c r="BL45" s="161">
        <f t="shared" si="28"/>
        <v>7.1832715891874805</v>
      </c>
      <c r="BM45" s="36"/>
      <c r="BN45" s="161"/>
      <c r="BO45" s="35">
        <f>IF(ISNUMBER('Courier_M.'!Z29),'Courier_M.'!Z29,"")</f>
        <v>2.8997034692325161</v>
      </c>
      <c r="BP45" s="36">
        <f>IF(ISNUMBER(Laboratorio_M!Z27),Laboratorio_M!Z27,"")</f>
        <v>1.82</v>
      </c>
      <c r="BQ45" s="36">
        <f t="shared" si="29"/>
        <v>-1.079703469232516</v>
      </c>
      <c r="BR45" s="267">
        <f t="shared" si="30"/>
        <v>1.079703469232516</v>
      </c>
      <c r="BS45" s="161">
        <f t="shared" si="31"/>
        <v>59.324366441347031</v>
      </c>
      <c r="BT45" s="36"/>
      <c r="BU45" s="161"/>
    </row>
    <row r="46" spans="1:73" ht="15" x14ac:dyDescent="0.2">
      <c r="A46">
        <f>+A44+1</f>
        <v>22</v>
      </c>
      <c r="B46" s="7">
        <f>+B44+1</f>
        <v>46269</v>
      </c>
      <c r="C46" s="7" t="str">
        <f>DAY(B46) &amp; "-" &amp; MONTH(B46) &amp;"-" &amp; YEAR(B46)</f>
        <v>4-9-2026</v>
      </c>
      <c r="D46" s="35">
        <f>IF(ISNUMBER('Courier_M.'!E30),'Courier_M.'!E30,"")</f>
        <v>19.754337310791016</v>
      </c>
      <c r="E46" s="36">
        <f>IF(ISNUMBER(Laboratorio_M!E28),Laboratorio_M!E28,"")</f>
        <v>18.905000000000001</v>
      </c>
      <c r="F46" s="36">
        <f t="shared" si="6"/>
        <v>-0.84933731079101449</v>
      </c>
      <c r="G46" s="267">
        <f t="shared" si="7"/>
        <v>0.84933731079101449</v>
      </c>
      <c r="H46" s="161">
        <f t="shared" si="36"/>
        <v>4.4926596709389814</v>
      </c>
      <c r="I46" s="267">
        <f>Calculos_M!$I$1</f>
        <v>2.2302216249999991</v>
      </c>
      <c r="J46" s="267">
        <f t="shared" si="32"/>
        <v>-2.2302216249999991</v>
      </c>
      <c r="K46" s="35">
        <f>IF(ISNUMBER('Courier_M.'!G30),'Courier_M.'!G30,"")</f>
        <v>1.5055280923843384</v>
      </c>
      <c r="L46" s="36">
        <f>IF(ISNUMBER(Laboratorio_M!G28),Laboratorio_M!G28,"")</f>
        <v>1.381</v>
      </c>
      <c r="M46" s="36">
        <f t="shared" si="8"/>
        <v>-0.12452809238433837</v>
      </c>
      <c r="N46" s="267">
        <f t="shared" si="9"/>
        <v>0.12452809238433837</v>
      </c>
      <c r="O46" s="161">
        <f t="shared" si="37"/>
        <v>9.0172405781562901</v>
      </c>
      <c r="P46" s="267">
        <f>Calculos_M!$J$1</f>
        <v>0.382682625</v>
      </c>
      <c r="Q46" s="267">
        <f t="shared" si="33"/>
        <v>-0.382682625</v>
      </c>
      <c r="R46" s="35">
        <f>IF(ISNUMBER('Courier_M.'!I30),'Courier_M.'!I30,"")</f>
        <v>26.54240608215332</v>
      </c>
      <c r="S46" s="36">
        <f>IF(ISNUMBER(Laboratorio_M!I28),Laboratorio_M!I28,"")</f>
        <v>29.32</v>
      </c>
      <c r="T46" s="36">
        <f t="shared" si="10"/>
        <v>2.77759391784668</v>
      </c>
      <c r="U46" s="267">
        <f t="shared" si="11"/>
        <v>2.77759391784668</v>
      </c>
      <c r="V46" s="161">
        <f t="shared" si="12"/>
        <v>9.4733762545930418</v>
      </c>
      <c r="W46" s="267"/>
      <c r="X46" s="267"/>
      <c r="Y46" s="35">
        <f>IF(ISNUMBER('Courier_M.'!K30),'Courier_M.'!K30,"")</f>
        <v>21.316932678222656</v>
      </c>
      <c r="Z46" s="36">
        <f>IF(ISNUMBER(Laboratorio_M!K28),Laboratorio_M!K28,"")</f>
        <v>21.640999999999998</v>
      </c>
      <c r="AA46" s="36">
        <f t="shared" si="13"/>
        <v>0.32406732177734199</v>
      </c>
      <c r="AB46" s="267">
        <f t="shared" si="14"/>
        <v>0.32406732177734199</v>
      </c>
      <c r="AC46" s="161">
        <f t="shared" si="38"/>
        <v>1.4974692563991592</v>
      </c>
      <c r="AD46" s="267">
        <f>Calculos_M!$U$1</f>
        <v>1.0662891477272729</v>
      </c>
      <c r="AE46" s="267">
        <f t="shared" si="34"/>
        <v>-1.0662891477272729</v>
      </c>
      <c r="AF46" s="35">
        <f>IF(ISNUMBER('Courier_M.'!M30),'Courier_M.'!M30,"")</f>
        <v>0.17403541505336761</v>
      </c>
      <c r="AG46" s="36">
        <f>IF(ISNUMBER(Laboratorio_M!M28),Laboratorio_M!M28,"")</f>
        <v>0.14099999999999999</v>
      </c>
      <c r="AH46" s="36">
        <f t="shared" si="15"/>
        <v>-3.3035415053367628E-2</v>
      </c>
      <c r="AI46" s="267">
        <f t="shared" si="16"/>
        <v>3.3035415053367628E-2</v>
      </c>
      <c r="AJ46" s="161">
        <f t="shared" si="39"/>
        <v>23.429372378274916</v>
      </c>
      <c r="AK46" s="267">
        <f>Calculos_M!$V$1</f>
        <v>3.2516250000000003E-2</v>
      </c>
      <c r="AL46" s="267">
        <f t="shared" si="35"/>
        <v>-3.2516250000000003E-2</v>
      </c>
      <c r="AM46" s="35">
        <f>IF(ISNUMBER('Courier_M.'!O30),'Courier_M.'!O30,"")</f>
        <v>29.206954956054688</v>
      </c>
      <c r="AN46" s="36">
        <f>IF(ISNUMBER(Laboratorio_M!O28),Laboratorio_M!O28,"")</f>
        <v>29.01</v>
      </c>
      <c r="AO46" s="36">
        <f t="shared" si="17"/>
        <v>-0.19695495605468594</v>
      </c>
      <c r="AP46" s="267">
        <f t="shared" si="18"/>
        <v>0.19695495605468594</v>
      </c>
      <c r="AQ46" s="161">
        <f t="shared" si="19"/>
        <v>0.67892091021953094</v>
      </c>
      <c r="AR46" s="267"/>
      <c r="AS46" s="267"/>
      <c r="AT46" s="35">
        <f>IF(ISNUMBER('Courier_M.'!S30),'Courier_M.'!S30,0)</f>
        <v>0.54723149538040161</v>
      </c>
      <c r="AU46" s="36">
        <f>IF(ISNUMBER(Laboratorio_M!S28),Laboratorio_M!S28,"")</f>
        <v>0.39300000000000002</v>
      </c>
      <c r="AV46" s="36">
        <f t="shared" si="20"/>
        <v>-0.1542314953804016</v>
      </c>
      <c r="AW46" s="267">
        <f t="shared" si="21"/>
        <v>0.1542314953804016</v>
      </c>
      <c r="AX46" s="161">
        <f t="shared" si="40"/>
        <v>39.244655313079285</v>
      </c>
      <c r="AY46" s="267">
        <f>Calculos_M!$AH$1</f>
        <v>8.3191193181818196E-2</v>
      </c>
      <c r="AZ46" s="267">
        <f t="shared" si="22"/>
        <v>-8.3191193181818196E-2</v>
      </c>
      <c r="BA46" s="35">
        <f>IF(ISNUMBER('Courier_M.'!U30),'Courier_M.'!U30,0)</f>
        <v>56.945362091064453</v>
      </c>
      <c r="BB46" s="36">
        <f>IF(ISNUMBER(Laboratorio_M!U28),Laboratorio_M!U28,"")</f>
        <v>57.517000000000003</v>
      </c>
      <c r="BC46" s="36">
        <f t="shared" si="23"/>
        <v>0.57163790893554989</v>
      </c>
      <c r="BD46" s="267">
        <f t="shared" si="24"/>
        <v>0.57163790893554989</v>
      </c>
      <c r="BE46" s="161">
        <f t="shared" si="41"/>
        <v>0.99385904851704687</v>
      </c>
      <c r="BF46" s="267">
        <f>Calculos_M!$AI$1</f>
        <v>1.4830847050619838</v>
      </c>
      <c r="BG46" s="267">
        <f t="shared" si="25"/>
        <v>-1.4830847050619838</v>
      </c>
      <c r="BH46" s="35">
        <f>IF(ISNUMBER('Courier_M.'!W30),'Courier_M.'!W30,"")</f>
        <v>0.73578721284866333</v>
      </c>
      <c r="BI46" s="36">
        <f>IF(ISNUMBER(Laboratorio_M!W28),Laboratorio_M!W28,"")</f>
        <v>0.53300000000000003</v>
      </c>
      <c r="BJ46" s="36">
        <f t="shared" si="26"/>
        <v>-0.2027872128486633</v>
      </c>
      <c r="BK46" s="267">
        <f t="shared" si="27"/>
        <v>0.2027872128486633</v>
      </c>
      <c r="BL46" s="161">
        <f t="shared" si="28"/>
        <v>38.046381397497804</v>
      </c>
      <c r="BM46" s="36"/>
      <c r="BN46" s="161"/>
      <c r="BO46" s="35" t="str">
        <f>IF(ISNUMBER('Courier_M.'!Y30),'Courier_M.'!Y30,"")</f>
        <v/>
      </c>
      <c r="BP46" s="36">
        <f>IF(ISNUMBER(Laboratorio_M!Y28),Laboratorio_M!Y28,"")</f>
        <v>2.25</v>
      </c>
      <c r="BQ46" s="36" t="str">
        <f t="shared" si="29"/>
        <v xml:space="preserve"> </v>
      </c>
      <c r="BR46" s="267" t="str">
        <f t="shared" si="30"/>
        <v xml:space="preserve"> </v>
      </c>
      <c r="BS46" s="161" t="str">
        <f t="shared" si="31"/>
        <v xml:space="preserve"> </v>
      </c>
      <c r="BT46" s="36"/>
      <c r="BU46" s="161"/>
    </row>
    <row r="47" spans="1:73" ht="15" x14ac:dyDescent="0.2">
      <c r="C47" s="38" t="str">
        <f>DAY(B46) &amp; "-" &amp; MONTH(B46) &amp;"-" &amp; YEAR(B46)</f>
        <v>4-9-2026</v>
      </c>
      <c r="D47" s="35">
        <f>IF(ISNUMBER('Courier_M.'!F30),'Courier_M.'!F30,"")</f>
        <v>19.754337310791016</v>
      </c>
      <c r="E47" s="36">
        <f>IF(ISNUMBER(Laboratorio_M!F28),Laboratorio_M!F28,"")</f>
        <v>23.681000000000001</v>
      </c>
      <c r="F47" s="36">
        <f t="shared" si="6"/>
        <v>3.9266626892089853</v>
      </c>
      <c r="G47" s="267">
        <f t="shared" si="7"/>
        <v>3.9266626892089853</v>
      </c>
      <c r="H47" s="161">
        <f t="shared" si="36"/>
        <v>16.581490178662158</v>
      </c>
      <c r="I47" s="267">
        <f>Calculos_M!$I$1</f>
        <v>2.2302216249999991</v>
      </c>
      <c r="J47" s="267">
        <f t="shared" si="32"/>
        <v>-2.2302216249999991</v>
      </c>
      <c r="K47" s="35">
        <f>IF(ISNUMBER('Courier_M.'!H30),'Courier_M.'!H30,"")</f>
        <v>1.5055280923843384</v>
      </c>
      <c r="L47" s="36">
        <f>IF(ISNUMBER(Laboratorio_M!H28),Laboratorio_M!H28,"")</f>
        <v>2.2570000000000001</v>
      </c>
      <c r="M47" s="36">
        <f t="shared" si="8"/>
        <v>0.75147190761566174</v>
      </c>
      <c r="N47" s="267">
        <f t="shared" si="9"/>
        <v>0.75147190761566174</v>
      </c>
      <c r="O47" s="161">
        <f t="shared" si="37"/>
        <v>33.295166487180403</v>
      </c>
      <c r="P47" s="267">
        <f>Calculos_M!$J$1</f>
        <v>0.382682625</v>
      </c>
      <c r="Q47" s="267">
        <f t="shared" si="33"/>
        <v>-0.382682625</v>
      </c>
      <c r="R47" s="35">
        <f>IF(ISNUMBER('Courier_M.'!J30),'Courier_M.'!J30,"")</f>
        <v>26.54240608215332</v>
      </c>
      <c r="S47" s="36">
        <f>IF(ISNUMBER(Laboratorio_M!J28),Laboratorio_M!J28,"")</f>
        <v>30.21</v>
      </c>
      <c r="T47" s="36">
        <f t="shared" si="10"/>
        <v>3.6675939178466805</v>
      </c>
      <c r="U47" s="267">
        <f t="shared" si="11"/>
        <v>3.6675939178466805</v>
      </c>
      <c r="V47" s="161">
        <f t="shared" si="12"/>
        <v>12.140330744278982</v>
      </c>
      <c r="W47" s="267"/>
      <c r="X47" s="267"/>
      <c r="Y47" s="35">
        <f>IF(ISNUMBER('Courier_M.'!L30),'Courier_M.'!L30,"")</f>
        <v>21.316932678222656</v>
      </c>
      <c r="Z47" s="36">
        <f>IF(ISNUMBER(Laboratorio_M!L28),Laboratorio_M!L28,"")</f>
        <v>25.173999999999999</v>
      </c>
      <c r="AA47" s="36">
        <f t="shared" si="13"/>
        <v>3.8570673217773432</v>
      </c>
      <c r="AB47" s="267">
        <f t="shared" si="14"/>
        <v>3.8570673217773432</v>
      </c>
      <c r="AC47" s="161">
        <f t="shared" si="38"/>
        <v>15.32163073717861</v>
      </c>
      <c r="AD47" s="267">
        <f>Calculos_M!$U$1</f>
        <v>1.0662891477272729</v>
      </c>
      <c r="AE47" s="267">
        <f t="shared" si="34"/>
        <v>-1.0662891477272729</v>
      </c>
      <c r="AF47" s="35">
        <f>IF(ISNUMBER('Courier_M.'!N30),'Courier_M.'!N30,"")</f>
        <v>0.17403541505336761</v>
      </c>
      <c r="AG47" s="36">
        <f>IF(ISNUMBER(Laboratorio_M!N28),Laboratorio_M!N28,"")</f>
        <v>5.1999999999999998E-2</v>
      </c>
      <c r="AH47" s="36">
        <f t="shared" si="15"/>
        <v>-0.12203541505336762</v>
      </c>
      <c r="AI47" s="267">
        <f t="shared" si="16"/>
        <v>0.12203541505336762</v>
      </c>
      <c r="AJ47" s="161">
        <f t="shared" si="39"/>
        <v>234.68349048724545</v>
      </c>
      <c r="AK47" s="267">
        <f>Calculos_M!$V$1</f>
        <v>3.2516250000000003E-2</v>
      </c>
      <c r="AL47" s="267">
        <f t="shared" si="35"/>
        <v>-3.2516250000000003E-2</v>
      </c>
      <c r="AM47" s="35">
        <f>IF(ISNUMBER('Courier_M.'!P30),'Courier_M.'!P30,"")</f>
        <v>29.206954956054688</v>
      </c>
      <c r="AN47" s="36">
        <f>IF(ISNUMBER(Laboratorio_M!P28),Laboratorio_M!P28,"")</f>
        <v>31.45</v>
      </c>
      <c r="AO47" s="36">
        <f t="shared" si="17"/>
        <v>2.2430450439453118</v>
      </c>
      <c r="AP47" s="267">
        <f t="shared" si="18"/>
        <v>2.2430450439453118</v>
      </c>
      <c r="AQ47" s="161">
        <f t="shared" si="19"/>
        <v>7.1320987088881145</v>
      </c>
      <c r="AR47" s="267"/>
      <c r="AS47" s="267"/>
      <c r="AT47" s="35">
        <f>IF(ISNUMBER('Courier_M.'!T30),'Courier_M.'!T30,0)</f>
        <v>0.54723149538040161</v>
      </c>
      <c r="AU47" s="36">
        <f>IF(ISNUMBER(Laboratorio_M!T28),Laboratorio_M!T28,"")</f>
        <v>0.46800000000000003</v>
      </c>
      <c r="AV47" s="36">
        <f t="shared" si="20"/>
        <v>-7.9231495380401584E-2</v>
      </c>
      <c r="AW47" s="267">
        <f t="shared" si="21"/>
        <v>7.9231495380401584E-2</v>
      </c>
      <c r="AX47" s="161">
        <f t="shared" si="40"/>
        <v>16.929806705214013</v>
      </c>
      <c r="AY47" s="267">
        <f>Calculos_M!$AH$1</f>
        <v>8.3191193181818196E-2</v>
      </c>
      <c r="AZ47" s="267">
        <f t="shared" si="22"/>
        <v>-8.3191193181818196E-2</v>
      </c>
      <c r="BA47" s="35">
        <f>IF(ISNUMBER('Courier_M.'!V30),'Courier_M.'!V30,0)</f>
        <v>56.945362091064453</v>
      </c>
      <c r="BB47" s="36">
        <f>IF(ISNUMBER(Laboratorio_M!V28),Laboratorio_M!V28,"")</f>
        <v>57.222999999999999</v>
      </c>
      <c r="BC47" s="36">
        <f t="shared" si="23"/>
        <v>0.27763790893554585</v>
      </c>
      <c r="BD47" s="267">
        <f t="shared" si="24"/>
        <v>0.27763790893554585</v>
      </c>
      <c r="BE47" s="161">
        <f t="shared" si="41"/>
        <v>0.48518586745809522</v>
      </c>
      <c r="BF47" s="267">
        <f>Calculos_M!$AI$1</f>
        <v>1.4830847050619838</v>
      </c>
      <c r="BG47" s="267">
        <f t="shared" si="25"/>
        <v>-1.4830847050619838</v>
      </c>
      <c r="BH47" s="35">
        <f>IF(ISNUMBER('Courier_M.'!X30),'Courier_M.'!X30,"")</f>
        <v>0.73578721284866333</v>
      </c>
      <c r="BI47" s="36">
        <f>IF(ISNUMBER(Laboratorio_M!X28),Laboratorio_M!X28,"")</f>
        <v>0.63900000000000001</v>
      </c>
      <c r="BJ47" s="36">
        <f t="shared" si="26"/>
        <v>-9.6787212848663318E-2</v>
      </c>
      <c r="BK47" s="267">
        <f t="shared" si="27"/>
        <v>9.6787212848663318E-2</v>
      </c>
      <c r="BL47" s="161">
        <f t="shared" si="28"/>
        <v>15.146668677412102</v>
      </c>
      <c r="BM47" s="36"/>
      <c r="BN47" s="161"/>
      <c r="BO47" s="35">
        <f>IF(ISNUMBER('Courier_M.'!Z30),'Courier_M.'!Z30,"")</f>
        <v>3.1776362439428096</v>
      </c>
      <c r="BP47" s="36">
        <f>IF(ISNUMBER(Laboratorio_M!Z28),Laboratorio_M!Z28,"")</f>
        <v>2.42</v>
      </c>
      <c r="BQ47" s="36">
        <f t="shared" si="29"/>
        <v>-0.75763624394280971</v>
      </c>
      <c r="BR47" s="267">
        <f t="shared" si="30"/>
        <v>0.75763624394280971</v>
      </c>
      <c r="BS47" s="161">
        <f t="shared" si="31"/>
        <v>31.30728280755412</v>
      </c>
      <c r="BT47" s="36"/>
      <c r="BU47" s="161"/>
    </row>
    <row r="48" spans="1:73" ht="15" x14ac:dyDescent="0.2">
      <c r="A48">
        <f>+A46+1</f>
        <v>23</v>
      </c>
      <c r="B48" s="7">
        <f>+B46+1</f>
        <v>46270</v>
      </c>
      <c r="C48" s="7" t="str">
        <f>DAY(B48) &amp; "-" &amp; MONTH(B48) &amp;"-" &amp; YEAR(B48)</f>
        <v>5-9-2026</v>
      </c>
      <c r="D48" s="35">
        <f>IF(ISNUMBER('Courier_M.'!E31),'Courier_M.'!E31,"")</f>
        <v>20.500843048095703</v>
      </c>
      <c r="E48" s="36">
        <f>IF(ISNUMBER(Laboratorio_M!E29),Laboratorio_M!E29,"")</f>
        <v>17.710999999999999</v>
      </c>
      <c r="F48" s="36">
        <f t="shared" si="6"/>
        <v>-2.7898430480957046</v>
      </c>
      <c r="G48" s="267">
        <f t="shared" si="7"/>
        <v>2.7898430480957046</v>
      </c>
      <c r="H48" s="161">
        <f t="shared" si="36"/>
        <v>15.752035729748206</v>
      </c>
      <c r="I48" s="267">
        <f>Calculos_M!$I$1</f>
        <v>2.2302216249999991</v>
      </c>
      <c r="J48" s="267">
        <f t="shared" si="32"/>
        <v>-2.2302216249999991</v>
      </c>
      <c r="K48" s="35">
        <f>IF(ISNUMBER('Courier_M.'!G31),'Courier_M.'!G31,"")</f>
        <v>1.6340122222900391</v>
      </c>
      <c r="L48" s="36">
        <f>IF(ISNUMBER(Laboratorio_M!G29),Laboratorio_M!G29,"")</f>
        <v>2.0019999999999998</v>
      </c>
      <c r="M48" s="36">
        <f t="shared" si="8"/>
        <v>0.36798777770996072</v>
      </c>
      <c r="N48" s="267">
        <f t="shared" si="9"/>
        <v>0.36798777770996072</v>
      </c>
      <c r="O48" s="161">
        <f t="shared" si="37"/>
        <v>18.381007877620416</v>
      </c>
      <c r="P48" s="267">
        <f>Calculos_M!$J$1</f>
        <v>0.382682625</v>
      </c>
      <c r="Q48" s="267">
        <f t="shared" si="33"/>
        <v>-0.382682625</v>
      </c>
      <c r="R48" s="35">
        <f>IF(ISNUMBER('Courier_M.'!I31),'Courier_M.'!I31,"")</f>
        <v>25.282142639160156</v>
      </c>
      <c r="S48" s="36">
        <f>IF(ISNUMBER(Laboratorio_M!I29),Laboratorio_M!I29,"")</f>
        <v>27.77</v>
      </c>
      <c r="T48" s="36">
        <f t="shared" si="10"/>
        <v>2.4878573608398433</v>
      </c>
      <c r="U48" s="267">
        <f t="shared" si="11"/>
        <v>2.4878573608398433</v>
      </c>
      <c r="V48" s="161">
        <f t="shared" si="12"/>
        <v>8.9587949616126874</v>
      </c>
      <c r="W48" s="267"/>
      <c r="X48" s="267"/>
      <c r="Y48" s="35">
        <f>IF(ISNUMBER('Courier_M.'!K31),'Courier_M.'!K31,"")</f>
        <v>21.468421936035156</v>
      </c>
      <c r="Z48" s="36">
        <f>IF(ISNUMBER(Laboratorio_M!K29),Laboratorio_M!K29,"")</f>
        <v>22.138999999999999</v>
      </c>
      <c r="AA48" s="36">
        <f t="shared" si="13"/>
        <v>0.6705780639648431</v>
      </c>
      <c r="AB48" s="267">
        <f t="shared" si="14"/>
        <v>0.6705780639648431</v>
      </c>
      <c r="AC48" s="161">
        <f t="shared" si="38"/>
        <v>3.028944685689702</v>
      </c>
      <c r="AD48" s="267">
        <f>Calculos_M!$U$1</f>
        <v>1.0662891477272729</v>
      </c>
      <c r="AE48" s="267">
        <f t="shared" si="34"/>
        <v>-1.0662891477272729</v>
      </c>
      <c r="AF48" s="35">
        <f>IF(ISNUMBER('Courier_M.'!M31),'Courier_M.'!M31,"")</f>
        <v>0.15090176463127136</v>
      </c>
      <c r="AG48" s="36">
        <f>IF(ISNUMBER(Laboratorio_M!M29),Laboratorio_M!M29,"")</f>
        <v>0.57699999999999996</v>
      </c>
      <c r="AH48" s="36">
        <f t="shared" si="15"/>
        <v>0.4260982353687286</v>
      </c>
      <c r="AI48" s="267">
        <f t="shared" si="16"/>
        <v>0.4260982353687286</v>
      </c>
      <c r="AJ48" s="161">
        <f t="shared" si="39"/>
        <v>73.847181173089879</v>
      </c>
      <c r="AK48" s="267">
        <f>Calculos_M!$V$1</f>
        <v>3.2516250000000003E-2</v>
      </c>
      <c r="AL48" s="267">
        <f t="shared" si="35"/>
        <v>-3.2516250000000003E-2</v>
      </c>
      <c r="AM48" s="35">
        <f>IF(ISNUMBER('Courier_M.'!O31),'Courier_M.'!O31,"")</f>
        <v>29.674982070922852</v>
      </c>
      <c r="AN48" s="36">
        <f>IF(ISNUMBER(Laboratorio_M!O29),Laboratorio_M!O29,"")</f>
        <v>28.44</v>
      </c>
      <c r="AO48" s="36">
        <f t="shared" si="17"/>
        <v>-1.2349820709228503</v>
      </c>
      <c r="AP48" s="267">
        <f t="shared" si="18"/>
        <v>1.2349820709228503</v>
      </c>
      <c r="AQ48" s="161">
        <f t="shared" si="19"/>
        <v>4.3424123450170544</v>
      </c>
      <c r="AR48" s="267"/>
      <c r="AS48" s="267"/>
      <c r="AT48" s="35">
        <f>IF(ISNUMBER('Courier_M.'!S31),'Courier_M.'!S31,0)</f>
        <v>0.59000951051712036</v>
      </c>
      <c r="AU48" s="36">
        <f>IF(ISNUMBER(Laboratorio_M!S29),Laboratorio_M!S29,"")</f>
        <v>0.41199999999999998</v>
      </c>
      <c r="AV48" s="36">
        <f t="shared" si="20"/>
        <v>-0.17800951051712038</v>
      </c>
      <c r="AW48" s="267">
        <f t="shared" si="21"/>
        <v>0.17800951051712038</v>
      </c>
      <c r="AX48" s="161">
        <f t="shared" si="40"/>
        <v>43.206191873087477</v>
      </c>
      <c r="AY48" s="267">
        <f>Calculos_M!$AH$1</f>
        <v>8.3191193181818196E-2</v>
      </c>
      <c r="AZ48" s="267">
        <f t="shared" si="22"/>
        <v>-8.3191193181818196E-2</v>
      </c>
      <c r="BA48" s="35">
        <f>IF(ISNUMBER('Courier_M.'!U31),'Courier_M.'!U31,0)</f>
        <v>56.349887847900391</v>
      </c>
      <c r="BB48" s="36">
        <f>IF(ISNUMBER(Laboratorio_M!U29),Laboratorio_M!U29,"")</f>
        <v>57.93</v>
      </c>
      <c r="BC48" s="36">
        <f t="shared" si="23"/>
        <v>1.5801121520996091</v>
      </c>
      <c r="BD48" s="267">
        <f t="shared" si="24"/>
        <v>1.5801121520996091</v>
      </c>
      <c r="BE48" s="161">
        <f t="shared" si="41"/>
        <v>2.7276232558253222</v>
      </c>
      <c r="BF48" s="267">
        <f>Calculos_M!$AI$1</f>
        <v>1.4830847050619838</v>
      </c>
      <c r="BG48" s="267">
        <f t="shared" si="25"/>
        <v>-1.4830847050619838</v>
      </c>
      <c r="BH48" s="35">
        <f>IF(ISNUMBER('Courier_M.'!W31),'Courier_M.'!W31,"")</f>
        <v>0.67395442724227905</v>
      </c>
      <c r="BI48" s="36">
        <f>IF(ISNUMBER(Laboratorio_M!W29),Laboratorio_M!W29,"")</f>
        <v>0.57399999999999995</v>
      </c>
      <c r="BJ48" s="36">
        <f t="shared" si="26"/>
        <v>-9.9954427242279098E-2</v>
      </c>
      <c r="BK48" s="267">
        <f t="shared" si="27"/>
        <v>9.9954427242279098E-2</v>
      </c>
      <c r="BL48" s="161">
        <f t="shared" si="28"/>
        <v>17.413663282627024</v>
      </c>
      <c r="BM48" s="36"/>
      <c r="BN48" s="161"/>
      <c r="BO48" s="35">
        <f>IF(ISNUMBER('Courier_M.'!Y31),'Courier_M.'!Y31,"")</f>
        <v>2.8440202309069518</v>
      </c>
      <c r="BP48" s="36">
        <f>IF(ISNUMBER(Laboratorio_M!Y29),Laboratorio_M!Y29,"")</f>
        <v>1.45</v>
      </c>
      <c r="BQ48" s="36">
        <f t="shared" si="29"/>
        <v>-1.3940202309069518</v>
      </c>
      <c r="BR48" s="267">
        <f t="shared" si="30"/>
        <v>1.3940202309069518</v>
      </c>
      <c r="BS48" s="161">
        <f t="shared" si="31"/>
        <v>96.139326269444965</v>
      </c>
      <c r="BT48" s="36"/>
      <c r="BU48" s="161"/>
    </row>
    <row r="49" spans="1:73" ht="15" x14ac:dyDescent="0.2">
      <c r="C49" s="38" t="str">
        <f>DAY(B48) &amp; "-" &amp; MONTH(B48) &amp;"-" &amp; YEAR(B48)</f>
        <v>5-9-2026</v>
      </c>
      <c r="D49" s="35">
        <f>IF(ISNUMBER('Courier_M.'!F31),'Courier_M.'!F31,"")</f>
        <v>23.70465087890625</v>
      </c>
      <c r="E49" s="36">
        <f>IF(ISNUMBER(Laboratorio_M!F29),Laboratorio_M!F29,"")</f>
        <v>23.971</v>
      </c>
      <c r="F49" s="36">
        <f t="shared" si="6"/>
        <v>0.26634912109375009</v>
      </c>
      <c r="G49" s="267">
        <f t="shared" si="7"/>
        <v>0.26634912109375009</v>
      </c>
      <c r="H49" s="161">
        <f t="shared" si="36"/>
        <v>1.1111306207240002</v>
      </c>
      <c r="I49" s="267">
        <f>Calculos_M!$I$1</f>
        <v>2.2302216249999991</v>
      </c>
      <c r="J49" s="267">
        <f t="shared" si="32"/>
        <v>-2.2302216249999991</v>
      </c>
      <c r="K49" s="35">
        <f>IF(ISNUMBER('Courier_M.'!H31),'Courier_M.'!H31,"")</f>
        <v>1.7126438617706299</v>
      </c>
      <c r="L49" s="36">
        <f>IF(ISNUMBER(Laboratorio_M!H29),Laboratorio_M!H29,"")</f>
        <v>1.4410000000000001</v>
      </c>
      <c r="M49" s="36">
        <f t="shared" si="8"/>
        <v>-0.27164386177062982</v>
      </c>
      <c r="N49" s="267">
        <f t="shared" si="9"/>
        <v>0.27164386177062982</v>
      </c>
      <c r="O49" s="161">
        <f t="shared" si="37"/>
        <v>18.851066049315047</v>
      </c>
      <c r="P49" s="267">
        <f>Calculos_M!$J$1</f>
        <v>0.382682625</v>
      </c>
      <c r="Q49" s="267">
        <f t="shared" si="33"/>
        <v>-0.382682625</v>
      </c>
      <c r="R49" s="35">
        <f>IF(ISNUMBER('Courier_M.'!J31),'Courier_M.'!J31,"")</f>
        <v>29.318016052246094</v>
      </c>
      <c r="S49" s="36">
        <f>IF(ISNUMBER(Laboratorio_M!J29),Laboratorio_M!J29,"")</f>
        <v>28.66</v>
      </c>
      <c r="T49" s="36">
        <f t="shared" si="10"/>
        <v>-0.65801605224609361</v>
      </c>
      <c r="U49" s="267">
        <f t="shared" si="11"/>
        <v>0.65801605224609361</v>
      </c>
      <c r="V49" s="161">
        <f t="shared" si="12"/>
        <v>2.2959387726660627</v>
      </c>
      <c r="W49" s="267"/>
      <c r="X49" s="267"/>
      <c r="Y49" s="35">
        <f>IF(ISNUMBER('Courier_M.'!L31),'Courier_M.'!L31,"")</f>
        <v>25.500570297241211</v>
      </c>
      <c r="Z49" s="36">
        <f>IF(ISNUMBER(Laboratorio_M!L29),Laboratorio_M!L29,"")</f>
        <v>26.068999999999999</v>
      </c>
      <c r="AA49" s="36">
        <f t="shared" si="13"/>
        <v>0.56842970275878812</v>
      </c>
      <c r="AB49" s="267">
        <f t="shared" si="14"/>
        <v>0.56842970275878812</v>
      </c>
      <c r="AC49" s="161">
        <f t="shared" si="38"/>
        <v>2.180481425289762</v>
      </c>
      <c r="AD49" s="267">
        <f>Calculos_M!$U$1</f>
        <v>1.0662891477272729</v>
      </c>
      <c r="AE49" s="267">
        <f t="shared" si="34"/>
        <v>-1.0662891477272729</v>
      </c>
      <c r="AF49" s="35">
        <f>IF(ISNUMBER('Courier_M.'!N31),'Courier_M.'!N31,"")</f>
        <v>0.15326644480228424</v>
      </c>
      <c r="AG49" s="36">
        <f>IF(ISNUMBER(Laboratorio_M!N29),Laboratorio_M!N29,"")</f>
        <v>4.9000000000000002E-2</v>
      </c>
      <c r="AH49" s="36">
        <f t="shared" si="15"/>
        <v>-0.10426644480228424</v>
      </c>
      <c r="AI49" s="267">
        <f t="shared" si="16"/>
        <v>0.10426644480228424</v>
      </c>
      <c r="AJ49" s="161">
        <f t="shared" si="39"/>
        <v>212.78866286180457</v>
      </c>
      <c r="AK49" s="267">
        <f>Calculos_M!$V$1</f>
        <v>3.2516250000000003E-2</v>
      </c>
      <c r="AL49" s="267">
        <f t="shared" si="35"/>
        <v>-3.2516250000000003E-2</v>
      </c>
      <c r="AM49" s="35">
        <f>IF(ISNUMBER('Courier_M.'!P31),'Courier_M.'!P31,"")</f>
        <v>31.072154998779297</v>
      </c>
      <c r="AN49" s="36">
        <f>IF(ISNUMBER(Laboratorio_M!P29),Laboratorio_M!P29,"")</f>
        <v>30.07</v>
      </c>
      <c r="AO49" s="36">
        <f t="shared" si="17"/>
        <v>-1.0021549987792966</v>
      </c>
      <c r="AP49" s="267">
        <f t="shared" si="18"/>
        <v>1.0021549987792966</v>
      </c>
      <c r="AQ49" s="161">
        <f t="shared" si="19"/>
        <v>3.3327402686375009</v>
      </c>
      <c r="AR49" s="267"/>
      <c r="AS49" s="267"/>
      <c r="AT49" s="35">
        <f>IF(ISNUMBER('Courier_M.'!T31),'Courier_M.'!T31,0)</f>
        <v>0.62747794389724731</v>
      </c>
      <c r="AU49" s="36">
        <f>IF(ISNUMBER(Laboratorio_M!T29),Laboratorio_M!T29,"")</f>
        <v>0.65100000000000002</v>
      </c>
      <c r="AV49" s="36">
        <f t="shared" si="20"/>
        <v>2.3522056102752709E-2</v>
      </c>
      <c r="AW49" s="267">
        <f t="shared" si="21"/>
        <v>2.3522056102752709E-2</v>
      </c>
      <c r="AX49" s="161">
        <f t="shared" si="40"/>
        <v>3.6132190634028736</v>
      </c>
      <c r="AY49" s="267">
        <f>Calculos_M!$AH$1</f>
        <v>8.3191193181818196E-2</v>
      </c>
      <c r="AZ49" s="267">
        <f t="shared" si="22"/>
        <v>-8.3191193181818196E-2</v>
      </c>
      <c r="BA49" s="35">
        <f>IF(ISNUMBER('Courier_M.'!V31),'Courier_M.'!V31,0)</f>
        <v>56.272441864013672</v>
      </c>
      <c r="BB49" s="36">
        <f>IF(ISNUMBER(Laboratorio_M!V29),Laboratorio_M!V29,"")</f>
        <v>57.598999999999997</v>
      </c>
      <c r="BC49" s="36">
        <f t="shared" si="23"/>
        <v>1.3265581359863248</v>
      </c>
      <c r="BD49" s="267">
        <f t="shared" si="24"/>
        <v>1.3265581359863248</v>
      </c>
      <c r="BE49" s="161">
        <f t="shared" si="41"/>
        <v>2.3030923036620856</v>
      </c>
      <c r="BF49" s="267">
        <f>Calculos_M!$AI$1</f>
        <v>1.4830847050619838</v>
      </c>
      <c r="BG49" s="267">
        <f t="shared" si="25"/>
        <v>-1.4830847050619838</v>
      </c>
      <c r="BH49" s="35">
        <f>IF(ISNUMBER('Courier_M.'!X31),'Courier_M.'!X31,"")</f>
        <v>0.72237396240234375</v>
      </c>
      <c r="BI49" s="36">
        <f>IF(ISNUMBER(Laboratorio_M!X29),Laboratorio_M!X29,"")</f>
        <v>0.72899999999999998</v>
      </c>
      <c r="BJ49" s="36">
        <f t="shared" si="26"/>
        <v>6.6260375976562313E-3</v>
      </c>
      <c r="BK49" s="267">
        <f t="shared" si="27"/>
        <v>6.6260375976562313E-3</v>
      </c>
      <c r="BL49" s="161">
        <f t="shared" si="28"/>
        <v>0.90892148115997684</v>
      </c>
      <c r="BM49" s="36"/>
      <c r="BN49" s="161"/>
      <c r="BO49" s="35">
        <f>IF(ISNUMBER('Courier_M.'!Z31),'Courier_M.'!Z31,"")</f>
        <v>2.6053566505081003</v>
      </c>
      <c r="BP49" s="36">
        <f>IF(ISNUMBER(Laboratorio_M!Z29),Laboratorio_M!Z29,"")</f>
        <v>1.37</v>
      </c>
      <c r="BQ49" s="36">
        <f t="shared" si="29"/>
        <v>-1.2353566505081002</v>
      </c>
      <c r="BR49" s="267">
        <f t="shared" si="30"/>
        <v>1.2353566505081002</v>
      </c>
      <c r="BS49" s="161">
        <f t="shared" si="31"/>
        <v>90.17201828526278</v>
      </c>
      <c r="BT49" s="36"/>
      <c r="BU49" s="161"/>
    </row>
    <row r="50" spans="1:73" ht="15" x14ac:dyDescent="0.2">
      <c r="A50">
        <f>+A48+1</f>
        <v>24</v>
      </c>
      <c r="B50" s="7">
        <f>+B48+1</f>
        <v>46271</v>
      </c>
      <c r="C50" s="7" t="str">
        <f>DAY(B50) &amp; "-" &amp; MONTH(B50) &amp;"-" &amp; YEAR(B50)</f>
        <v>6-9-2026</v>
      </c>
      <c r="D50" s="35">
        <f>IF(ISNUMBER('Courier_M.'!E32),'Courier_M.'!E32,"")</f>
        <v>23.074974060058594</v>
      </c>
      <c r="E50" s="36">
        <f>IF(ISNUMBER(Laboratorio_M!E30),Laboratorio_M!E30,"")</f>
        <v>21.791</v>
      </c>
      <c r="F50" s="36">
        <f t="shared" si="6"/>
        <v>-1.2839740600585934</v>
      </c>
      <c r="G50" s="267">
        <f t="shared" si="7"/>
        <v>1.2839740600585934</v>
      </c>
      <c r="H50" s="161">
        <f t="shared" si="36"/>
        <v>5.8922218349712878</v>
      </c>
      <c r="I50" s="267">
        <f>Calculos_M!$I$1</f>
        <v>2.2302216249999991</v>
      </c>
      <c r="J50" s="267">
        <f t="shared" si="32"/>
        <v>-2.2302216249999991</v>
      </c>
      <c r="K50" s="35">
        <f>IF(ISNUMBER('Courier_M.'!G32),'Courier_M.'!G32,"")</f>
        <v>2.2196602821350098</v>
      </c>
      <c r="L50" s="36">
        <f>IF(ISNUMBER(Laboratorio_M!G30),Laboratorio_M!G30,"")</f>
        <v>3.226</v>
      </c>
      <c r="M50" s="36">
        <f t="shared" si="8"/>
        <v>1.0063397178649902</v>
      </c>
      <c r="N50" s="267">
        <f t="shared" si="9"/>
        <v>1.0063397178649902</v>
      </c>
      <c r="O50" s="161">
        <f t="shared" si="37"/>
        <v>31.194659574240241</v>
      </c>
      <c r="P50" s="267">
        <f>Calculos_M!$J$1</f>
        <v>0.382682625</v>
      </c>
      <c r="Q50" s="267">
        <f t="shared" si="33"/>
        <v>-0.382682625</v>
      </c>
      <c r="R50" s="35">
        <f>IF(ISNUMBER('Courier_M.'!I32),'Courier_M.'!I32,"")</f>
        <v>28.432735443115234</v>
      </c>
      <c r="S50" s="36">
        <f>IF(ISNUMBER(Laboratorio_M!I30),Laboratorio_M!I30,"")</f>
        <v>26.86</v>
      </c>
      <c r="T50" s="36">
        <f t="shared" si="10"/>
        <v>-1.5727354431152349</v>
      </c>
      <c r="U50" s="267">
        <f t="shared" si="11"/>
        <v>1.5727354431152349</v>
      </c>
      <c r="V50" s="161">
        <f t="shared" si="12"/>
        <v>5.8553069363932799</v>
      </c>
      <c r="W50" s="267"/>
      <c r="X50" s="267"/>
      <c r="Y50" s="35">
        <f>IF(ISNUMBER('Courier_M.'!K32),'Courier_M.'!K32,"")</f>
        <v>24.990884780883789</v>
      </c>
      <c r="Z50" s="36">
        <f>IF(ISNUMBER(Laboratorio_M!K30),Laboratorio_M!K30,"")</f>
        <v>23.431999999999999</v>
      </c>
      <c r="AA50" s="36">
        <f t="shared" si="13"/>
        <v>-1.5588847808837905</v>
      </c>
      <c r="AB50" s="267">
        <f t="shared" si="14"/>
        <v>1.5588847808837905</v>
      </c>
      <c r="AC50" s="161">
        <f t="shared" si="38"/>
        <v>6.6528029228567362</v>
      </c>
      <c r="AD50" s="267">
        <f>Calculos_M!$U$1</f>
        <v>1.0662891477272729</v>
      </c>
      <c r="AE50" s="267">
        <f t="shared" si="34"/>
        <v>-1.0662891477272729</v>
      </c>
      <c r="AF50" s="35">
        <f>IF(ISNUMBER('Courier_M.'!M32),'Courier_M.'!M32,"")</f>
        <v>5.4691430181264877E-2</v>
      </c>
      <c r="AG50" s="36">
        <f>IF(ISNUMBER(Laboratorio_M!M30),Laboratorio_M!M30,"")</f>
        <v>3.9E-2</v>
      </c>
      <c r="AH50" s="36">
        <f t="shared" si="15"/>
        <v>-1.5691430181264877E-2</v>
      </c>
      <c r="AI50" s="267">
        <f t="shared" si="16"/>
        <v>1.5691430181264877E-2</v>
      </c>
      <c r="AJ50" s="161">
        <f t="shared" si="39"/>
        <v>40.234436362217636</v>
      </c>
      <c r="AK50" s="267">
        <f>Calculos_M!$V$1</f>
        <v>3.2516250000000003E-2</v>
      </c>
      <c r="AL50" s="267">
        <f t="shared" si="35"/>
        <v>-3.2516250000000003E-2</v>
      </c>
      <c r="AM50" s="35">
        <f>IF(ISNUMBER('Courier_M.'!O32),'Courier_M.'!O32,"")</f>
        <v>30.635101318359375</v>
      </c>
      <c r="AN50" s="36">
        <f>IF(ISNUMBER(Laboratorio_M!O30),Laboratorio_M!O30,"")</f>
        <v>29.09</v>
      </c>
      <c r="AO50" s="36">
        <f t="shared" si="17"/>
        <v>-1.5451013183593751</v>
      </c>
      <c r="AP50" s="267">
        <f t="shared" si="18"/>
        <v>1.5451013183593751</v>
      </c>
      <c r="AQ50" s="161">
        <f t="shared" si="19"/>
        <v>5.311451764728</v>
      </c>
      <c r="AR50" s="267"/>
      <c r="AS50" s="267"/>
      <c r="AT50" s="35">
        <f>IF(ISNUMBER('Courier_M.'!S32),'Courier_M.'!S32,0)</f>
        <v>0.71669238805770874</v>
      </c>
      <c r="AU50" s="36">
        <f>IF(ISNUMBER(Laboratorio_M!S30),Laboratorio_M!S30,"")</f>
        <v>0.71699999999999997</v>
      </c>
      <c r="AV50" s="36">
        <f t="shared" si="20"/>
        <v>3.0761194229123046E-4</v>
      </c>
      <c r="AW50" s="267">
        <f t="shared" si="21"/>
        <v>3.0761194229123046E-4</v>
      </c>
      <c r="AX50" s="161">
        <f t="shared" si="40"/>
        <v>4.29026418816221E-2</v>
      </c>
      <c r="AY50" s="267">
        <f>Calculos_M!$AH$1</f>
        <v>8.3191193181818196E-2</v>
      </c>
      <c r="AZ50" s="267">
        <f t="shared" si="22"/>
        <v>-8.3191193181818196E-2</v>
      </c>
      <c r="BA50" s="35">
        <f>IF(ISNUMBER('Courier_M.'!U32),'Courier_M.'!U32,0)</f>
        <v>55.951023101806641</v>
      </c>
      <c r="BB50" s="36">
        <f>IF(ISNUMBER(Laboratorio_M!U30),Laboratorio_M!U30,"")</f>
        <v>57.313000000000002</v>
      </c>
      <c r="BC50" s="36">
        <f t="shared" si="23"/>
        <v>1.3619768981933618</v>
      </c>
      <c r="BD50" s="267">
        <f t="shared" si="24"/>
        <v>1.3619768981933618</v>
      </c>
      <c r="BE50" s="161">
        <f t="shared" si="41"/>
        <v>2.3763838888094528</v>
      </c>
      <c r="BF50" s="267">
        <f>Calculos_M!$AI$1</f>
        <v>1.4830847050619838</v>
      </c>
      <c r="BG50" s="267">
        <f t="shared" si="25"/>
        <v>-1.4830847050619838</v>
      </c>
      <c r="BH50" s="35">
        <f>IF(ISNUMBER('Courier_M.'!W32),'Courier_M.'!W32,"")</f>
        <v>0.85430192947387695</v>
      </c>
      <c r="BI50" s="36">
        <f>IF(ISNUMBER(Laboratorio_M!W30),Laboratorio_M!W30,"")</f>
        <v>1.0660000000000001</v>
      </c>
      <c r="BJ50" s="36">
        <f t="shared" si="26"/>
        <v>0.21169807052612311</v>
      </c>
      <c r="BK50" s="267">
        <f t="shared" si="27"/>
        <v>0.21169807052612311</v>
      </c>
      <c r="BL50" s="161">
        <f t="shared" si="28"/>
        <v>19.859106053107229</v>
      </c>
      <c r="BM50" s="36"/>
      <c r="BN50" s="161"/>
      <c r="BO50" s="35">
        <f>IF(ISNUMBER('Courier_M.'!Y32),'Courier_M.'!Y32,"")</f>
        <v>2.859271232576885</v>
      </c>
      <c r="BP50" s="36">
        <f>IF(ISNUMBER(Laboratorio_M!Y30),Laboratorio_M!Y30,"")</f>
        <v>1.04</v>
      </c>
      <c r="BQ50" s="36">
        <f t="shared" si="29"/>
        <v>-1.8192712325768849</v>
      </c>
      <c r="BR50" s="267">
        <f t="shared" si="30"/>
        <v>1.8192712325768849</v>
      </c>
      <c r="BS50" s="161">
        <f t="shared" si="31"/>
        <v>174.92992620931585</v>
      </c>
      <c r="BT50" s="36"/>
      <c r="BU50" s="161"/>
    </row>
    <row r="51" spans="1:73" ht="15" x14ac:dyDescent="0.2">
      <c r="C51" s="38" t="str">
        <f>DAY(B50) &amp; "-" &amp; MONTH(B50) &amp;"-" &amp; YEAR(B50)</f>
        <v>6-9-2026</v>
      </c>
      <c r="D51" s="35">
        <f>IF(ISNUMBER('Courier_M.'!F32),'Courier_M.'!F32,"")</f>
        <v>22.871414184570313</v>
      </c>
      <c r="E51" s="36">
        <f>IF(ISNUMBER(Laboratorio_M!F30),Laboratorio_M!F30,"")</f>
        <v>24.57</v>
      </c>
      <c r="F51" s="36">
        <f t="shared" si="6"/>
        <v>1.6985858154296878</v>
      </c>
      <c r="G51" s="267">
        <f t="shared" si="7"/>
        <v>1.6985858154296878</v>
      </c>
      <c r="H51" s="161">
        <f t="shared" si="36"/>
        <v>6.9132511820500104</v>
      </c>
      <c r="I51" s="267">
        <f>Calculos_M!$I$1</f>
        <v>2.2302216249999991</v>
      </c>
      <c r="J51" s="267">
        <f t="shared" si="32"/>
        <v>-2.2302216249999991</v>
      </c>
      <c r="K51" s="35">
        <f>IF(ISNUMBER('Courier_M.'!H32),'Courier_M.'!H32,"")</f>
        <v>2.1810171604156494</v>
      </c>
      <c r="L51" s="36">
        <f>IF(ISNUMBER(Laboratorio_M!H30),Laboratorio_M!H30,"")</f>
        <v>2.9020000000000001</v>
      </c>
      <c r="M51" s="36">
        <f t="shared" si="8"/>
        <v>0.72098283958435072</v>
      </c>
      <c r="N51" s="267">
        <f t="shared" si="9"/>
        <v>0.72098283958435072</v>
      </c>
      <c r="O51" s="161">
        <f t="shared" si="37"/>
        <v>24.844343197255363</v>
      </c>
      <c r="P51" s="267">
        <f>Calculos_M!$J$1</f>
        <v>0.382682625</v>
      </c>
      <c r="Q51" s="267">
        <f t="shared" si="33"/>
        <v>-0.382682625</v>
      </c>
      <c r="R51" s="35">
        <f>IF(ISNUMBER('Courier_M.'!J32),'Courier_M.'!J32,"")</f>
        <v>26.925535202026367</v>
      </c>
      <c r="S51" s="36">
        <f>IF(ISNUMBER(Laboratorio_M!J30),Laboratorio_M!J30,"")</f>
        <v>26.57</v>
      </c>
      <c r="T51" s="36">
        <f t="shared" si="10"/>
        <v>-0.3555352020263669</v>
      </c>
      <c r="U51" s="267">
        <f t="shared" si="11"/>
        <v>0.3555352020263669</v>
      </c>
      <c r="V51" s="161">
        <f t="shared" si="12"/>
        <v>1.3381076478222313</v>
      </c>
      <c r="W51" s="267"/>
      <c r="X51" s="267"/>
      <c r="Y51" s="35">
        <f>IF(ISNUMBER('Courier_M.'!L32),'Courier_M.'!L32,"")</f>
        <v>25.59405517578125</v>
      </c>
      <c r="Z51" s="36">
        <f>IF(ISNUMBER(Laboratorio_M!L30),Laboratorio_M!L30,"")</f>
        <v>25.37</v>
      </c>
      <c r="AA51" s="36">
        <f t="shared" si="13"/>
        <v>-0.22405517578124901</v>
      </c>
      <c r="AB51" s="267">
        <f t="shared" si="14"/>
        <v>0.22405517578124901</v>
      </c>
      <c r="AC51" s="161">
        <f t="shared" si="38"/>
        <v>0.88315008191268818</v>
      </c>
      <c r="AD51" s="267">
        <f>Calculos_M!$U$1</f>
        <v>1.0662891477272729</v>
      </c>
      <c r="AE51" s="267">
        <f t="shared" si="34"/>
        <v>-1.0662891477272729</v>
      </c>
      <c r="AF51" s="35">
        <f>IF(ISNUMBER('Courier_M.'!N32),'Courier_M.'!N32,"")</f>
        <v>9.6487991511821747E-2</v>
      </c>
      <c r="AG51" s="36">
        <f>IF(ISNUMBER(Laboratorio_M!N30),Laboratorio_M!N30,"")</f>
        <v>4.9000000000000002E-2</v>
      </c>
      <c r="AH51" s="36">
        <f t="shared" si="15"/>
        <v>-4.7487991511821745E-2</v>
      </c>
      <c r="AI51" s="267">
        <f t="shared" si="16"/>
        <v>4.7487991511821745E-2</v>
      </c>
      <c r="AJ51" s="161">
        <f t="shared" si="39"/>
        <v>96.914268391472945</v>
      </c>
      <c r="AK51" s="267">
        <f>Calculos_M!$V$1</f>
        <v>3.2516250000000003E-2</v>
      </c>
      <c r="AL51" s="267">
        <f t="shared" si="35"/>
        <v>-3.2516250000000003E-2</v>
      </c>
      <c r="AM51" s="35">
        <f>IF(ISNUMBER('Courier_M.'!P32),'Courier_M.'!P32,"")</f>
        <v>30.628925323486328</v>
      </c>
      <c r="AN51" s="36">
        <f>IF(ISNUMBER(Laboratorio_M!P30),Laboratorio_M!P30,"")</f>
        <v>28.68</v>
      </c>
      <c r="AO51" s="36">
        <f t="shared" si="17"/>
        <v>-1.9489253234863284</v>
      </c>
      <c r="AP51" s="267">
        <f t="shared" si="18"/>
        <v>1.9489253234863284</v>
      </c>
      <c r="AQ51" s="161">
        <f t="shared" si="19"/>
        <v>6.7954160512075603</v>
      </c>
      <c r="AR51" s="267"/>
      <c r="AS51" s="267"/>
      <c r="AT51" s="35">
        <f>IF(ISNUMBER('Courier_M.'!T32),'Courier_M.'!T32,0)</f>
        <v>0.66673463582992554</v>
      </c>
      <c r="AU51" s="36">
        <f>IF(ISNUMBER(Laboratorio_M!T30),Laboratorio_M!T30,"")</f>
        <v>0.52700000000000002</v>
      </c>
      <c r="AV51" s="36">
        <f t="shared" si="20"/>
        <v>-0.13973463582992551</v>
      </c>
      <c r="AW51" s="267">
        <f t="shared" si="21"/>
        <v>0.13973463582992551</v>
      </c>
      <c r="AX51" s="161">
        <f t="shared" si="40"/>
        <v>26.515111163173721</v>
      </c>
      <c r="AY51" s="267">
        <f>Calculos_M!$AH$1</f>
        <v>8.3191193181818196E-2</v>
      </c>
      <c r="AZ51" s="267">
        <f t="shared" si="22"/>
        <v>-8.3191193181818196E-2</v>
      </c>
      <c r="BA51" s="35">
        <f>IF(ISNUMBER('Courier_M.'!V32),'Courier_M.'!V32,0)</f>
        <v>56.001426696777344</v>
      </c>
      <c r="BB51" s="36">
        <f>IF(ISNUMBER(Laboratorio_M!V30),Laboratorio_M!V30,"")</f>
        <v>57.6</v>
      </c>
      <c r="BC51" s="36">
        <f t="shared" si="23"/>
        <v>1.5985733032226577</v>
      </c>
      <c r="BD51" s="267">
        <f t="shared" si="24"/>
        <v>1.5985733032226577</v>
      </c>
      <c r="BE51" s="161">
        <f t="shared" si="41"/>
        <v>2.7753008736504472</v>
      </c>
      <c r="BF51" s="267">
        <f>Calculos_M!$AI$1</f>
        <v>1.4830847050619838</v>
      </c>
      <c r="BG51" s="267">
        <f t="shared" si="25"/>
        <v>-1.4830847050619838</v>
      </c>
      <c r="BH51" s="35">
        <f>IF(ISNUMBER('Courier_M.'!X32),'Courier_M.'!X32,"")</f>
        <v>0.79062825441360474</v>
      </c>
      <c r="BI51" s="36">
        <f>IF(ISNUMBER(Laboratorio_M!X30),Laboratorio_M!X30,"")</f>
        <v>0.72099999999999997</v>
      </c>
      <c r="BJ51" s="36">
        <f t="shared" si="26"/>
        <v>-6.9628254413604762E-2</v>
      </c>
      <c r="BK51" s="267">
        <f t="shared" si="27"/>
        <v>6.9628254413604762E-2</v>
      </c>
      <c r="BL51" s="161">
        <f t="shared" si="28"/>
        <v>9.6571781433571111</v>
      </c>
      <c r="BM51" s="36"/>
      <c r="BN51" s="161"/>
      <c r="BO51" s="35">
        <f>IF(ISNUMBER('Courier_M.'!Z32),'Courier_M.'!Z32,"")</f>
        <v>3.0826593528943151</v>
      </c>
      <c r="BP51" s="36">
        <f>IF(ISNUMBER(Laboratorio_M!Z30),Laboratorio_M!Z30,"")</f>
        <v>1.54</v>
      </c>
      <c r="BQ51" s="36">
        <f t="shared" si="29"/>
        <v>-1.5426593528943151</v>
      </c>
      <c r="BR51" s="267">
        <f t="shared" si="30"/>
        <v>1.5426593528943151</v>
      </c>
      <c r="BS51" s="161">
        <f t="shared" si="31"/>
        <v>100.17268525287759</v>
      </c>
      <c r="BT51" s="36"/>
      <c r="BU51" s="161"/>
    </row>
    <row r="52" spans="1:73" ht="15" x14ac:dyDescent="0.2">
      <c r="A52">
        <f>+A50+1</f>
        <v>25</v>
      </c>
      <c r="B52" s="7">
        <f>+B50+1</f>
        <v>46272</v>
      </c>
      <c r="C52" s="7" t="str">
        <f>DAY(B52) &amp; "-" &amp; MONTH(B52) &amp;"-" &amp; YEAR(B52)</f>
        <v>7-9-2026</v>
      </c>
      <c r="D52" s="35">
        <f>IF(ISNUMBER('Courier_M.'!E33),'Courier_M.'!E33,"")</f>
        <v>23.4122314453125</v>
      </c>
      <c r="E52" s="36">
        <f>IF(ISNUMBER(Laboratorio_M!E31),Laboratorio_M!E31,"")</f>
        <v>24.875</v>
      </c>
      <c r="F52" s="36">
        <f t="shared" si="6"/>
        <v>1.4627685546875</v>
      </c>
      <c r="G52" s="267">
        <f t="shared" si="7"/>
        <v>1.4627685546875</v>
      </c>
      <c r="H52" s="161">
        <f t="shared" si="36"/>
        <v>5.8804766017587937</v>
      </c>
      <c r="I52" s="267">
        <f>Calculos_M!$I$1</f>
        <v>2.2302216249999991</v>
      </c>
      <c r="J52" s="267">
        <f t="shared" si="32"/>
        <v>-2.2302216249999991</v>
      </c>
      <c r="K52" s="35">
        <f>IF(ISNUMBER('Courier_M.'!G33),'Courier_M.'!G33,"")</f>
        <v>1.9882111549377441</v>
      </c>
      <c r="L52" s="36">
        <f>IF(ISNUMBER(Laboratorio_M!G31),Laboratorio_M!G31,"")</f>
        <v>2.8490000000000002</v>
      </c>
      <c r="M52" s="36">
        <f t="shared" si="8"/>
        <v>0.86078884506225606</v>
      </c>
      <c r="N52" s="267">
        <f t="shared" si="9"/>
        <v>0.86078884506225606</v>
      </c>
      <c r="O52" s="161">
        <f t="shared" si="37"/>
        <v>30.213718675403861</v>
      </c>
      <c r="P52" s="267">
        <f>Calculos_M!$J$1</f>
        <v>0.382682625</v>
      </c>
      <c r="Q52" s="267">
        <f t="shared" si="33"/>
        <v>-0.382682625</v>
      </c>
      <c r="R52" s="35">
        <f>IF(ISNUMBER('Courier_M.'!I33),'Courier_M.'!I33,"")</f>
        <v>26.656661987304688</v>
      </c>
      <c r="S52" s="36">
        <f>IF(ISNUMBER(Laboratorio_M!I31),Laboratorio_M!I31,"")</f>
        <v>27.3</v>
      </c>
      <c r="T52" s="36">
        <f t="shared" si="10"/>
        <v>0.64333801269531321</v>
      </c>
      <c r="U52" s="267">
        <f t="shared" si="11"/>
        <v>0.64333801269531321</v>
      </c>
      <c r="V52" s="161">
        <f t="shared" si="12"/>
        <v>2.3565494970524292</v>
      </c>
      <c r="W52" s="267"/>
      <c r="X52" s="267"/>
      <c r="Y52" s="35">
        <f>IF(ISNUMBER('Courier_M.'!K33),'Courier_M.'!K33,"")</f>
        <v>27.13728141784668</v>
      </c>
      <c r="Z52" s="36">
        <f>IF(ISNUMBER(Laboratorio_M!K31),Laboratorio_M!K31,"")</f>
        <v>26.068999999999999</v>
      </c>
      <c r="AA52" s="36">
        <f t="shared" si="13"/>
        <v>-1.0682814178466806</v>
      </c>
      <c r="AB52" s="267">
        <f t="shared" si="14"/>
        <v>1.0682814178466806</v>
      </c>
      <c r="AC52" s="161">
        <f t="shared" si="38"/>
        <v>4.0978994892273608</v>
      </c>
      <c r="AD52" s="267">
        <f>Calculos_M!$U$1</f>
        <v>1.0662891477272729</v>
      </c>
      <c r="AE52" s="267">
        <f t="shared" si="34"/>
        <v>-1.0662891477272729</v>
      </c>
      <c r="AF52" s="35">
        <f>IF(ISNUMBER('Courier_M.'!M33),'Courier_M.'!M33,"")</f>
        <v>8.5849106311798096E-2</v>
      </c>
      <c r="AG52" s="36">
        <f>IF(ISNUMBER(Laboratorio_M!M31),Laboratorio_M!M31,"")</f>
        <v>6.5000000000000002E-2</v>
      </c>
      <c r="AH52" s="36">
        <f t="shared" si="15"/>
        <v>-2.0849106311798093E-2</v>
      </c>
      <c r="AI52" s="267">
        <f t="shared" si="16"/>
        <v>2.0849106311798093E-2</v>
      </c>
      <c r="AJ52" s="161">
        <f t="shared" si="39"/>
        <v>32.075548171997063</v>
      </c>
      <c r="AK52" s="267">
        <f>Calculos_M!$V$1</f>
        <v>3.2516250000000003E-2</v>
      </c>
      <c r="AL52" s="267">
        <f t="shared" si="35"/>
        <v>-3.2516250000000003E-2</v>
      </c>
      <c r="AM52" s="35">
        <f>IF(ISNUMBER('Courier_M.'!O33),'Courier_M.'!O33,"")</f>
        <v>30.811515808105469</v>
      </c>
      <c r="AN52" s="36">
        <f>IF(ISNUMBER(Laboratorio_M!O31),Laboratorio_M!O31,"")</f>
        <v>27.87</v>
      </c>
      <c r="AO52" s="36">
        <f t="shared" si="17"/>
        <v>-2.9415158081054678</v>
      </c>
      <c r="AP52" s="267">
        <f t="shared" si="18"/>
        <v>2.9415158081054678</v>
      </c>
      <c r="AQ52" s="161">
        <f t="shared" si="19"/>
        <v>10.55441624723885</v>
      </c>
      <c r="AR52" s="267"/>
      <c r="AS52" s="267"/>
      <c r="AT52" s="35">
        <f>IF(ISNUMBER('Courier_M.'!S33),'Courier_M.'!S33,0)</f>
        <v>0.63896381855010986</v>
      </c>
      <c r="AU52" s="36">
        <f>IF(ISNUMBER(Laboratorio_M!S31),Laboratorio_M!S31,"")</f>
        <v>0.67900000000000005</v>
      </c>
      <c r="AV52" s="36">
        <f t="shared" si="20"/>
        <v>4.0036181449890185E-2</v>
      </c>
      <c r="AW52" s="267">
        <f t="shared" si="21"/>
        <v>4.0036181449890185E-2</v>
      </c>
      <c r="AX52" s="161">
        <f t="shared" si="40"/>
        <v>5.8963448379808812</v>
      </c>
      <c r="AY52" s="267">
        <f>Calculos_M!$AH$1</f>
        <v>8.3191193181818196E-2</v>
      </c>
      <c r="AZ52" s="267">
        <f t="shared" si="22"/>
        <v>-8.3191193181818196E-2</v>
      </c>
      <c r="BA52" s="35">
        <f>IF(ISNUMBER('Courier_M.'!U33),'Courier_M.'!U33,0)</f>
        <v>55.468986511230469</v>
      </c>
      <c r="BB52" s="36">
        <f>IF(ISNUMBER(Laboratorio_M!U31),Laboratorio_M!U31,"")</f>
        <v>55.353000000000002</v>
      </c>
      <c r="BC52" s="36">
        <f t="shared" si="23"/>
        <v>-0.11598651123046722</v>
      </c>
      <c r="BD52" s="267">
        <f t="shared" si="24"/>
        <v>0.11598651123046722</v>
      </c>
      <c r="BE52" s="161">
        <f t="shared" si="41"/>
        <v>0.20953970196821708</v>
      </c>
      <c r="BF52" s="267">
        <f>Calculos_M!$AI$1</f>
        <v>1.4830847050619838</v>
      </c>
      <c r="BG52" s="267">
        <f t="shared" si="25"/>
        <v>-1.4830847050619838</v>
      </c>
      <c r="BH52" s="35">
        <f>IF(ISNUMBER('Courier_M.'!W33),'Courier_M.'!W33,"")</f>
        <v>0.80846917629241943</v>
      </c>
      <c r="BI52" s="36">
        <f>IF(ISNUMBER(Laboratorio_M!W31),Laboratorio_M!W31,"")</f>
        <v>2.1579999999999999</v>
      </c>
      <c r="BJ52" s="36">
        <f t="shared" si="26"/>
        <v>1.3495308237075805</v>
      </c>
      <c r="BK52" s="267">
        <f t="shared" si="27"/>
        <v>1.3495308237075805</v>
      </c>
      <c r="BL52" s="161">
        <f t="shared" si="28"/>
        <v>62.536182748266015</v>
      </c>
      <c r="BM52" s="36"/>
      <c r="BN52" s="161"/>
      <c r="BO52" s="35">
        <f>IF(ISNUMBER('Courier_M.'!Y33),'Courier_M.'!Y33,"")</f>
        <v>3.0692315743954315</v>
      </c>
      <c r="BP52" s="36">
        <f>IF(ISNUMBER(Laboratorio_M!Y31),Laboratorio_M!Y31,"")</f>
        <v>2.0099999999999998</v>
      </c>
      <c r="BQ52" s="36">
        <f t="shared" si="29"/>
        <v>-1.0592315743954317</v>
      </c>
      <c r="BR52" s="267">
        <f t="shared" si="30"/>
        <v>1.0592315743954317</v>
      </c>
      <c r="BS52" s="161">
        <f t="shared" si="31"/>
        <v>52.698088278379693</v>
      </c>
      <c r="BT52" s="36"/>
      <c r="BU52" s="161"/>
    </row>
    <row r="53" spans="1:73" ht="15" x14ac:dyDescent="0.2">
      <c r="C53" s="38" t="str">
        <f>DAY(B52) &amp; "-" &amp; MONTH(B52) &amp;"-" &amp; YEAR(B52)</f>
        <v>7-9-2026</v>
      </c>
      <c r="D53" s="35">
        <f>IF(ISNUMBER('Courier_M.'!F33),'Courier_M.'!F33,"")</f>
        <v>23.4122314453125</v>
      </c>
      <c r="E53" s="36">
        <f>IF(ISNUMBER(Laboratorio_M!F31),Laboratorio_M!F31,"")</f>
        <v>26.663</v>
      </c>
      <c r="F53" s="36">
        <f t="shared" si="6"/>
        <v>3.2507685546875003</v>
      </c>
      <c r="G53" s="267">
        <f t="shared" si="7"/>
        <v>3.2507685546875003</v>
      </c>
      <c r="H53" s="161">
        <f t="shared" si="36"/>
        <v>12.192058488120242</v>
      </c>
      <c r="I53" s="267">
        <f>Calculos_M!$I$1</f>
        <v>2.2302216249999991</v>
      </c>
      <c r="J53" s="267">
        <f t="shared" si="32"/>
        <v>-2.2302216249999991</v>
      </c>
      <c r="K53" s="35">
        <f>IF(ISNUMBER('Courier_M.'!H33),'Courier_M.'!H33,"")</f>
        <v>1.9882111549377441</v>
      </c>
      <c r="L53" s="36">
        <f>IF(ISNUMBER(Laboratorio_M!H31),Laboratorio_M!H31,"")</f>
        <v>1.901</v>
      </c>
      <c r="M53" s="36">
        <f t="shared" si="8"/>
        <v>-8.7211154937744118E-2</v>
      </c>
      <c r="N53" s="267">
        <f t="shared" si="9"/>
        <v>8.7211154937744118E-2</v>
      </c>
      <c r="O53" s="161">
        <f t="shared" si="37"/>
        <v>4.5876462355467709</v>
      </c>
      <c r="P53" s="267">
        <f>Calculos_M!$J$1</f>
        <v>0.382682625</v>
      </c>
      <c r="Q53" s="267">
        <f t="shared" si="33"/>
        <v>-0.382682625</v>
      </c>
      <c r="R53" s="35">
        <f>IF(ISNUMBER('Courier_M.'!J33),'Courier_M.'!J33,"")</f>
        <v>26.656661987304688</v>
      </c>
      <c r="S53" s="36">
        <f>IF(ISNUMBER(Laboratorio_M!J31),Laboratorio_M!J31,"")</f>
        <v>27.66</v>
      </c>
      <c r="T53" s="36">
        <f t="shared" si="10"/>
        <v>1.0033380126953126</v>
      </c>
      <c r="U53" s="267">
        <f t="shared" si="11"/>
        <v>1.0033380126953126</v>
      </c>
      <c r="V53" s="161">
        <f t="shared" si="12"/>
        <v>3.6273970090213763</v>
      </c>
      <c r="W53" s="267"/>
      <c r="X53" s="267"/>
      <c r="Y53" s="35">
        <f>IF(ISNUMBER('Courier_M.'!L33),'Courier_M.'!L33,"")</f>
        <v>26.986896514892578</v>
      </c>
      <c r="Z53" s="36">
        <f>IF(ISNUMBER(Laboratorio_M!L31),Laboratorio_M!L31,"")</f>
        <v>26.465</v>
      </c>
      <c r="AA53" s="36">
        <f t="shared" si="13"/>
        <v>-0.52189651489257827</v>
      </c>
      <c r="AB53" s="267">
        <f t="shared" si="14"/>
        <v>0.52189651489257827</v>
      </c>
      <c r="AC53" s="161">
        <f t="shared" si="38"/>
        <v>1.9720253727284272</v>
      </c>
      <c r="AD53" s="267">
        <f>Calculos_M!$U$1</f>
        <v>1.0662891477272729</v>
      </c>
      <c r="AE53" s="267">
        <f t="shared" si="34"/>
        <v>-1.0662891477272729</v>
      </c>
      <c r="AF53" s="35">
        <f>IF(ISNUMBER('Courier_M.'!N33),'Courier_M.'!N33,"")</f>
        <v>6.6281162202358246E-2</v>
      </c>
      <c r="AG53" s="36">
        <f>IF(ISNUMBER(Laboratorio_M!N31),Laboratorio_M!N31,"")</f>
        <v>5.8999999999999997E-2</v>
      </c>
      <c r="AH53" s="36">
        <f t="shared" si="15"/>
        <v>-7.281162202358249E-3</v>
      </c>
      <c r="AI53" s="267">
        <f t="shared" si="16"/>
        <v>7.281162202358249E-3</v>
      </c>
      <c r="AJ53" s="161">
        <f t="shared" si="39"/>
        <v>12.340952885352966</v>
      </c>
      <c r="AK53" s="267">
        <f>Calculos_M!$V$1</f>
        <v>3.2516250000000003E-2</v>
      </c>
      <c r="AL53" s="267">
        <f t="shared" si="35"/>
        <v>-3.2516250000000003E-2</v>
      </c>
      <c r="AM53" s="35">
        <f>IF(ISNUMBER('Courier_M.'!P33),'Courier_M.'!P33,"")</f>
        <v>30.284336090087891</v>
      </c>
      <c r="AN53" s="36">
        <f>IF(ISNUMBER(Laboratorio_M!P31),Laboratorio_M!P31,"")</f>
        <v>28.96</v>
      </c>
      <c r="AO53" s="36">
        <f t="shared" si="17"/>
        <v>-1.3243360900878898</v>
      </c>
      <c r="AP53" s="267">
        <f t="shared" si="18"/>
        <v>1.3243360900878898</v>
      </c>
      <c r="AQ53" s="161">
        <f t="shared" si="19"/>
        <v>4.5729837364913317</v>
      </c>
      <c r="AR53" s="267"/>
      <c r="AS53" s="267"/>
      <c r="AT53" s="35">
        <f>IF(ISNUMBER('Courier_M.'!T33),'Courier_M.'!T33,0)</f>
        <v>0.61430835723876953</v>
      </c>
      <c r="AU53" s="36">
        <f>IF(ISNUMBER(Laboratorio_M!T31),Laboratorio_M!T31,"")</f>
        <v>0.48499999999999999</v>
      </c>
      <c r="AV53" s="36">
        <f t="shared" si="20"/>
        <v>-0.12930835723876954</v>
      </c>
      <c r="AW53" s="267">
        <f t="shared" si="21"/>
        <v>0.12930835723876954</v>
      </c>
      <c r="AX53" s="161">
        <f t="shared" si="40"/>
        <v>26.661516956447329</v>
      </c>
      <c r="AY53" s="267">
        <f>Calculos_M!$AH$1</f>
        <v>8.3191193181818196E-2</v>
      </c>
      <c r="AZ53" s="267">
        <f t="shared" si="22"/>
        <v>-8.3191193181818196E-2</v>
      </c>
      <c r="BA53" s="35">
        <f>IF(ISNUMBER('Courier_M.'!V33),'Courier_M.'!V33,0)</f>
        <v>55.944484710693359</v>
      </c>
      <c r="BB53" s="36">
        <f>IF(ISNUMBER(Laboratorio_M!V31),Laboratorio_M!V31,"")</f>
        <v>57.158999999999999</v>
      </c>
      <c r="BC53" s="36">
        <f t="shared" si="23"/>
        <v>1.2145152893066395</v>
      </c>
      <c r="BD53" s="267">
        <f t="shared" si="24"/>
        <v>1.2145152893066395</v>
      </c>
      <c r="BE53" s="161">
        <f t="shared" si="41"/>
        <v>2.1248014998629081</v>
      </c>
      <c r="BF53" s="267">
        <f>Calculos_M!$AI$1</f>
        <v>1.4830847050619838</v>
      </c>
      <c r="BG53" s="267">
        <f t="shared" si="25"/>
        <v>-1.4830847050619838</v>
      </c>
      <c r="BH53" s="35">
        <f>IF(ISNUMBER('Courier_M.'!X33),'Courier_M.'!X33,"")</f>
        <v>0.77429276704788208</v>
      </c>
      <c r="BI53" s="36">
        <f>IF(ISNUMBER(Laboratorio_M!X31),Laboratorio_M!X31,"")</f>
        <v>0.68799999999999994</v>
      </c>
      <c r="BJ53" s="36">
        <f t="shared" si="26"/>
        <v>-8.6292767047882135E-2</v>
      </c>
      <c r="BK53" s="267">
        <f t="shared" si="27"/>
        <v>8.6292767047882135E-2</v>
      </c>
      <c r="BL53" s="161">
        <f t="shared" si="28"/>
        <v>12.542553349982869</v>
      </c>
      <c r="BM53" s="36"/>
      <c r="BN53" s="161"/>
      <c r="BO53" s="35">
        <f>IF(ISNUMBER('Courier_M.'!Z33),'Courier_M.'!Z33,"")</f>
        <v>3.4311011947657946</v>
      </c>
      <c r="BP53" s="36">
        <f>IF(ISNUMBER(Laboratorio_M!Z31),Laboratorio_M!Z31,"")</f>
        <v>2.4</v>
      </c>
      <c r="BQ53" s="36">
        <f t="shared" si="29"/>
        <v>-1.0311011947657946</v>
      </c>
      <c r="BR53" s="267">
        <f t="shared" si="30"/>
        <v>1.0311011947657946</v>
      </c>
      <c r="BS53" s="161">
        <f t="shared" si="31"/>
        <v>42.962549781908109</v>
      </c>
      <c r="BT53" s="36"/>
      <c r="BU53" s="161"/>
    </row>
    <row r="54" spans="1:73" ht="15" x14ac:dyDescent="0.2">
      <c r="A54">
        <f>+A52+1</f>
        <v>26</v>
      </c>
      <c r="B54" s="7">
        <f>+B52+1</f>
        <v>46273</v>
      </c>
      <c r="C54" s="7" t="str">
        <f>DAY(B54) &amp; "-" &amp; MONTH(B54) &amp;"-" &amp; YEAR(B54)</f>
        <v>8-9-2026</v>
      </c>
      <c r="D54" s="35">
        <f>IF(ISNUMBER('Courier_M.'!E34),'Courier_M.'!E34,"")</f>
        <v>23.4122314453125</v>
      </c>
      <c r="E54" s="36">
        <f>IF(ISNUMBER(Laboratorio_M!E32),Laboratorio_M!E32,"")</f>
        <v>23.122</v>
      </c>
      <c r="F54" s="36">
        <f t="shared" si="6"/>
        <v>-0.29023144531250011</v>
      </c>
      <c r="G54" s="267">
        <f t="shared" si="7"/>
        <v>0.29023144531250011</v>
      </c>
      <c r="H54" s="161">
        <f t="shared" si="36"/>
        <v>1.2552177377065137</v>
      </c>
      <c r="I54" s="267">
        <f>Calculos_M!$I$1</f>
        <v>2.2302216249999991</v>
      </c>
      <c r="J54" s="267">
        <f t="shared" si="32"/>
        <v>-2.2302216249999991</v>
      </c>
      <c r="K54" s="35">
        <f>IF(ISNUMBER('Courier_M.'!G34),'Courier_M.'!G34,"")</f>
        <v>1.9882111549377441</v>
      </c>
      <c r="L54" s="36">
        <f>IF(ISNUMBER(Laboratorio_M!G32),Laboratorio_M!G32,"")</f>
        <v>3.302</v>
      </c>
      <c r="M54" s="36">
        <f t="shared" si="8"/>
        <v>1.3137888450622559</v>
      </c>
      <c r="N54" s="267">
        <f t="shared" si="9"/>
        <v>1.3137888450622559</v>
      </c>
      <c r="O54" s="161">
        <f t="shared" si="37"/>
        <v>39.787669444647364</v>
      </c>
      <c r="P54" s="267">
        <f>Calculos_M!$J$1</f>
        <v>0.382682625</v>
      </c>
      <c r="Q54" s="267">
        <f t="shared" si="33"/>
        <v>-0.382682625</v>
      </c>
      <c r="R54" s="35">
        <f>IF(ISNUMBER('Courier_M.'!I34),'Courier_M.'!I34,"")</f>
        <v>26.656661987304688</v>
      </c>
      <c r="S54" s="36">
        <f>IF(ISNUMBER(Laboratorio_M!I32),Laboratorio_M!I32,"")</f>
        <v>26.32</v>
      </c>
      <c r="T54" s="36">
        <f t="shared" si="10"/>
        <v>-0.33666198730468722</v>
      </c>
      <c r="U54" s="267">
        <f t="shared" si="11"/>
        <v>0.33666198730468722</v>
      </c>
      <c r="V54" s="161">
        <f t="shared" si="12"/>
        <v>1.2791108940147691</v>
      </c>
      <c r="W54" s="267"/>
      <c r="X54" s="267"/>
      <c r="Y54" s="35">
        <f>IF(ISNUMBER('Courier_M.'!K34),'Courier_M.'!K34,"")</f>
        <v>25.830345153808594</v>
      </c>
      <c r="Z54" s="36">
        <f>IF(ISNUMBER(Laboratorio_M!K32),Laboratorio_M!K32,"")</f>
        <v>23.571999999999999</v>
      </c>
      <c r="AA54" s="36">
        <f t="shared" si="13"/>
        <v>-2.2583451538085946</v>
      </c>
      <c r="AB54" s="267">
        <f t="shared" si="14"/>
        <v>2.2583451538085946</v>
      </c>
      <c r="AC54" s="161">
        <f t="shared" si="38"/>
        <v>9.5806259706795966</v>
      </c>
      <c r="AD54" s="267">
        <f>Calculos_M!$U$1</f>
        <v>1.0662891477272729</v>
      </c>
      <c r="AE54" s="267">
        <f t="shared" si="34"/>
        <v>-1.0662891477272729</v>
      </c>
      <c r="AF54" s="35">
        <f>IF(ISNUMBER('Courier_M.'!M34),'Courier_M.'!M34,"")</f>
        <v>0.10891502350568771</v>
      </c>
      <c r="AG54" s="36">
        <f>IF(ISNUMBER(Laboratorio_M!M32),Laboratorio_M!M32,"")</f>
        <v>9.9000000000000005E-2</v>
      </c>
      <c r="AH54" s="36">
        <f t="shared" si="15"/>
        <v>-9.915023505687709E-3</v>
      </c>
      <c r="AI54" s="267">
        <f t="shared" si="16"/>
        <v>9.915023505687709E-3</v>
      </c>
      <c r="AJ54" s="161">
        <f t="shared" si="39"/>
        <v>10.015175258270412</v>
      </c>
      <c r="AK54" s="267">
        <f>Calculos_M!$V$1</f>
        <v>3.2516250000000003E-2</v>
      </c>
      <c r="AL54" s="267">
        <f t="shared" si="35"/>
        <v>-3.2516250000000003E-2</v>
      </c>
      <c r="AM54" s="35">
        <f>IF(ISNUMBER('Courier_M.'!O34),'Courier_M.'!O34,"")</f>
        <v>30.050273895263672</v>
      </c>
      <c r="AN54" s="36">
        <f>IF(ISNUMBER(Laboratorio_M!O32),Laboratorio_M!O32,"")</f>
        <v>28.31</v>
      </c>
      <c r="AO54" s="36">
        <f t="shared" si="17"/>
        <v>-1.7402738952636732</v>
      </c>
      <c r="AP54" s="267">
        <f t="shared" si="18"/>
        <v>1.7402738952636732</v>
      </c>
      <c r="AQ54" s="161">
        <f t="shared" si="19"/>
        <v>6.1472055643365362</v>
      </c>
      <c r="AR54" s="267"/>
      <c r="AS54" s="267"/>
      <c r="AT54" s="35">
        <f>IF(ISNUMBER('Courier_M.'!S34),'Courier_M.'!S34,0)</f>
        <v>0.64969217777252197</v>
      </c>
      <c r="AU54" s="36">
        <f>IF(ISNUMBER(Laboratorio_M!S32),Laboratorio_M!S32,"")</f>
        <v>0.54800000000000004</v>
      </c>
      <c r="AV54" s="36">
        <f t="shared" si="20"/>
        <v>-0.10169217777252193</v>
      </c>
      <c r="AW54" s="267">
        <f t="shared" si="21"/>
        <v>0.10169217777252193</v>
      </c>
      <c r="AX54" s="161">
        <f t="shared" si="40"/>
        <v>18.55696674681057</v>
      </c>
      <c r="AY54" s="267">
        <f>Calculos_M!$AH$1</f>
        <v>8.3191193181818196E-2</v>
      </c>
      <c r="AZ54" s="267">
        <f t="shared" si="22"/>
        <v>-8.3191193181818196E-2</v>
      </c>
      <c r="BA54" s="35">
        <f>IF(ISNUMBER('Courier_M.'!U34),'Courier_M.'!U34,0)</f>
        <v>55.621616363525391</v>
      </c>
      <c r="BB54" s="36">
        <f>IF(ISNUMBER(Laboratorio_M!U32),Laboratorio_M!U32,"")</f>
        <v>57.23</v>
      </c>
      <c r="BC54" s="36">
        <f t="shared" si="23"/>
        <v>1.6083836364746062</v>
      </c>
      <c r="BD54" s="267">
        <f t="shared" si="24"/>
        <v>1.6083836364746062</v>
      </c>
      <c r="BE54" s="161">
        <f t="shared" si="41"/>
        <v>2.8103855259035582</v>
      </c>
      <c r="BF54" s="267">
        <f>Calculos_M!$AI$1</f>
        <v>1.4830847050619838</v>
      </c>
      <c r="BG54" s="267">
        <f t="shared" si="25"/>
        <v>-1.4830847050619838</v>
      </c>
      <c r="BH54" s="35">
        <f>IF(ISNUMBER('Courier_M.'!W34),'Courier_M.'!W34,"")</f>
        <v>0.87993007898330688</v>
      </c>
      <c r="BI54" s="36">
        <f>IF(ISNUMBER(Laboratorio_M!W32),Laboratorio_M!W32,"")</f>
        <v>0.93100000000000005</v>
      </c>
      <c r="BJ54" s="36">
        <f t="shared" si="26"/>
        <v>5.1069921016693165E-2</v>
      </c>
      <c r="BK54" s="267">
        <f t="shared" si="27"/>
        <v>5.1069921016693165E-2</v>
      </c>
      <c r="BL54" s="161">
        <f t="shared" si="28"/>
        <v>5.4854909792366451</v>
      </c>
      <c r="BM54" s="36"/>
      <c r="BN54" s="161"/>
      <c r="BO54" s="35">
        <f>IF(ISNUMBER('Courier_M.'!Y34),'Courier_M.'!Y34,"")</f>
        <v>3.3156544118404261</v>
      </c>
      <c r="BP54" s="36">
        <f>IF(ISNUMBER(Laboratorio_M!Y32),Laboratorio_M!Y32,"")</f>
        <v>1.68</v>
      </c>
      <c r="BQ54" s="36">
        <f t="shared" si="29"/>
        <v>-1.6356544118404261</v>
      </c>
      <c r="BR54" s="267">
        <f t="shared" si="30"/>
        <v>1.6356544118404261</v>
      </c>
      <c r="BS54" s="161">
        <f t="shared" si="31"/>
        <v>97.360381657168233</v>
      </c>
      <c r="BT54" s="36"/>
      <c r="BU54" s="161"/>
    </row>
    <row r="55" spans="1:73" ht="15" x14ac:dyDescent="0.2">
      <c r="C55" s="38" t="str">
        <f>DAY(B54) &amp; "-" &amp; MONTH(B54) &amp;"-" &amp; YEAR(B54)</f>
        <v>8-9-2026</v>
      </c>
      <c r="D55" s="35">
        <f>IF(ISNUMBER('Courier_M.'!F34),'Courier_M.'!F34,"")</f>
        <v>25.597373962402344</v>
      </c>
      <c r="E55" s="36">
        <f>IF(ISNUMBER(Laboratorio_M!F32),Laboratorio_M!F32,"")</f>
        <v>25.068000000000001</v>
      </c>
      <c r="F55" s="36">
        <f t="shared" si="6"/>
        <v>-0.52937396240234236</v>
      </c>
      <c r="G55" s="267">
        <f t="shared" si="7"/>
        <v>0.52937396240234236</v>
      </c>
      <c r="H55" s="161">
        <f t="shared" si="36"/>
        <v>2.1117518844835743</v>
      </c>
      <c r="I55" s="267">
        <f>Calculos_M!$I$1</f>
        <v>2.2302216249999991</v>
      </c>
      <c r="J55" s="267">
        <f t="shared" si="32"/>
        <v>-2.2302216249999991</v>
      </c>
      <c r="K55" s="35">
        <f>IF(ISNUMBER('Courier_M.'!H34),'Courier_M.'!H34,"")</f>
        <v>2.427558422088623</v>
      </c>
      <c r="L55" s="36">
        <f>IF(ISNUMBER(Laboratorio_M!H32),Laboratorio_M!H32,"")</f>
        <v>3.0830000000000002</v>
      </c>
      <c r="M55" s="36">
        <f t="shared" si="8"/>
        <v>0.65544157791137714</v>
      </c>
      <c r="N55" s="267">
        <f t="shared" si="9"/>
        <v>0.65544157791137714</v>
      </c>
      <c r="O55" s="161">
        <f t="shared" si="37"/>
        <v>21.259863052590887</v>
      </c>
      <c r="P55" s="267">
        <f>Calculos_M!$J$1</f>
        <v>0.382682625</v>
      </c>
      <c r="Q55" s="267">
        <f t="shared" si="33"/>
        <v>-0.382682625</v>
      </c>
      <c r="R55" s="35">
        <f>IF(ISNUMBER('Courier_M.'!J34),'Courier_M.'!J34,"")</f>
        <v>28.693515777587891</v>
      </c>
      <c r="S55" s="36">
        <f>IF(ISNUMBER(Laboratorio_M!J32),Laboratorio_M!J32,"")</f>
        <v>25.8</v>
      </c>
      <c r="T55" s="36">
        <f t="shared" si="10"/>
        <v>-2.8935157775878899</v>
      </c>
      <c r="U55" s="267">
        <f t="shared" si="11"/>
        <v>2.8935157775878899</v>
      </c>
      <c r="V55" s="161">
        <f t="shared" si="12"/>
        <v>11.215177432511201</v>
      </c>
      <c r="W55" s="267"/>
      <c r="X55" s="267"/>
      <c r="Y55" s="35">
        <f>IF(ISNUMBER('Courier_M.'!L34),'Courier_M.'!L34,"")</f>
        <v>25.62885856628418</v>
      </c>
      <c r="Z55" s="36">
        <f>IF(ISNUMBER(Laboratorio_M!L32),Laboratorio_M!L32,"")</f>
        <v>25.97</v>
      </c>
      <c r="AA55" s="36">
        <f t="shared" si="13"/>
        <v>0.34114143371581918</v>
      </c>
      <c r="AB55" s="267">
        <f t="shared" si="14"/>
        <v>0.34114143371581918</v>
      </c>
      <c r="AC55" s="161">
        <f t="shared" si="38"/>
        <v>1.313598127515669</v>
      </c>
      <c r="AD55" s="267">
        <f>Calculos_M!$U$1</f>
        <v>1.0662891477272729</v>
      </c>
      <c r="AE55" s="267">
        <f t="shared" si="34"/>
        <v>-1.0662891477272729</v>
      </c>
      <c r="AF55" s="35">
        <f>IF(ISNUMBER('Courier_M.'!N34),'Courier_M.'!N34,"")</f>
        <v>9.5075011253356934E-2</v>
      </c>
      <c r="AG55" s="36">
        <f>IF(ISNUMBER(Laboratorio_M!N32),Laboratorio_M!N32,"")</f>
        <v>0.106</v>
      </c>
      <c r="AH55" s="36">
        <f t="shared" si="15"/>
        <v>1.0924988746643063E-2</v>
      </c>
      <c r="AI55" s="267">
        <f t="shared" si="16"/>
        <v>1.0924988746643063E-2</v>
      </c>
      <c r="AJ55" s="161">
        <f t="shared" si="39"/>
        <v>10.306593157210438</v>
      </c>
      <c r="AK55" s="267">
        <f>Calculos_M!$V$1</f>
        <v>3.2516250000000003E-2</v>
      </c>
      <c r="AL55" s="267">
        <f t="shared" si="35"/>
        <v>-3.2516250000000003E-2</v>
      </c>
      <c r="AM55" s="35">
        <f>IF(ISNUMBER('Courier_M.'!P34),'Courier_M.'!P34,"")</f>
        <v>29.321147918701172</v>
      </c>
      <c r="AN55" s="36">
        <f>IF(ISNUMBER(Laboratorio_M!P32),Laboratorio_M!P32,"")</f>
        <v>27.45</v>
      </c>
      <c r="AO55" s="36">
        <f t="shared" si="17"/>
        <v>-1.8711479187011726</v>
      </c>
      <c r="AP55" s="267">
        <f t="shared" si="18"/>
        <v>1.8711479187011726</v>
      </c>
      <c r="AQ55" s="161">
        <f t="shared" si="19"/>
        <v>6.8165680098403376</v>
      </c>
      <c r="AR55" s="267"/>
      <c r="AS55" s="267"/>
      <c r="AT55" s="35">
        <f>IF(ISNUMBER('Courier_M.'!T34),'Courier_M.'!T34,0)</f>
        <v>0.70881867408752441</v>
      </c>
      <c r="AU55" s="36">
        <f>IF(ISNUMBER(Laboratorio_M!T32),Laboratorio_M!T32,"")</f>
        <v>0.66200000000000003</v>
      </c>
      <c r="AV55" s="36">
        <f t="shared" si="20"/>
        <v>-4.6818674087524381E-2</v>
      </c>
      <c r="AW55" s="267">
        <f t="shared" si="21"/>
        <v>4.6818674087524381E-2</v>
      </c>
      <c r="AX55" s="161">
        <f t="shared" si="40"/>
        <v>7.0723072639764917</v>
      </c>
      <c r="AY55" s="267">
        <f>Calculos_M!$AH$1</f>
        <v>8.3191193181818196E-2</v>
      </c>
      <c r="AZ55" s="267">
        <f t="shared" si="22"/>
        <v>-8.3191193181818196E-2</v>
      </c>
      <c r="BA55" s="35">
        <f>IF(ISNUMBER('Courier_M.'!V34),'Courier_M.'!V34,0)</f>
        <v>56.462387084960938</v>
      </c>
      <c r="BB55" s="36">
        <f>IF(ISNUMBER(Laboratorio_M!V32),Laboratorio_M!V32,"")</f>
        <v>56.963999999999999</v>
      </c>
      <c r="BC55" s="36">
        <f t="shared" si="23"/>
        <v>0.50161291503906114</v>
      </c>
      <c r="BD55" s="267">
        <f t="shared" si="24"/>
        <v>0.50161291503906114</v>
      </c>
      <c r="BE55" s="161">
        <f t="shared" si="41"/>
        <v>0.88057881300305663</v>
      </c>
      <c r="BF55" s="267">
        <f>Calculos_M!$AI$1</f>
        <v>1.4830847050619838</v>
      </c>
      <c r="BG55" s="267">
        <f t="shared" si="25"/>
        <v>-1.4830847050619838</v>
      </c>
      <c r="BH55" s="35">
        <f>IF(ISNUMBER('Courier_M.'!X34),'Courier_M.'!X34,"")</f>
        <v>0.91401469707489014</v>
      </c>
      <c r="BI55" s="36">
        <f>IF(ISNUMBER(Laboratorio_M!X32),Laboratorio_M!X32,"")</f>
        <v>0.96899999999999997</v>
      </c>
      <c r="BJ55" s="36">
        <f t="shared" si="26"/>
        <v>5.4985302925109836E-2</v>
      </c>
      <c r="BK55" s="267">
        <f t="shared" si="27"/>
        <v>5.4985302925109836E-2</v>
      </c>
      <c r="BL55" s="161">
        <f t="shared" si="28"/>
        <v>5.6744378663684047</v>
      </c>
      <c r="BM55" s="36"/>
      <c r="BN55" s="161"/>
      <c r="BO55" s="35" t="str">
        <f>IF(ISNUMBER('Courier_M.'!Z34),'Courier_M.'!Z34,"")</f>
        <v/>
      </c>
      <c r="BP55" s="36">
        <f>IF(ISNUMBER(Laboratorio_M!Z32),Laboratorio_M!Z32,"")</f>
        <v>1.9</v>
      </c>
      <c r="BQ55" s="36" t="str">
        <f t="shared" si="29"/>
        <v xml:space="preserve"> </v>
      </c>
      <c r="BR55" s="267" t="str">
        <f t="shared" si="30"/>
        <v xml:space="preserve"> </v>
      </c>
      <c r="BS55" s="161" t="str">
        <f t="shared" si="31"/>
        <v xml:space="preserve"> </v>
      </c>
      <c r="BT55" s="36"/>
      <c r="BU55" s="161"/>
    </row>
    <row r="56" spans="1:73" ht="15" x14ac:dyDescent="0.2">
      <c r="A56">
        <f>+A54+1</f>
        <v>27</v>
      </c>
      <c r="B56" s="7">
        <f>+B54+1</f>
        <v>46274</v>
      </c>
      <c r="C56" s="7" t="str">
        <f>DAY(B56) &amp; "-" &amp; MONTH(B56) &amp;"-" &amp; YEAR(B56)</f>
        <v>9-9-2026</v>
      </c>
      <c r="D56" s="35">
        <f>IF(ISNUMBER('Courier_M.'!E35),'Courier_M.'!E35,"")</f>
        <v>23.623220443725586</v>
      </c>
      <c r="E56" s="36">
        <f>IF(ISNUMBER(Laboratorio_M!E33),Laboratorio_M!E33,"")</f>
        <v>25.128</v>
      </c>
      <c r="F56" s="36">
        <f t="shared" si="6"/>
        <v>1.5047795562744142</v>
      </c>
      <c r="G56" s="267">
        <f t="shared" si="7"/>
        <v>1.5047795562744142</v>
      </c>
      <c r="H56" s="161">
        <f t="shared" si="36"/>
        <v>5.9884573236008203</v>
      </c>
      <c r="I56" s="267">
        <f>Calculos_M!$I$1</f>
        <v>2.2302216249999991</v>
      </c>
      <c r="J56" s="267">
        <f t="shared" si="32"/>
        <v>-2.2302216249999991</v>
      </c>
      <c r="K56" s="35">
        <f>IF(ISNUMBER('Courier_M.'!G35),'Courier_M.'!G35,"")</f>
        <v>2.2709739208221436</v>
      </c>
      <c r="L56" s="36">
        <f>IF(ISNUMBER(Laboratorio_M!G33),Laboratorio_M!G33,"")</f>
        <v>3.9340000000000002</v>
      </c>
      <c r="M56" s="36">
        <f t="shared" si="8"/>
        <v>1.6630260791778566</v>
      </c>
      <c r="N56" s="267">
        <f t="shared" si="9"/>
        <v>1.6630260791778566</v>
      </c>
      <c r="O56" s="161">
        <f t="shared" si="37"/>
        <v>42.273159104673525</v>
      </c>
      <c r="P56" s="267">
        <f>Calculos_M!$J$1</f>
        <v>0.382682625</v>
      </c>
      <c r="Q56" s="267">
        <f t="shared" si="33"/>
        <v>-0.382682625</v>
      </c>
      <c r="R56" s="35">
        <f>IF(ISNUMBER('Courier_M.'!I35),'Courier_M.'!I35,"")</f>
        <v>25.452836990356445</v>
      </c>
      <c r="S56" s="36">
        <f>IF(ISNUMBER(Laboratorio_M!I33),Laboratorio_M!I33,"")</f>
        <v>27.26</v>
      </c>
      <c r="T56" s="36">
        <f t="shared" si="10"/>
        <v>1.8071630096435563</v>
      </c>
      <c r="U56" s="267">
        <f t="shared" si="11"/>
        <v>1.8071630096435563</v>
      </c>
      <c r="V56" s="161">
        <f t="shared" si="12"/>
        <v>6.6293580691252973</v>
      </c>
      <c r="W56" s="267"/>
      <c r="X56" s="267"/>
      <c r="Y56" s="35">
        <f>IF(ISNUMBER('Courier_M.'!K35),'Courier_M.'!K35,"")</f>
        <v>25.941305160522461</v>
      </c>
      <c r="Z56" s="36">
        <f>IF(ISNUMBER(Laboratorio_M!K33),Laboratorio_M!K33,"")</f>
        <v>25.227</v>
      </c>
      <c r="AA56" s="36">
        <f t="shared" si="13"/>
        <v>-0.71430516052246062</v>
      </c>
      <c r="AB56" s="267">
        <f t="shared" si="14"/>
        <v>0.71430516052246062</v>
      </c>
      <c r="AC56" s="161">
        <f t="shared" si="38"/>
        <v>2.8315105265091391</v>
      </c>
      <c r="AD56" s="267">
        <f>Calculos_M!$U$1</f>
        <v>1.0662891477272729</v>
      </c>
      <c r="AE56" s="267">
        <f t="shared" si="34"/>
        <v>-1.0662891477272729</v>
      </c>
      <c r="AF56" s="35">
        <f>IF(ISNUMBER('Courier_M.'!M35),'Courier_M.'!M35,"")</f>
        <v>0.10948605090379715</v>
      </c>
      <c r="AG56" s="36">
        <f>IF(ISNUMBER(Laboratorio_M!M33),Laboratorio_M!M33,"")</f>
        <v>7.2999999999999995E-2</v>
      </c>
      <c r="AH56" s="36">
        <f t="shared" si="15"/>
        <v>-3.6486050903797154E-2</v>
      </c>
      <c r="AI56" s="267">
        <f t="shared" si="16"/>
        <v>3.6486050903797154E-2</v>
      </c>
      <c r="AJ56" s="161">
        <f t="shared" si="39"/>
        <v>49.980891649037204</v>
      </c>
      <c r="AK56" s="267">
        <f>Calculos_M!$V$1</f>
        <v>3.2516250000000003E-2</v>
      </c>
      <c r="AL56" s="267">
        <f t="shared" si="35"/>
        <v>-3.2516250000000003E-2</v>
      </c>
      <c r="AM56" s="35">
        <f>IF(ISNUMBER('Courier_M.'!O35),'Courier_M.'!O35,"")</f>
        <v>29.290821075439453</v>
      </c>
      <c r="AN56" s="36">
        <f>IF(ISNUMBER(Laboratorio_M!O33),Laboratorio_M!O33,"")</f>
        <v>28.8</v>
      </c>
      <c r="AO56" s="36">
        <f t="shared" si="17"/>
        <v>-0.49082107543945241</v>
      </c>
      <c r="AP56" s="267">
        <f t="shared" si="18"/>
        <v>0.49082107543945241</v>
      </c>
      <c r="AQ56" s="161">
        <f t="shared" si="19"/>
        <v>1.7042398452758765</v>
      </c>
      <c r="AR56" s="267"/>
      <c r="AS56" s="267"/>
      <c r="AT56" s="35">
        <f>IF(ISNUMBER('Courier_M.'!S35),'Courier_M.'!S35,0)</f>
        <v>0.90763550996780396</v>
      </c>
      <c r="AU56" s="36">
        <f>IF(ISNUMBER(Laboratorio_M!S33),Laboratorio_M!S33,"")</f>
        <v>0.73699999999999999</v>
      </c>
      <c r="AV56" s="36">
        <f t="shared" si="20"/>
        <v>-0.17063550996780397</v>
      </c>
      <c r="AW56" s="267">
        <f t="shared" si="21"/>
        <v>0.17063550996780397</v>
      </c>
      <c r="AX56" s="161">
        <f t="shared" si="40"/>
        <v>23.152715056689818</v>
      </c>
      <c r="AY56" s="267">
        <f>Calculos_M!$AH$1</f>
        <v>8.3191193181818196E-2</v>
      </c>
      <c r="AZ56" s="267">
        <f t="shared" si="22"/>
        <v>-8.3191193181818196E-2</v>
      </c>
      <c r="BA56" s="35">
        <f>IF(ISNUMBER('Courier_M.'!U35),'Courier_M.'!U35,0)</f>
        <v>56.375556945800781</v>
      </c>
      <c r="BB56" s="36">
        <f>IF(ISNUMBER(Laboratorio_M!U33),Laboratorio_M!U33,"")</f>
        <v>55.98</v>
      </c>
      <c r="BC56" s="36">
        <f t="shared" si="23"/>
        <v>-0.39555694580078438</v>
      </c>
      <c r="BD56" s="267">
        <f t="shared" si="24"/>
        <v>0.39555694580078438</v>
      </c>
      <c r="BE56" s="161">
        <f t="shared" si="41"/>
        <v>0.70660404751837158</v>
      </c>
      <c r="BF56" s="267">
        <f>Calculos_M!$AI$1</f>
        <v>1.4830847050619838</v>
      </c>
      <c r="BG56" s="267">
        <f t="shared" si="25"/>
        <v>-1.4830847050619838</v>
      </c>
      <c r="BH56" s="35">
        <f>IF(ISNUMBER('Courier_M.'!W35),'Courier_M.'!W35,"")</f>
        <v>1.1859747171401978</v>
      </c>
      <c r="BI56" s="36">
        <f>IF(ISNUMBER(Laboratorio_M!W33),Laboratorio_M!W33,"")</f>
        <v>1.484</v>
      </c>
      <c r="BJ56" s="36">
        <f t="shared" si="26"/>
        <v>0.29802528285980223</v>
      </c>
      <c r="BK56" s="267">
        <f t="shared" si="27"/>
        <v>0.29802528285980223</v>
      </c>
      <c r="BL56" s="161">
        <f t="shared" si="28"/>
        <v>20.082566230444897</v>
      </c>
      <c r="BM56" s="36"/>
      <c r="BN56" s="161"/>
      <c r="BO56" s="35">
        <f>IF(ISNUMBER('Courier_M.'!Y35),'Courier_M.'!Y35,"")</f>
        <v>3.1993632662703346</v>
      </c>
      <c r="BP56" s="36">
        <f>IF(ISNUMBER(Laboratorio_M!Y33),Laboratorio_M!Y33,"")</f>
        <v>2.34</v>
      </c>
      <c r="BQ56" s="36">
        <f t="shared" si="29"/>
        <v>-0.85936326627033477</v>
      </c>
      <c r="BR56" s="267">
        <f t="shared" si="30"/>
        <v>0.85936326627033477</v>
      </c>
      <c r="BS56" s="161">
        <f t="shared" si="31"/>
        <v>36.724925908988666</v>
      </c>
      <c r="BT56" s="36"/>
      <c r="BU56" s="161"/>
    </row>
    <row r="57" spans="1:73" ht="15" x14ac:dyDescent="0.2">
      <c r="C57" s="38" t="str">
        <f>DAY(B56) &amp; "-" &amp; MONTH(B56) &amp;"-" &amp; YEAR(B56)</f>
        <v>9-9-2026</v>
      </c>
      <c r="D57" s="35">
        <f>IF(ISNUMBER('Courier_M.'!F35),'Courier_M.'!F35,"")</f>
        <v>24.979143142700195</v>
      </c>
      <c r="E57" s="36">
        <f>IF(ISNUMBER(Laboratorio_M!F33),Laboratorio_M!F33,"")</f>
        <v>24.337</v>
      </c>
      <c r="F57" s="36">
        <f t="shared" si="6"/>
        <v>-0.64214314270019557</v>
      </c>
      <c r="G57" s="267">
        <f t="shared" si="7"/>
        <v>0.64214314270019557</v>
      </c>
      <c r="H57" s="161">
        <f t="shared" si="36"/>
        <v>2.6385468328068193</v>
      </c>
      <c r="I57" s="267">
        <f>Calculos_M!$I$1</f>
        <v>2.2302216249999991</v>
      </c>
      <c r="J57" s="267">
        <f t="shared" si="32"/>
        <v>-2.2302216249999991</v>
      </c>
      <c r="K57" s="35">
        <f>IF(ISNUMBER('Courier_M.'!H35),'Courier_M.'!H35,"")</f>
        <v>2.8069972991943359</v>
      </c>
      <c r="L57" s="36">
        <f>IF(ISNUMBER(Laboratorio_M!H33),Laboratorio_M!H33,"")</f>
        <v>2.57</v>
      </c>
      <c r="M57" s="36">
        <f t="shared" si="8"/>
        <v>-0.2369972991943361</v>
      </c>
      <c r="N57" s="267">
        <f t="shared" si="9"/>
        <v>0.2369972991943361</v>
      </c>
      <c r="O57" s="161">
        <f t="shared" si="37"/>
        <v>9.2216847935539352</v>
      </c>
      <c r="P57" s="267">
        <f>Calculos_M!$J$1</f>
        <v>0.382682625</v>
      </c>
      <c r="Q57" s="267">
        <f t="shared" si="33"/>
        <v>-0.382682625</v>
      </c>
      <c r="R57" s="35">
        <f>IF(ISNUMBER('Courier_M.'!J35),'Courier_M.'!J35,"")</f>
        <v>29.563499450683594</v>
      </c>
      <c r="S57" s="36">
        <f>IF(ISNUMBER(Laboratorio_M!J33),Laboratorio_M!J33,"")</f>
        <v>25.95</v>
      </c>
      <c r="T57" s="36">
        <f t="shared" si="10"/>
        <v>-3.6134994506835945</v>
      </c>
      <c r="U57" s="267">
        <f t="shared" si="11"/>
        <v>3.6134994506835945</v>
      </c>
      <c r="V57" s="161">
        <f t="shared" si="12"/>
        <v>13.924853374503254</v>
      </c>
      <c r="W57" s="267"/>
      <c r="X57" s="267"/>
      <c r="Y57" s="35">
        <f>IF(ISNUMBER('Courier_M.'!L35),'Courier_M.'!L35,"")</f>
        <v>25.204212188720703</v>
      </c>
      <c r="Z57" s="36">
        <f>IF(ISNUMBER(Laboratorio_M!L33),Laboratorio_M!L33,"")</f>
        <v>26.167000000000002</v>
      </c>
      <c r="AA57" s="36">
        <f t="shared" si="13"/>
        <v>0.96278781127929847</v>
      </c>
      <c r="AB57" s="267">
        <f t="shared" si="14"/>
        <v>0.96278781127929847</v>
      </c>
      <c r="AC57" s="161">
        <f t="shared" si="38"/>
        <v>3.6793969934623703</v>
      </c>
      <c r="AD57" s="267">
        <f>Calculos_M!$U$1</f>
        <v>1.0662891477272729</v>
      </c>
      <c r="AE57" s="267">
        <f t="shared" si="34"/>
        <v>-1.0662891477272729</v>
      </c>
      <c r="AF57" s="35">
        <f>IF(ISNUMBER('Courier_M.'!N35),'Courier_M.'!N35,"")</f>
        <v>6.9430828094482422E-2</v>
      </c>
      <c r="AG57" s="36">
        <f>IF(ISNUMBER(Laboratorio_M!N33),Laboratorio_M!N33,"")</f>
        <v>6.2E-2</v>
      </c>
      <c r="AH57" s="36">
        <f t="shared" si="15"/>
        <v>-7.4308280944824223E-3</v>
      </c>
      <c r="AI57" s="267">
        <f t="shared" si="16"/>
        <v>7.4308280944824223E-3</v>
      </c>
      <c r="AJ57" s="161">
        <f t="shared" si="39"/>
        <v>11.985206604003908</v>
      </c>
      <c r="AK57" s="267">
        <f>Calculos_M!$V$1</f>
        <v>3.2516250000000003E-2</v>
      </c>
      <c r="AL57" s="267">
        <f t="shared" si="35"/>
        <v>-3.2516250000000003E-2</v>
      </c>
      <c r="AM57" s="35">
        <f>IF(ISNUMBER('Courier_M.'!P35),'Courier_M.'!P35,"")</f>
        <v>29.142030715942383</v>
      </c>
      <c r="AN57" s="36">
        <f>IF(ISNUMBER(Laboratorio_M!P33),Laboratorio_M!P33,"")</f>
        <v>28.28</v>
      </c>
      <c r="AO57" s="36">
        <f t="shared" si="17"/>
        <v>-0.86203071594238168</v>
      </c>
      <c r="AP57" s="267">
        <f t="shared" si="18"/>
        <v>0.86203071594238168</v>
      </c>
      <c r="AQ57" s="161">
        <f t="shared" si="19"/>
        <v>3.048199136995692</v>
      </c>
      <c r="AR57" s="267"/>
      <c r="AS57" s="267"/>
      <c r="AT57" s="35">
        <f>IF(ISNUMBER('Courier_M.'!T35),'Courier_M.'!T35,0)</f>
        <v>0.85986596345901489</v>
      </c>
      <c r="AU57" s="36">
        <f>IF(ISNUMBER(Laboratorio_M!T33),Laboratorio_M!T33,"")</f>
        <v>0.96899999999999997</v>
      </c>
      <c r="AV57" s="36">
        <f t="shared" si="20"/>
        <v>0.10913403654098508</v>
      </c>
      <c r="AW57" s="267">
        <f t="shared" si="21"/>
        <v>0.10913403654098508</v>
      </c>
      <c r="AX57" s="161">
        <f t="shared" si="40"/>
        <v>11.262542470689894</v>
      </c>
      <c r="AY57" s="267">
        <f>Calculos_M!$AH$1</f>
        <v>8.3191193181818196E-2</v>
      </c>
      <c r="AZ57" s="267">
        <f t="shared" si="22"/>
        <v>-8.3191193181818196E-2</v>
      </c>
      <c r="BA57" s="35">
        <f>IF(ISNUMBER('Courier_M.'!V35),'Courier_M.'!V35,0)</f>
        <v>55.806068420410156</v>
      </c>
      <c r="BB57" s="36">
        <f>IF(ISNUMBER(Laboratorio_M!V33),Laboratorio_M!V33,"")</f>
        <v>54.634999999999998</v>
      </c>
      <c r="BC57" s="36">
        <f t="shared" si="23"/>
        <v>-1.1710684204101582</v>
      </c>
      <c r="BD57" s="267">
        <f t="shared" si="24"/>
        <v>1.1710684204101582</v>
      </c>
      <c r="BE57" s="161">
        <f t="shared" si="41"/>
        <v>2.1434399568228395</v>
      </c>
      <c r="BF57" s="267">
        <f>Calculos_M!$AI$1</f>
        <v>1.4830847050619838</v>
      </c>
      <c r="BG57" s="267">
        <f t="shared" si="25"/>
        <v>-1.4830847050619838</v>
      </c>
      <c r="BH57" s="35">
        <f>IF(ISNUMBER('Courier_M.'!X35),'Courier_M.'!X35,"")</f>
        <v>1.1811318397521973</v>
      </c>
      <c r="BI57" s="36">
        <f>IF(ISNUMBER(Laboratorio_M!X33),Laboratorio_M!X33,"")</f>
        <v>1.542</v>
      </c>
      <c r="BJ57" s="36">
        <f t="shared" si="26"/>
        <v>0.36086816024780277</v>
      </c>
      <c r="BK57" s="267">
        <f t="shared" si="27"/>
        <v>0.36086816024780277</v>
      </c>
      <c r="BL57" s="161">
        <f t="shared" si="28"/>
        <v>23.402604425927546</v>
      </c>
      <c r="BM57" s="36"/>
      <c r="BN57" s="161"/>
      <c r="BO57" s="35" t="str">
        <f>IF(ISNUMBER('Courier_M.'!Z35),'Courier_M.'!Z35,"")</f>
        <v/>
      </c>
      <c r="BP57" s="36">
        <f>IF(ISNUMBER(Laboratorio_M!Z33),Laboratorio_M!Z33,"")</f>
        <v>4.17</v>
      </c>
      <c r="BQ57" s="36" t="str">
        <f t="shared" si="29"/>
        <v xml:space="preserve"> </v>
      </c>
      <c r="BR57" s="267" t="str">
        <f t="shared" si="30"/>
        <v xml:space="preserve"> </v>
      </c>
      <c r="BS57" s="161" t="str">
        <f t="shared" si="31"/>
        <v xml:space="preserve"> </v>
      </c>
      <c r="BT57" s="36"/>
      <c r="BU57" s="161"/>
    </row>
    <row r="58" spans="1:73" ht="15" x14ac:dyDescent="0.2">
      <c r="A58">
        <f>+A56+1</f>
        <v>28</v>
      </c>
      <c r="B58" s="7">
        <f>+B56+1</f>
        <v>46275</v>
      </c>
      <c r="C58" s="7" t="str">
        <f>DAY(B58) &amp; "-" &amp; MONTH(B58) &amp;"-" &amp; YEAR(B58)</f>
        <v>10-9-2026</v>
      </c>
      <c r="D58" s="35">
        <f>IF(ISNUMBER('Courier_M.'!E36),'Courier_M.'!E36,"")</f>
        <v>23.020315170288086</v>
      </c>
      <c r="E58" s="36" t="str">
        <f>IF(ISNUMBER(Laboratorio_M!E34),Laboratorio_M!E34,"")</f>
        <v/>
      </c>
      <c r="F58" s="36" t="str">
        <f t="shared" si="6"/>
        <v xml:space="preserve"> </v>
      </c>
      <c r="G58" s="267" t="str">
        <f t="shared" si="7"/>
        <v xml:space="preserve"> </v>
      </c>
      <c r="H58" s="161" t="str">
        <f t="shared" si="36"/>
        <v xml:space="preserve"> </v>
      </c>
      <c r="I58" s="267">
        <f>Calculos_M!$I$1</f>
        <v>2.2302216249999991</v>
      </c>
      <c r="J58" s="267">
        <f t="shared" si="32"/>
        <v>-2.2302216249999991</v>
      </c>
      <c r="K58" s="35">
        <f>IF(ISNUMBER('Courier_M.'!G36),'Courier_M.'!G36,"")</f>
        <v>2.6013236045837402</v>
      </c>
      <c r="L58" s="36" t="str">
        <f>IF(ISNUMBER(Laboratorio_M!G34),Laboratorio_M!G34,"")</f>
        <v/>
      </c>
      <c r="M58" s="36" t="str">
        <f t="shared" si="8"/>
        <v xml:space="preserve"> </v>
      </c>
      <c r="N58" s="267" t="str">
        <f t="shared" si="9"/>
        <v xml:space="preserve"> </v>
      </c>
      <c r="O58" s="161" t="str">
        <f t="shared" si="37"/>
        <v xml:space="preserve"> </v>
      </c>
      <c r="P58" s="267">
        <f>Calculos_M!$J$1</f>
        <v>0.382682625</v>
      </c>
      <c r="Q58" s="267">
        <f t="shared" si="33"/>
        <v>-0.382682625</v>
      </c>
      <c r="R58" s="35">
        <f>IF(ISNUMBER('Courier_M.'!I36),'Courier_M.'!I36,"")</f>
        <v>28.209714889526367</v>
      </c>
      <c r="S58" s="36" t="str">
        <f>IF(ISNUMBER(Laboratorio_M!I34),Laboratorio_M!I34,"")</f>
        <v/>
      </c>
      <c r="T58" s="36" t="str">
        <f t="shared" si="10"/>
        <v xml:space="preserve"> </v>
      </c>
      <c r="U58" s="267" t="str">
        <f t="shared" si="11"/>
        <v xml:space="preserve"> </v>
      </c>
      <c r="V58" s="161" t="str">
        <f t="shared" si="12"/>
        <v xml:space="preserve"> </v>
      </c>
      <c r="W58" s="267"/>
      <c r="X58" s="267"/>
      <c r="Y58" s="35">
        <f>IF(ISNUMBER('Courier_M.'!K36),'Courier_M.'!K36,"")</f>
        <v>24.093988418579102</v>
      </c>
      <c r="Z58" s="36" t="str">
        <f>IF(ISNUMBER(Laboratorio_M!K34),Laboratorio_M!K34,"")</f>
        <v/>
      </c>
      <c r="AA58" s="36" t="str">
        <f t="shared" si="13"/>
        <v xml:space="preserve"> </v>
      </c>
      <c r="AB58" s="267" t="str">
        <f t="shared" si="14"/>
        <v xml:space="preserve"> </v>
      </c>
      <c r="AC58" s="161" t="str">
        <f t="shared" si="38"/>
        <v xml:space="preserve"> </v>
      </c>
      <c r="AD58" s="267">
        <f>Calculos_M!$U$1</f>
        <v>1.0662891477272729</v>
      </c>
      <c r="AE58" s="267">
        <f t="shared" si="34"/>
        <v>-1.0662891477272729</v>
      </c>
      <c r="AF58" s="35">
        <f>IF(ISNUMBER('Courier_M.'!M36),'Courier_M.'!M36,"")</f>
        <v>8.3107098937034607E-2</v>
      </c>
      <c r="AG58" s="36" t="str">
        <f>IF(ISNUMBER(Laboratorio_M!M34),Laboratorio_M!M34,"")</f>
        <v/>
      </c>
      <c r="AH58" s="36" t="str">
        <f t="shared" si="15"/>
        <v xml:space="preserve"> </v>
      </c>
      <c r="AI58" s="267" t="str">
        <f t="shared" si="16"/>
        <v xml:space="preserve"> </v>
      </c>
      <c r="AJ58" s="161" t="str">
        <f t="shared" si="39"/>
        <v xml:space="preserve"> </v>
      </c>
      <c r="AK58" s="267">
        <f>Calculos_M!$V$1</f>
        <v>3.2516250000000003E-2</v>
      </c>
      <c r="AL58" s="267">
        <f t="shared" si="35"/>
        <v>-3.2516250000000003E-2</v>
      </c>
      <c r="AM58" s="35">
        <f>IF(ISNUMBER('Courier_M.'!O36),'Courier_M.'!O36,"")</f>
        <v>28.112758636474609</v>
      </c>
      <c r="AN58" s="36" t="str">
        <f>IF(ISNUMBER(Laboratorio_M!O34),Laboratorio_M!O34,"")</f>
        <v/>
      </c>
      <c r="AO58" s="36" t="str">
        <f t="shared" si="17"/>
        <v xml:space="preserve"> </v>
      </c>
      <c r="AP58" s="267" t="str">
        <f t="shared" si="18"/>
        <v xml:space="preserve"> </v>
      </c>
      <c r="AQ58" s="161" t="str">
        <f t="shared" si="19"/>
        <v xml:space="preserve"> </v>
      </c>
      <c r="AR58" s="267"/>
      <c r="AS58" s="267"/>
      <c r="AT58" s="35">
        <f>IF(ISNUMBER('Courier_M.'!S36),'Courier_M.'!S36,0)</f>
        <v>1.0506017208099365</v>
      </c>
      <c r="AU58" s="36" t="str">
        <f>IF(ISNUMBER(Laboratorio_M!S34),Laboratorio_M!S34,"")</f>
        <v/>
      </c>
      <c r="AV58" s="36" t="str">
        <f t="shared" si="20"/>
        <v xml:space="preserve"> </v>
      </c>
      <c r="AW58" s="267" t="str">
        <f t="shared" si="21"/>
        <v xml:space="preserve"> </v>
      </c>
      <c r="AX58" s="161" t="str">
        <f t="shared" si="40"/>
        <v xml:space="preserve"> </v>
      </c>
      <c r="AY58" s="267">
        <f>Calculos_M!$AH$1</f>
        <v>8.3191193181818196E-2</v>
      </c>
      <c r="AZ58" s="267">
        <f t="shared" si="22"/>
        <v>-8.3191193181818196E-2</v>
      </c>
      <c r="BA58" s="35">
        <f>IF(ISNUMBER('Courier_M.'!U36),'Courier_M.'!U36,0)</f>
        <v>51.523078918457031</v>
      </c>
      <c r="BB58" s="36" t="str">
        <f>IF(ISNUMBER(Laboratorio_M!U34),Laboratorio_M!U34,"")</f>
        <v/>
      </c>
      <c r="BC58" s="36" t="str">
        <f t="shared" si="23"/>
        <v xml:space="preserve"> </v>
      </c>
      <c r="BD58" s="267" t="str">
        <f t="shared" si="24"/>
        <v xml:space="preserve"> </v>
      </c>
      <c r="BE58" s="161" t="str">
        <f t="shared" si="41"/>
        <v xml:space="preserve"> </v>
      </c>
      <c r="BF58" s="267">
        <f>Calculos_M!$AI$1</f>
        <v>1.4830847050619838</v>
      </c>
      <c r="BG58" s="267">
        <f t="shared" si="25"/>
        <v>-1.4830847050619838</v>
      </c>
      <c r="BH58" s="35">
        <f>IF(ISNUMBER('Courier_M.'!W36),'Courier_M.'!W36,"")</f>
        <v>1.5074747800827026</v>
      </c>
      <c r="BI58" s="36" t="str">
        <f>IF(ISNUMBER(Laboratorio_M!W34),Laboratorio_M!W34,"")</f>
        <v/>
      </c>
      <c r="BJ58" s="36" t="str">
        <f t="shared" si="26"/>
        <v xml:space="preserve"> </v>
      </c>
      <c r="BK58" s="267" t="str">
        <f t="shared" si="27"/>
        <v xml:space="preserve"> </v>
      </c>
      <c r="BL58" s="161" t="str">
        <f t="shared" si="28"/>
        <v xml:space="preserve"> </v>
      </c>
      <c r="BM58" s="36"/>
      <c r="BN58" s="161"/>
      <c r="BO58" s="35" t="str">
        <f>IF(ISNUMBER('Courier_M.'!Y36),'Courier_M.'!Y36,"")</f>
        <v/>
      </c>
      <c r="BP58" s="36" t="str">
        <f>IF(ISNUMBER(Laboratorio_M!Y34),Laboratorio_M!Y34,"")</f>
        <v/>
      </c>
      <c r="BQ58" s="36" t="str">
        <f t="shared" si="29"/>
        <v xml:space="preserve"> </v>
      </c>
      <c r="BR58" s="267" t="str">
        <f t="shared" si="30"/>
        <v xml:space="preserve"> </v>
      </c>
      <c r="BS58" s="161" t="str">
        <f t="shared" si="31"/>
        <v xml:space="preserve"> </v>
      </c>
      <c r="BT58" s="36"/>
      <c r="BU58" s="161"/>
    </row>
    <row r="59" spans="1:73" ht="15" x14ac:dyDescent="0.2">
      <c r="C59" s="38" t="str">
        <f>DAY(B58) &amp; "-" &amp; MONTH(B58) &amp;"-" &amp; YEAR(B58)</f>
        <v>10-9-2026</v>
      </c>
      <c r="D59" s="35">
        <f>IF(ISNUMBER('Courier_M.'!F36),'Courier_M.'!F36,"")</f>
        <v>27.067319869995117</v>
      </c>
      <c r="E59" s="36">
        <f>IF(ISNUMBER(Laboratorio_M!F34),Laboratorio_M!F34,"")</f>
        <v>26.792999999999999</v>
      </c>
      <c r="F59" s="36">
        <f t="shared" si="6"/>
        <v>-0.27431986999511793</v>
      </c>
      <c r="G59" s="267">
        <f t="shared" si="7"/>
        <v>0.27431986999511793</v>
      </c>
      <c r="H59" s="161">
        <f t="shared" si="36"/>
        <v>1.0238490277129024</v>
      </c>
      <c r="I59" s="267">
        <f>Calculos_M!$I$1</f>
        <v>2.2302216249999991</v>
      </c>
      <c r="J59" s="267">
        <f t="shared" si="32"/>
        <v>-2.2302216249999991</v>
      </c>
      <c r="K59" s="35">
        <f>IF(ISNUMBER('Courier_M.'!H36),'Courier_M.'!H36,"")</f>
        <v>2.6947493553161621</v>
      </c>
      <c r="L59" s="36">
        <f>IF(ISNUMBER(Laboratorio_M!H34),Laboratorio_M!H34,"")</f>
        <v>2.8439999999999999</v>
      </c>
      <c r="M59" s="36">
        <f t="shared" si="8"/>
        <v>0.14925064468383775</v>
      </c>
      <c r="N59" s="267">
        <f t="shared" si="9"/>
        <v>0.14925064468383775</v>
      </c>
      <c r="O59" s="161">
        <f t="shared" si="37"/>
        <v>5.2479129635667281</v>
      </c>
      <c r="P59" s="267">
        <f>Calculos_M!$J$1</f>
        <v>0.382682625</v>
      </c>
      <c r="Q59" s="267">
        <f t="shared" si="33"/>
        <v>-0.382682625</v>
      </c>
      <c r="R59" s="35">
        <f>IF(ISNUMBER('Courier_M.'!J36),'Courier_M.'!J36,"")</f>
        <v>29.328254699707031</v>
      </c>
      <c r="S59" s="36">
        <f>IF(ISNUMBER(Laboratorio_M!J34),Laboratorio_M!J34,"")</f>
        <v>28.76</v>
      </c>
      <c r="T59" s="36">
        <f t="shared" si="10"/>
        <v>-0.56825469970702969</v>
      </c>
      <c r="U59" s="267">
        <f t="shared" si="11"/>
        <v>0.56825469970702969</v>
      </c>
      <c r="V59" s="161">
        <f t="shared" si="12"/>
        <v>1.9758508334736775</v>
      </c>
      <c r="W59" s="267"/>
      <c r="X59" s="267"/>
      <c r="Y59" s="35">
        <f>IF(ISNUMBER('Courier_M.'!L36),'Courier_M.'!L36,"")</f>
        <v>27.795993804931641</v>
      </c>
      <c r="Z59" s="36">
        <f>IF(ISNUMBER(Laboratorio_M!L34),Laboratorio_M!L34,"")</f>
        <v>27.766999999999999</v>
      </c>
      <c r="AA59" s="36">
        <f t="shared" si="13"/>
        <v>-2.8993804931641165E-2</v>
      </c>
      <c r="AB59" s="267">
        <f t="shared" si="14"/>
        <v>2.8993804931641165E-2</v>
      </c>
      <c r="AC59" s="161">
        <f t="shared" si="38"/>
        <v>0.10441821202017201</v>
      </c>
      <c r="AD59" s="267">
        <f>Calculos_M!$U$1</f>
        <v>1.0662891477272729</v>
      </c>
      <c r="AE59" s="267">
        <f t="shared" si="34"/>
        <v>-1.0662891477272729</v>
      </c>
      <c r="AF59" s="35">
        <f>IF(ISNUMBER('Courier_M.'!N36),'Courier_M.'!N36,"")</f>
        <v>0.38959759473800659</v>
      </c>
      <c r="AG59" s="36">
        <f>IF(ISNUMBER(Laboratorio_M!N34),Laboratorio_M!N34,"")</f>
        <v>0.14499999999999999</v>
      </c>
      <c r="AH59" s="36">
        <f t="shared" si="15"/>
        <v>-0.2445975947380066</v>
      </c>
      <c r="AI59" s="267">
        <f t="shared" si="16"/>
        <v>0.2445975947380066</v>
      </c>
      <c r="AJ59" s="161">
        <f t="shared" si="39"/>
        <v>168.68799637103905</v>
      </c>
      <c r="AK59" s="267">
        <f>Calculos_M!$V$1</f>
        <v>3.2516250000000003E-2</v>
      </c>
      <c r="AL59" s="267">
        <f t="shared" si="35"/>
        <v>-3.2516250000000003E-2</v>
      </c>
      <c r="AM59" s="35">
        <f>IF(ISNUMBER('Courier_M.'!P36),'Courier_M.'!P36,"")</f>
        <v>29.862392425537109</v>
      </c>
      <c r="AN59" s="36">
        <f>IF(ISNUMBER(Laboratorio_M!P34),Laboratorio_M!P34,"")</f>
        <v>30.48</v>
      </c>
      <c r="AO59" s="36">
        <f t="shared" si="17"/>
        <v>0.61760757446289105</v>
      </c>
      <c r="AP59" s="267">
        <f t="shared" si="18"/>
        <v>0.61760757446289105</v>
      </c>
      <c r="AQ59" s="161">
        <f t="shared" si="19"/>
        <v>2.0262715697601412</v>
      </c>
      <c r="AR59" s="267"/>
      <c r="AS59" s="267"/>
      <c r="AT59" s="35">
        <f>IF(ISNUMBER('Courier_M.'!T36),'Courier_M.'!T36,0)</f>
        <v>0.69720637798309326</v>
      </c>
      <c r="AU59" s="36">
        <f>IF(ISNUMBER(Laboratorio_M!T34),Laboratorio_M!T34,"")</f>
        <v>0.76900000000000002</v>
      </c>
      <c r="AV59" s="36">
        <f t="shared" si="20"/>
        <v>7.1793622016906755E-2</v>
      </c>
      <c r="AW59" s="267">
        <f t="shared" si="21"/>
        <v>7.1793622016906755E-2</v>
      </c>
      <c r="AX59" s="161">
        <f t="shared" si="40"/>
        <v>9.3359716536939867</v>
      </c>
      <c r="AY59" s="267">
        <f>Calculos_M!$AH$1</f>
        <v>8.3191193181818196E-2</v>
      </c>
      <c r="AZ59" s="267">
        <f t="shared" si="22"/>
        <v>-8.3191193181818196E-2</v>
      </c>
      <c r="BA59" s="35">
        <f>IF(ISNUMBER('Courier_M.'!V36),'Courier_M.'!V36,0)</f>
        <v>56.350315093994141</v>
      </c>
      <c r="BB59" s="36">
        <f>IF(ISNUMBER(Laboratorio_M!V34),Laboratorio_M!V34,"")</f>
        <v>55.16</v>
      </c>
      <c r="BC59" s="36">
        <f t="shared" si="23"/>
        <v>-1.190315093994144</v>
      </c>
      <c r="BD59" s="267">
        <f t="shared" si="24"/>
        <v>1.190315093994144</v>
      </c>
      <c r="BE59" s="161">
        <f t="shared" si="41"/>
        <v>2.1579316424839448</v>
      </c>
      <c r="BF59" s="267">
        <f>Calculos_M!$AI$1</f>
        <v>1.4830847050619838</v>
      </c>
      <c r="BG59" s="267">
        <f t="shared" si="25"/>
        <v>-1.4830847050619838</v>
      </c>
      <c r="BH59" s="35">
        <f>IF(ISNUMBER('Courier_M.'!X36),'Courier_M.'!X36,"")</f>
        <v>0.97702711820602417</v>
      </c>
      <c r="BI59" s="36">
        <f>IF(ISNUMBER(Laboratorio_M!X34),Laboratorio_M!X34,"")</f>
        <v>1.7390000000000001</v>
      </c>
      <c r="BJ59" s="36">
        <f t="shared" si="26"/>
        <v>0.76197288179397593</v>
      </c>
      <c r="BK59" s="267">
        <f t="shared" si="27"/>
        <v>0.76197288179397593</v>
      </c>
      <c r="BL59" s="161">
        <f t="shared" si="28"/>
        <v>43.816726957675442</v>
      </c>
      <c r="BM59" s="36"/>
      <c r="BN59" s="161"/>
      <c r="BO59" s="35" t="str">
        <f>IF(ISNUMBER('Courier_M.'!Z36),'Courier_M.'!Z36,"")</f>
        <v/>
      </c>
      <c r="BP59" s="36">
        <f>IF(ISNUMBER(Laboratorio_M!Z34),Laboratorio_M!Z34,"")</f>
        <v>3.12</v>
      </c>
      <c r="BQ59" s="36" t="str">
        <f>IF(ISNUMBER(BP59-BO59),IF(BO59&lt;0.4,"",BP59-BO59)," ")</f>
        <v xml:space="preserve"> </v>
      </c>
      <c r="BR59" s="267" t="str">
        <f t="shared" si="30"/>
        <v xml:space="preserve"> </v>
      </c>
      <c r="BS59" s="161" t="str">
        <f t="shared" si="31"/>
        <v xml:space="preserve"> </v>
      </c>
      <c r="BT59" s="36"/>
      <c r="BU59" s="161"/>
    </row>
    <row r="60" spans="1:73" ht="15" x14ac:dyDescent="0.2">
      <c r="A60">
        <f>A58+1</f>
        <v>29</v>
      </c>
      <c r="B60" s="7">
        <f>+B58+1</f>
        <v>46276</v>
      </c>
      <c r="C60" s="7" t="str">
        <f>DAY(B60) &amp; "-" &amp; MONTH(B60) &amp;"-" &amp; YEAR(B60)</f>
        <v>11-9-2026</v>
      </c>
      <c r="D60" s="35">
        <f>IF(ISNUMBER('Courier_M.'!E37),'Courier_M.'!E37,"")</f>
        <v>26.633718490600586</v>
      </c>
      <c r="E60" s="36">
        <f>IF(ISNUMBER(Laboratorio_M!E35),Laboratorio_M!E35,"")</f>
        <v>26.146000000000001</v>
      </c>
      <c r="F60" s="36">
        <f t="shared" si="6"/>
        <v>-0.48771849060058514</v>
      </c>
      <c r="G60" s="267">
        <f t="shared" si="7"/>
        <v>0.48771849060058514</v>
      </c>
      <c r="H60" s="161">
        <f t="shared" si="36"/>
        <v>1.8653656031537715</v>
      </c>
      <c r="I60" s="267">
        <f>Calculos_M!$I$1</f>
        <v>2.2302216249999991</v>
      </c>
      <c r="J60" s="267">
        <f t="shared" si="32"/>
        <v>-2.2302216249999991</v>
      </c>
      <c r="K60" s="35">
        <f>IF(ISNUMBER('Courier_M.'!G37),'Courier_M.'!G37,"")</f>
        <v>2.728614330291748</v>
      </c>
      <c r="L60" s="36">
        <f>IF(ISNUMBER(Laboratorio_M!G35),Laboratorio_M!G35,"")</f>
        <v>2.3490000000000002</v>
      </c>
      <c r="M60" s="36">
        <f t="shared" si="8"/>
        <v>-0.37961433029174785</v>
      </c>
      <c r="N60" s="267">
        <f t="shared" si="9"/>
        <v>0.37961433029174785</v>
      </c>
      <c r="O60" s="161">
        <f t="shared" si="37"/>
        <v>16.160678173339626</v>
      </c>
      <c r="P60" s="267">
        <f>Calculos_M!$J$1</f>
        <v>0.382682625</v>
      </c>
      <c r="Q60" s="267">
        <f t="shared" si="33"/>
        <v>-0.382682625</v>
      </c>
      <c r="R60" s="35">
        <f>IF(ISNUMBER('Courier_M.'!I37),'Courier_M.'!I37,"")</f>
        <v>29.400962829589844</v>
      </c>
      <c r="S60" s="36">
        <f>IF(ISNUMBER(Laboratorio_M!I35),Laboratorio_M!I35,"")</f>
        <v>28.79</v>
      </c>
      <c r="T60" s="36">
        <f t="shared" si="10"/>
        <v>-0.6109628295898446</v>
      </c>
      <c r="U60" s="267">
        <f t="shared" si="11"/>
        <v>0.6109628295898446</v>
      </c>
      <c r="V60" s="161">
        <f t="shared" si="12"/>
        <v>2.1221355664808774</v>
      </c>
      <c r="W60" s="267"/>
      <c r="X60" s="267"/>
      <c r="Y60" s="35">
        <f>IF(ISNUMBER('Courier_M.'!K37),'Courier_M.'!K37,"")</f>
        <v>26.973537445068359</v>
      </c>
      <c r="Z60" s="36">
        <f>IF(ISNUMBER(Laboratorio_M!K35),Laboratorio_M!K35,"")</f>
        <v>26.471</v>
      </c>
      <c r="AA60" s="36">
        <f t="shared" si="13"/>
        <v>-0.50253744506835929</v>
      </c>
      <c r="AB60" s="267">
        <f t="shared" si="14"/>
        <v>0.50253744506835929</v>
      </c>
      <c r="AC60" s="161">
        <f t="shared" si="38"/>
        <v>1.89844526110974</v>
      </c>
      <c r="AD60" s="267">
        <f>Calculos_M!$U$1</f>
        <v>1.0662891477272729</v>
      </c>
      <c r="AE60" s="267">
        <f t="shared" si="34"/>
        <v>-1.0662891477272729</v>
      </c>
      <c r="AF60" s="35">
        <f>IF(ISNUMBER('Courier_M.'!M37),'Courier_M.'!M37,"")</f>
        <v>0.30744925141334534</v>
      </c>
      <c r="AG60" s="36">
        <f>IF(ISNUMBER(Laboratorio_M!M35),Laboratorio_M!M35,"")</f>
        <v>0.13700000000000001</v>
      </c>
      <c r="AH60" s="36">
        <f t="shared" si="15"/>
        <v>-0.17044925141334533</v>
      </c>
      <c r="AI60" s="267">
        <f t="shared" si="16"/>
        <v>0.17044925141334533</v>
      </c>
      <c r="AJ60" s="161">
        <f t="shared" si="39"/>
        <v>124.41551198054401</v>
      </c>
      <c r="AK60" s="267">
        <f>Calculos_M!$V$1</f>
        <v>3.2516250000000003E-2</v>
      </c>
      <c r="AL60" s="267">
        <f t="shared" si="35"/>
        <v>-3.2516250000000003E-2</v>
      </c>
      <c r="AM60" s="35">
        <f>IF(ISNUMBER('Courier_M.'!O37),'Courier_M.'!O37,"")</f>
        <v>29.247730255126953</v>
      </c>
      <c r="AN60" s="36">
        <f>IF(ISNUMBER(Laboratorio_M!O35),Laboratorio_M!O35,"")</f>
        <v>29.78</v>
      </c>
      <c r="AO60" s="36">
        <f t="shared" si="17"/>
        <v>0.53226974487304801</v>
      </c>
      <c r="AP60" s="267">
        <f t="shared" si="18"/>
        <v>0.53226974487304801</v>
      </c>
      <c r="AQ60" s="161">
        <f t="shared" si="19"/>
        <v>1.7873396402721557</v>
      </c>
      <c r="AR60" s="267"/>
      <c r="AS60" s="267"/>
      <c r="AT60" s="35">
        <f>IF(ISNUMBER('Courier_M.'!S37),'Courier_M.'!S37,0)</f>
        <v>0.85412490367889404</v>
      </c>
      <c r="AU60" s="36">
        <f>IF(ISNUMBER(Laboratorio_M!S35),Laboratorio_M!S35,"")</f>
        <v>0.59899999999999998</v>
      </c>
      <c r="AV60" s="36">
        <f t="shared" si="20"/>
        <v>-0.25512490367889407</v>
      </c>
      <c r="AW60" s="267">
        <f t="shared" si="21"/>
        <v>0.25512490367889407</v>
      </c>
      <c r="AX60" s="161">
        <f t="shared" si="40"/>
        <v>42.591803619180979</v>
      </c>
      <c r="AY60" s="267">
        <f>Calculos_M!$AH$1</f>
        <v>8.3191193181818196E-2</v>
      </c>
      <c r="AZ60" s="267">
        <f t="shared" si="22"/>
        <v>-8.3191193181818196E-2</v>
      </c>
      <c r="BA60" s="35">
        <f>IF(ISNUMBER('Courier_M.'!U37),'Courier_M.'!U37,0)</f>
        <v>56.157756805419922</v>
      </c>
      <c r="BB60" s="36">
        <f>IF(ISNUMBER(Laboratorio_M!U35),Laboratorio_M!U35,"")</f>
        <v>56.704999999999998</v>
      </c>
      <c r="BC60" s="36">
        <f t="shared" si="23"/>
        <v>0.54724319458007642</v>
      </c>
      <c r="BD60" s="267">
        <f t="shared" si="24"/>
        <v>0.54724319458007642</v>
      </c>
      <c r="BE60" s="161">
        <f t="shared" si="41"/>
        <v>0.96507044278295817</v>
      </c>
      <c r="BF60" s="267">
        <f>Calculos_M!$AI$1</f>
        <v>1.4830847050619838</v>
      </c>
      <c r="BG60" s="267">
        <f t="shared" si="25"/>
        <v>-1.4830847050619838</v>
      </c>
      <c r="BH60" s="35">
        <f>IF(ISNUMBER('Courier_M.'!W37),'Courier_M.'!W37,"")</f>
        <v>1.064218282699585</v>
      </c>
      <c r="BI60" s="36">
        <f>IF(ISNUMBER(Laboratorio_M!W35),Laboratorio_M!W35,"")</f>
        <v>0.79200000000000004</v>
      </c>
      <c r="BJ60" s="36">
        <f t="shared" si="26"/>
        <v>-0.27221828269958492</v>
      </c>
      <c r="BK60" s="267">
        <f t="shared" si="27"/>
        <v>0.27221828269958492</v>
      </c>
      <c r="BL60" s="161">
        <f t="shared" si="28"/>
        <v>34.37099529035163</v>
      </c>
      <c r="BM60" s="36"/>
      <c r="BN60" s="161"/>
      <c r="BO60" s="35">
        <f>IF(ISNUMBER('Courier_M.'!Y37),'Courier_M.'!Y37,"")</f>
        <v>2.7606679667182248</v>
      </c>
      <c r="BP60" s="36">
        <f>IF(ISNUMBER(Laboratorio_M!Y35),Laboratorio_M!Y35,"")</f>
        <v>2.79</v>
      </c>
      <c r="BQ60" s="36">
        <f>IF(ISNUMBER(BP60-BO60),IF(BO60&lt;0.4,"",BP60-BO60)," ")</f>
        <v>2.9332033281775249E-2</v>
      </c>
      <c r="BR60" s="267">
        <f t="shared" si="30"/>
        <v>2.9332033281775249E-2</v>
      </c>
      <c r="BS60" s="161">
        <f t="shared" si="31"/>
        <v>1.0513273577697222</v>
      </c>
      <c r="BT60" s="36"/>
      <c r="BU60" s="161"/>
    </row>
    <row r="61" spans="1:73" ht="15" x14ac:dyDescent="0.2">
      <c r="C61" s="38" t="str">
        <f>DAY(B60) &amp; "-" &amp; MONTH(B60) &amp;"-" &amp; YEAR(B60)</f>
        <v>11-9-2026</v>
      </c>
      <c r="D61" s="35">
        <f>IF(ISNUMBER('Courier_M.'!F37),'Courier_M.'!F37,"")</f>
        <v>25.186441421508789</v>
      </c>
      <c r="E61" s="36">
        <f>IF(ISNUMBER(Laboratorio_M!F35),Laboratorio_M!F35,"")</f>
        <v>25.469000000000001</v>
      </c>
      <c r="F61" s="36">
        <f t="shared" si="6"/>
        <v>0.28255857849121213</v>
      </c>
      <c r="G61" s="267">
        <f t="shared" si="7"/>
        <v>0.28255857849121213</v>
      </c>
      <c r="H61" s="161">
        <f t="shared" si="36"/>
        <v>1.1094215653979822</v>
      </c>
      <c r="I61" s="267">
        <f>Calculos_M!$I$1</f>
        <v>2.2302216249999991</v>
      </c>
      <c r="J61" s="267">
        <f t="shared" si="32"/>
        <v>-2.2302216249999991</v>
      </c>
      <c r="K61" s="35">
        <f>IF(ISNUMBER('Courier_M.'!H37),'Courier_M.'!H37,"")</f>
        <v>2.8998367786407471</v>
      </c>
      <c r="L61" s="36">
        <f>IF(ISNUMBER(Laboratorio_M!H35),Laboratorio_M!H35,"")</f>
        <v>2.7330000000000001</v>
      </c>
      <c r="M61" s="36">
        <f t="shared" si="8"/>
        <v>-0.16683677864074697</v>
      </c>
      <c r="N61" s="267">
        <f t="shared" si="9"/>
        <v>0.16683677864074697</v>
      </c>
      <c r="O61" s="161">
        <f t="shared" si="37"/>
        <v>6.1045290391784475</v>
      </c>
      <c r="P61" s="267">
        <f>Calculos_M!$J$1</f>
        <v>0.382682625</v>
      </c>
      <c r="Q61" s="267">
        <f t="shared" si="33"/>
        <v>-0.382682625</v>
      </c>
      <c r="R61" s="35">
        <f>IF(ISNUMBER('Courier_M.'!J37),'Courier_M.'!J37,"")</f>
        <v>28.211462020874023</v>
      </c>
      <c r="S61" s="36">
        <f>IF(ISNUMBER(Laboratorio_M!J35),Laboratorio_M!J35,"")</f>
        <v>28.09</v>
      </c>
      <c r="T61" s="36">
        <f t="shared" si="10"/>
        <v>-0.12146202087402358</v>
      </c>
      <c r="U61" s="267">
        <f t="shared" si="11"/>
        <v>0.12146202087402358</v>
      </c>
      <c r="V61" s="161">
        <f t="shared" si="12"/>
        <v>0.43240306469926515</v>
      </c>
      <c r="W61" s="267"/>
      <c r="X61" s="267"/>
      <c r="Y61" s="35">
        <f>IF(ISNUMBER('Courier_M.'!L37),'Courier_M.'!L37,"")</f>
        <v>26.553373336791992</v>
      </c>
      <c r="Z61" s="36">
        <f>IF(ISNUMBER(Laboratorio_M!L35),Laboratorio_M!L35,"")</f>
        <v>26.268000000000001</v>
      </c>
      <c r="AA61" s="36">
        <f t="shared" si="13"/>
        <v>-0.28537333679199151</v>
      </c>
      <c r="AB61" s="267">
        <f t="shared" si="14"/>
        <v>0.28537333679199151</v>
      </c>
      <c r="AC61" s="161">
        <f t="shared" si="38"/>
        <v>1.086391566895049</v>
      </c>
      <c r="AD61" s="267">
        <f>Calculos_M!$U$1</f>
        <v>1.0662891477272729</v>
      </c>
      <c r="AE61" s="267">
        <f t="shared" si="34"/>
        <v>-1.0662891477272729</v>
      </c>
      <c r="AF61" s="35">
        <f>IF(ISNUMBER('Courier_M.'!N37),'Courier_M.'!N37,"")</f>
        <v>0.10706456750631332</v>
      </c>
      <c r="AG61" s="36">
        <f>IF(ISNUMBER(Laboratorio_M!N35),Laboratorio_M!N35,"")</f>
        <v>8.5999999999999993E-2</v>
      </c>
      <c r="AH61" s="36">
        <f t="shared" si="15"/>
        <v>-2.1064567506313331E-2</v>
      </c>
      <c r="AI61" s="267">
        <f t="shared" si="16"/>
        <v>2.1064567506313331E-2</v>
      </c>
      <c r="AJ61" s="161">
        <f t="shared" si="39"/>
        <v>24.49368314687597</v>
      </c>
      <c r="AK61" s="267">
        <f>Calculos_M!$V$1</f>
        <v>3.2516250000000003E-2</v>
      </c>
      <c r="AL61" s="267">
        <f t="shared" si="35"/>
        <v>-3.2516250000000003E-2</v>
      </c>
      <c r="AM61" s="35">
        <f>IF(ISNUMBER('Courier_M.'!P37),'Courier_M.'!P37,"")</f>
        <v>28.81382942199707</v>
      </c>
      <c r="AN61" s="36">
        <f>IF(ISNUMBER(Laboratorio_M!P35),Laboratorio_M!P35,"")</f>
        <v>29.04</v>
      </c>
      <c r="AO61" s="36">
        <f t="shared" si="17"/>
        <v>0.22617057800292883</v>
      </c>
      <c r="AP61" s="267">
        <f t="shared" si="18"/>
        <v>0.22617057800292883</v>
      </c>
      <c r="AQ61" s="161">
        <f t="shared" si="19"/>
        <v>0.77882430441779904</v>
      </c>
      <c r="AR61" s="267"/>
      <c r="AS61" s="267"/>
      <c r="AT61" s="35">
        <f>IF(ISNUMBER('Courier_M.'!T37),'Courier_M.'!T37,0)</f>
        <v>0.73607480525970459</v>
      </c>
      <c r="AU61" s="36">
        <f>IF(ISNUMBER(Laboratorio_M!T35),Laboratorio_M!T35,"")</f>
        <v>0.58699999999999997</v>
      </c>
      <c r="AV61" s="36">
        <f t="shared" si="20"/>
        <v>-0.14907480525970462</v>
      </c>
      <c r="AW61" s="267">
        <f t="shared" si="21"/>
        <v>0.14907480525970462</v>
      </c>
      <c r="AX61" s="161">
        <f t="shared" si="40"/>
        <v>25.396048596201808</v>
      </c>
      <c r="AY61" s="267">
        <f>Calculos_M!$AH$1</f>
        <v>8.3191193181818196E-2</v>
      </c>
      <c r="AZ61" s="267">
        <f t="shared" si="22"/>
        <v>-8.3191193181818196E-2</v>
      </c>
      <c r="BA61" s="35">
        <f>IF(ISNUMBER('Courier_M.'!V37),'Courier_M.'!V37,0)</f>
        <v>55.626434326171875</v>
      </c>
      <c r="BB61" s="36">
        <f>IF(ISNUMBER(Laboratorio_M!V35),Laboratorio_M!V35,"")</f>
        <v>56.673000000000002</v>
      </c>
      <c r="BC61" s="36">
        <f t="shared" si="23"/>
        <v>1.0465656738281268</v>
      </c>
      <c r="BD61" s="267">
        <f t="shared" si="24"/>
        <v>1.0465656738281268</v>
      </c>
      <c r="BE61" s="161">
        <f t="shared" si="41"/>
        <v>1.8466742078734615</v>
      </c>
      <c r="BF61" s="267">
        <f>Calculos_M!$AI$1</f>
        <v>1.4830847050619838</v>
      </c>
      <c r="BG61" s="267">
        <f t="shared" si="25"/>
        <v>-1.4830847050619838</v>
      </c>
      <c r="BH61" s="35">
        <f>IF(ISNUMBER('Courier_M.'!X37),'Courier_M.'!X37,"")</f>
        <v>1.0956374406814575</v>
      </c>
      <c r="BI61" s="36">
        <f>IF(ISNUMBER(Laboratorio_M!X35),Laboratorio_M!X35,"")</f>
        <v>0.66100000000000003</v>
      </c>
      <c r="BJ61" s="36">
        <f t="shared" si="26"/>
        <v>-0.43463744068145749</v>
      </c>
      <c r="BK61" s="267">
        <f t="shared" si="27"/>
        <v>0.43463744068145749</v>
      </c>
      <c r="BL61" s="161">
        <f t="shared" si="28"/>
        <v>65.754529603851353</v>
      </c>
      <c r="BM61" s="36"/>
      <c r="BN61" s="161"/>
      <c r="BO61" s="35">
        <f>IF(ISNUMBER('Courier_M.'!Z37),'Courier_M.'!Z37,"")</f>
        <v>2.8744003297803609</v>
      </c>
      <c r="BP61" s="36">
        <f>IF(ISNUMBER(Laboratorio_M!Z35),Laboratorio_M!Z35,"")</f>
        <v>3.14</v>
      </c>
      <c r="BQ61" s="36">
        <f t="shared" si="29"/>
        <v>0.26559967021963926</v>
      </c>
      <c r="BR61" s="267">
        <f t="shared" si="30"/>
        <v>0.26559967021963926</v>
      </c>
      <c r="BS61" s="161">
        <f t="shared" si="31"/>
        <v>8.45858822355539</v>
      </c>
      <c r="BT61" s="36"/>
      <c r="BU61" s="161"/>
    </row>
    <row r="62" spans="1:73" ht="15" x14ac:dyDescent="0.2">
      <c r="A62">
        <f>+A60+1</f>
        <v>30</v>
      </c>
      <c r="B62" s="7">
        <f>+B60+1</f>
        <v>46277</v>
      </c>
      <c r="C62" s="7" t="str">
        <f>DAY(B62) &amp; "-" &amp; MONTH(B62) &amp;"-" &amp; YEAR(B62)</f>
        <v>12-9-2026</v>
      </c>
      <c r="D62" s="35">
        <f>IF(ISNUMBER('Courier_M.'!E38),'Courier_M.'!E38,"")</f>
        <v>25.249885559082031</v>
      </c>
      <c r="E62" s="36">
        <f>IF(ISNUMBER(Laboratorio_M!E36),Laboratorio_M!E36,"")</f>
        <v>26.094000000000001</v>
      </c>
      <c r="F62" s="36">
        <f t="shared" si="6"/>
        <v>0.84411444091796994</v>
      </c>
      <c r="G62" s="267">
        <f>IF(ISNUMBER(F62),ABS(F62)," ")</f>
        <v>0.84411444091796994</v>
      </c>
      <c r="H62" s="161">
        <f t="shared" si="36"/>
        <v>3.2348986008966429</v>
      </c>
      <c r="I62" s="267">
        <f>Calculos_M!$I$1</f>
        <v>2.2302216249999991</v>
      </c>
      <c r="J62" s="267">
        <f t="shared" si="32"/>
        <v>-2.2302216249999991</v>
      </c>
      <c r="K62" s="35">
        <f>IF(ISNUMBER('Courier_M.'!G38),'Courier_M.'!G38,"")</f>
        <v>2.8712384700775146</v>
      </c>
      <c r="L62" s="36">
        <f>IF(ISNUMBER(Laboratorio_M!G36),Laboratorio_M!G36,"")</f>
        <v>3.5649999999999999</v>
      </c>
      <c r="M62" s="36">
        <f t="shared" si="8"/>
        <v>0.6937615299224853</v>
      </c>
      <c r="N62" s="267">
        <f>IF(ISNUMBER(M62),ABS(M62)," ")</f>
        <v>0.6937615299224853</v>
      </c>
      <c r="O62" s="161">
        <f t="shared" si="37"/>
        <v>19.460351470476446</v>
      </c>
      <c r="P62" s="267">
        <f>Calculos_M!$J$1</f>
        <v>0.382682625</v>
      </c>
      <c r="Q62" s="267">
        <f t="shared" si="33"/>
        <v>-0.382682625</v>
      </c>
      <c r="R62" s="35">
        <f>IF(ISNUMBER('Courier_M.'!I38),'Courier_M.'!I38,"")</f>
        <v>28.095998764038086</v>
      </c>
      <c r="S62" s="36">
        <f>IF(ISNUMBER(Laboratorio_M!I36),Laboratorio_M!I36,"")</f>
        <v>28.82</v>
      </c>
      <c r="T62" s="36">
        <f t="shared" si="10"/>
        <v>0.72400123596191435</v>
      </c>
      <c r="U62" s="267">
        <f t="shared" si="11"/>
        <v>0.72400123596191435</v>
      </c>
      <c r="V62" s="161">
        <f t="shared" si="12"/>
        <v>2.512148632761674</v>
      </c>
      <c r="W62" s="267"/>
      <c r="X62" s="267"/>
      <c r="Y62" s="35">
        <f>IF(ISNUMBER('Courier_M.'!K38),'Courier_M.'!K38,"")</f>
        <v>27.450481414794922</v>
      </c>
      <c r="Z62" s="36">
        <f>IF(ISNUMBER(Laboratorio_M!K36),Laboratorio_M!K36,"")</f>
        <v>25.547000000000001</v>
      </c>
      <c r="AA62" s="36">
        <f t="shared" si="13"/>
        <v>-1.9034814147949213</v>
      </c>
      <c r="AB62" s="267">
        <f t="shared" si="14"/>
        <v>1.9034814147949213</v>
      </c>
      <c r="AC62" s="161">
        <f t="shared" si="38"/>
        <v>7.4508999678824166</v>
      </c>
      <c r="AD62" s="267">
        <f>Calculos_M!$U$1</f>
        <v>1.0662891477272729</v>
      </c>
      <c r="AE62" s="267">
        <f t="shared" si="34"/>
        <v>-1.0662891477272729</v>
      </c>
      <c r="AF62" s="35">
        <f>IF(ISNUMBER('Courier_M.'!M38),'Courier_M.'!M38,"")</f>
        <v>0.10866567492485046</v>
      </c>
      <c r="AG62" s="36">
        <f>IF(ISNUMBER(Laboratorio_M!M36),Laboratorio_M!M36,"")</f>
        <v>9.2999999999999999E-2</v>
      </c>
      <c r="AH62" s="36">
        <f t="shared" si="15"/>
        <v>-1.5665674924850465E-2</v>
      </c>
      <c r="AI62" s="267">
        <f t="shared" si="16"/>
        <v>1.5665674924850465E-2</v>
      </c>
      <c r="AJ62" s="161">
        <f t="shared" si="39"/>
        <v>16.844811747151038</v>
      </c>
      <c r="AK62" s="267">
        <f>Calculos_M!$V$1</f>
        <v>3.2516250000000003E-2</v>
      </c>
      <c r="AL62" s="267">
        <f t="shared" si="35"/>
        <v>-3.2516250000000003E-2</v>
      </c>
      <c r="AM62" s="35">
        <f>IF(ISNUMBER('Courier_M.'!O38),'Courier_M.'!O38,"")</f>
        <v>29.284639358520508</v>
      </c>
      <c r="AN62" s="36">
        <f>IF(ISNUMBER(Laboratorio_M!O36),Laboratorio_M!O36,"")</f>
        <v>30.04</v>
      </c>
      <c r="AO62" s="36">
        <f t="shared" si="17"/>
        <v>0.75536064147949133</v>
      </c>
      <c r="AP62" s="267">
        <f t="shared" si="18"/>
        <v>0.75536064147949133</v>
      </c>
      <c r="AQ62" s="161">
        <f t="shared" si="19"/>
        <v>2.5145161167759364</v>
      </c>
      <c r="AR62" s="267"/>
      <c r="AS62" s="267"/>
      <c r="AT62" s="35">
        <f>IF(ISNUMBER('Courier_M.'!S38),'Courier_M.'!S38,0)</f>
        <v>0.73820120096206665</v>
      </c>
      <c r="AU62" s="36">
        <f>IF(ISNUMBER(Laboratorio_M!S36),Laboratorio_M!S36,"")</f>
        <v>0.58699999999999997</v>
      </c>
      <c r="AV62" s="36">
        <f t="shared" si="20"/>
        <v>-0.15120120096206668</v>
      </c>
      <c r="AW62" s="267">
        <f t="shared" si="21"/>
        <v>0.15120120096206668</v>
      </c>
      <c r="AX62" s="161">
        <f t="shared" si="40"/>
        <v>25.758296586382741</v>
      </c>
      <c r="AY62" s="267">
        <f>Calculos_M!$AH$1</f>
        <v>8.3191193181818196E-2</v>
      </c>
      <c r="AZ62" s="267">
        <f t="shared" si="22"/>
        <v>-8.3191193181818196E-2</v>
      </c>
      <c r="BA62" s="35">
        <f>IF(ISNUMBER('Courier_M.'!U38),'Courier_M.'!U38,0)</f>
        <v>55.859203338623047</v>
      </c>
      <c r="BB62" s="36">
        <f>IF(ISNUMBER(Laboratorio_M!U36),Laboratorio_M!U36,"")</f>
        <v>57.347999999999999</v>
      </c>
      <c r="BC62" s="36">
        <f t="shared" si="23"/>
        <v>1.4887966613769521</v>
      </c>
      <c r="BD62" s="267">
        <f t="shared" si="24"/>
        <v>1.4887966613769521</v>
      </c>
      <c r="BE62" s="161">
        <f t="shared" si="41"/>
        <v>2.5960742508491177</v>
      </c>
      <c r="BF62" s="267">
        <f>Calculos_M!$AI$1</f>
        <v>1.4830847050619838</v>
      </c>
      <c r="BG62" s="267">
        <f t="shared" si="25"/>
        <v>-1.4830847050619838</v>
      </c>
      <c r="BH62" s="35">
        <f>IF(ISNUMBER('Courier_M.'!W38),'Courier_M.'!W38,"")</f>
        <v>1.1127415895462036</v>
      </c>
      <c r="BI62" s="36">
        <f>IF(ISNUMBER(Laboratorio_M!W36),Laboratorio_M!W36,"")</f>
        <v>0.66300000000000003</v>
      </c>
      <c r="BJ62" s="36">
        <f t="shared" si="26"/>
        <v>-0.44974158954620358</v>
      </c>
      <c r="BK62" s="267">
        <f t="shared" si="27"/>
        <v>0.44974158954620358</v>
      </c>
      <c r="BL62" s="161">
        <f t="shared" si="28"/>
        <v>67.834327231704904</v>
      </c>
      <c r="BM62" s="36"/>
      <c r="BN62" s="161"/>
      <c r="BO62" s="35">
        <f>IF(ISNUMBER('Courier_M.'!Y38),'Courier_M.'!Y38,"")</f>
        <v>2.9324907640740623</v>
      </c>
      <c r="BP62" s="36">
        <f>IF(ISNUMBER(Laboratorio_M!Y36),Laboratorio_M!Y36,"")</f>
        <v>2.0099999999999998</v>
      </c>
      <c r="BQ62" s="36">
        <f t="shared" si="29"/>
        <v>-0.9224907640740625</v>
      </c>
      <c r="BR62" s="267">
        <f t="shared" si="30"/>
        <v>0.9224907640740625</v>
      </c>
      <c r="BS62" s="161">
        <f t="shared" si="31"/>
        <v>45.895062889256842</v>
      </c>
      <c r="BT62" s="36"/>
      <c r="BU62" s="161"/>
    </row>
    <row r="63" spans="1:73" ht="15" x14ac:dyDescent="0.2">
      <c r="C63" s="38" t="str">
        <f>DAY(B62) &amp; "-" &amp; MONTH(B62) &amp;"-" &amp; YEAR(B62)</f>
        <v>12-9-2026</v>
      </c>
      <c r="D63" s="35">
        <f>IF(ISNUMBER('Courier_M.'!F38),'Courier_M.'!F38,"")</f>
        <v>24.969537734985352</v>
      </c>
      <c r="E63" s="36">
        <f>IF(ISNUMBER(Laboratorio_M!F36),Laboratorio_M!F36,"")</f>
        <v>23.669</v>
      </c>
      <c r="F63" s="36">
        <f t="shared" si="6"/>
        <v>-1.3005377349853511</v>
      </c>
      <c r="G63" s="267">
        <f>IF(ISNUMBER(F63),ABS(F63)," ")</f>
        <v>1.3005377349853511</v>
      </c>
      <c r="H63" s="161">
        <f t="shared" si="36"/>
        <v>5.494688136319029</v>
      </c>
      <c r="I63" s="267">
        <f>Calculos_M!$I$1</f>
        <v>2.2302216249999991</v>
      </c>
      <c r="J63" s="267">
        <f t="shared" si="32"/>
        <v>-2.2302216249999991</v>
      </c>
      <c r="K63" s="35">
        <f>IF(ISNUMBER('Courier_M.'!H38),'Courier_M.'!H38,"")</f>
        <v>2.7573964595794678</v>
      </c>
      <c r="L63" s="36">
        <f>IF(ISNUMBER(Laboratorio_M!H36),Laboratorio_M!H36,"")</f>
        <v>2.339</v>
      </c>
      <c r="M63" s="36">
        <f t="shared" si="8"/>
        <v>-0.41839645957946781</v>
      </c>
      <c r="N63" s="267">
        <f t="shared" si="9"/>
        <v>0.41839645957946781</v>
      </c>
      <c r="O63" s="161">
        <f t="shared" si="37"/>
        <v>17.887834954231202</v>
      </c>
      <c r="P63" s="267">
        <f>Calculos_M!$J$1</f>
        <v>0.382682625</v>
      </c>
      <c r="Q63" s="267">
        <f t="shared" si="33"/>
        <v>-0.382682625</v>
      </c>
      <c r="R63" s="35">
        <f>IF(ISNUMBER('Courier_M.'!J38),'Courier_M.'!J38,"")</f>
        <v>28.106027603149414</v>
      </c>
      <c r="S63" s="36">
        <f>IF(ISNUMBER(Laboratorio_M!J36),Laboratorio_M!J36,"")</f>
        <v>29.09</v>
      </c>
      <c r="T63" s="36">
        <f t="shared" si="10"/>
        <v>0.9839723968505858</v>
      </c>
      <c r="U63" s="267">
        <f t="shared" si="11"/>
        <v>0.9839723968505858</v>
      </c>
      <c r="V63" s="161">
        <f t="shared" si="12"/>
        <v>3.3825108176369398</v>
      </c>
      <c r="W63" s="267"/>
      <c r="X63" s="267"/>
      <c r="Y63" s="35">
        <f>IF(ISNUMBER('Courier_M.'!L38),'Courier_M.'!L38,"")</f>
        <v>26.031570434570313</v>
      </c>
      <c r="Z63" s="36">
        <f>IF(ISNUMBER(Laboratorio_M!L36),Laboratorio_M!L36,"")</f>
        <v>25.821000000000002</v>
      </c>
      <c r="AA63" s="36">
        <f t="shared" si="13"/>
        <v>-0.21057043457031099</v>
      </c>
      <c r="AB63" s="267">
        <f t="shared" si="14"/>
        <v>0.21057043457031099</v>
      </c>
      <c r="AC63" s="161">
        <f t="shared" si="38"/>
        <v>0.81550069544289916</v>
      </c>
      <c r="AD63" s="267">
        <f>Calculos_M!$U$1</f>
        <v>1.0662891477272729</v>
      </c>
      <c r="AE63" s="267">
        <f t="shared" si="34"/>
        <v>-1.0662891477272729</v>
      </c>
      <c r="AF63" s="35">
        <f>IF(ISNUMBER('Courier_M.'!N38),'Courier_M.'!N38,"")</f>
        <v>0.17398174107074738</v>
      </c>
      <c r="AG63" s="36">
        <f>IF(ISNUMBER(Laboratorio_M!N36),Laboratorio_M!N36,"")</f>
        <v>0.108</v>
      </c>
      <c r="AH63" s="36">
        <f t="shared" si="15"/>
        <v>-6.5981741070747377E-2</v>
      </c>
      <c r="AI63" s="267">
        <f t="shared" si="16"/>
        <v>6.5981741070747377E-2</v>
      </c>
      <c r="AJ63" s="161">
        <f t="shared" si="39"/>
        <v>61.094204695136455</v>
      </c>
      <c r="AK63" s="267">
        <f>Calculos_M!$V$1</f>
        <v>3.2516250000000003E-2</v>
      </c>
      <c r="AL63" s="267">
        <f t="shared" si="35"/>
        <v>-3.2516250000000003E-2</v>
      </c>
      <c r="AM63" s="35">
        <f>IF(ISNUMBER('Courier_M.'!P38),'Courier_M.'!P38,"")</f>
        <v>28.868711471557617</v>
      </c>
      <c r="AN63" s="36">
        <f>IF(ISNUMBER(Laboratorio_M!P36),Laboratorio_M!P36,"")</f>
        <v>29.63</v>
      </c>
      <c r="AO63" s="36">
        <f t="shared" si="17"/>
        <v>0.76128852844238182</v>
      </c>
      <c r="AP63" s="267">
        <f t="shared" si="18"/>
        <v>0.76128852844238182</v>
      </c>
      <c r="AQ63" s="161">
        <f t="shared" si="19"/>
        <v>2.5693166670347005</v>
      </c>
      <c r="AR63" s="267"/>
      <c r="AS63" s="267"/>
      <c r="AT63" s="35">
        <f>IF(ISNUMBER('Courier_M.'!T38),'Courier_M.'!T38,0)</f>
        <v>0.7685895562171936</v>
      </c>
      <c r="AU63" s="36">
        <f>IF(ISNUMBER(Laboratorio_M!T36),Laboratorio_M!T36,"")</f>
        <v>0.628</v>
      </c>
      <c r="AV63" s="36">
        <f t="shared" si="20"/>
        <v>-0.1405895562171936</v>
      </c>
      <c r="AW63" s="267">
        <f t="shared" si="21"/>
        <v>0.1405895562171936</v>
      </c>
      <c r="AX63" s="161">
        <f t="shared" si="40"/>
        <v>22.386872009107261</v>
      </c>
      <c r="AY63" s="267">
        <f>Calculos_M!$AH$1</f>
        <v>8.3191193181818196E-2</v>
      </c>
      <c r="AZ63" s="267">
        <f t="shared" si="22"/>
        <v>-8.3191193181818196E-2</v>
      </c>
      <c r="BA63" s="35">
        <f>IF(ISNUMBER('Courier_M.'!V38),'Courier_M.'!V38,0)</f>
        <v>56.089130401611328</v>
      </c>
      <c r="BB63" s="36">
        <f>IF(ISNUMBER(Laboratorio_M!V36),Laboratorio_M!V36,"")</f>
        <v>56.975000000000001</v>
      </c>
      <c r="BC63" s="36">
        <f t="shared" si="23"/>
        <v>0.8858695983886733</v>
      </c>
      <c r="BD63" s="267">
        <f>IF(ISNUMBER(BC63),ABS(BC63)," ")</f>
        <v>0.8858695983886733</v>
      </c>
      <c r="BE63" s="161">
        <f t="shared" si="41"/>
        <v>1.5548391371455432</v>
      </c>
      <c r="BF63" s="267">
        <f>Calculos_M!$AI$1</f>
        <v>1.4830847050619838</v>
      </c>
      <c r="BG63" s="267">
        <f t="shared" si="25"/>
        <v>-1.4830847050619838</v>
      </c>
      <c r="BH63" s="35">
        <f>IF(ISNUMBER('Courier_M.'!X38),'Courier_M.'!X38,"")</f>
        <v>1.0138088464736938</v>
      </c>
      <c r="BI63" s="36">
        <f>IF(ISNUMBER(Laboratorio_M!X36),Laboratorio_M!X36,"")</f>
        <v>0.77500000000000002</v>
      </c>
      <c r="BJ63" s="36">
        <f t="shared" si="26"/>
        <v>-0.23880884647369383</v>
      </c>
      <c r="BK63" s="267">
        <f t="shared" si="27"/>
        <v>0.23880884647369383</v>
      </c>
      <c r="BL63" s="161">
        <f t="shared" si="28"/>
        <v>30.814044706283074</v>
      </c>
      <c r="BM63" s="36"/>
      <c r="BN63" s="161"/>
      <c r="BO63" s="35">
        <f>IF(ISNUMBER('Courier_M.'!Z38),'Courier_M.'!Z38,"")</f>
        <v>2.8429899646764953</v>
      </c>
      <c r="BP63" s="36">
        <f>IF(ISNUMBER(Laboratorio_M!Z36),Laboratorio_M!Z36,"")</f>
        <v>2.34</v>
      </c>
      <c r="BQ63" s="36">
        <f t="shared" si="29"/>
        <v>-0.50298996467649548</v>
      </c>
      <c r="BR63" s="267">
        <f t="shared" si="30"/>
        <v>0.50298996467649548</v>
      </c>
      <c r="BS63" s="161">
        <f t="shared" si="31"/>
        <v>21.495297635747672</v>
      </c>
      <c r="BT63" s="36"/>
      <c r="BU63" s="161"/>
    </row>
    <row r="64" spans="1:73" ht="15" x14ac:dyDescent="0.2">
      <c r="A64">
        <f>+A62+1</f>
        <v>31</v>
      </c>
      <c r="B64" s="7">
        <f>+B62+1</f>
        <v>46278</v>
      </c>
      <c r="C64" s="7" t="str">
        <f>DAY(B64) &amp; "-" &amp; MONTH(B64) &amp;"-" &amp; YEAR(B64)</f>
        <v>13-9-2026</v>
      </c>
      <c r="D64" s="35">
        <f>IF(ISNUMBER('Courier_M.'!E39),'Courier_M.'!E39,"")</f>
        <v>23.400463104248047</v>
      </c>
      <c r="E64" s="36">
        <f>IF(ISNUMBER(Laboratorio_M!E37),Laboratorio_M!E37,"")</f>
        <v>23.776</v>
      </c>
      <c r="F64" s="36">
        <f t="shared" si="6"/>
        <v>0.37553689575195293</v>
      </c>
      <c r="G64" s="267">
        <f>IF(ISNUMBER(F64),ABS(F64)," ")</f>
        <v>0.37553689575195293</v>
      </c>
      <c r="H64" s="161">
        <f t="shared" si="36"/>
        <v>1.5794788684049166</v>
      </c>
      <c r="I64" s="267">
        <f>Calculos_M!$I$1</f>
        <v>2.2302216249999991</v>
      </c>
      <c r="J64" s="267">
        <f t="shared" si="32"/>
        <v>-2.2302216249999991</v>
      </c>
      <c r="K64" s="35">
        <f>IF(ISNUMBER('Courier_M.'!G39),'Courier_M.'!G39,"")</f>
        <v>1.8072060346603394</v>
      </c>
      <c r="L64" s="36">
        <f>IF(ISNUMBER(Laboratorio_M!G37),Laboratorio_M!G37,"")</f>
        <v>1.7549999999999999</v>
      </c>
      <c r="M64" s="36">
        <f t="shared" si="8"/>
        <v>-5.2206034660339462E-2</v>
      </c>
      <c r="N64" s="267">
        <f t="shared" si="9"/>
        <v>5.2206034660339462E-2</v>
      </c>
      <c r="O64" s="161">
        <f t="shared" si="37"/>
        <v>2.9747028296489724</v>
      </c>
      <c r="P64" s="267">
        <f>Calculos_M!$J$1</f>
        <v>0.382682625</v>
      </c>
      <c r="Q64" s="267">
        <f t="shared" si="33"/>
        <v>-0.382682625</v>
      </c>
      <c r="R64" s="35">
        <f>IF(ISNUMBER('Courier_M.'!I39),'Courier_M.'!I39,"")</f>
        <v>27.310827255249023</v>
      </c>
      <c r="S64" s="36">
        <f>IF(ISNUMBER(Laboratorio_M!I37),Laboratorio_M!I37,"")</f>
        <v>30.1</v>
      </c>
      <c r="T64" s="36">
        <f t="shared" si="10"/>
        <v>2.789172744750978</v>
      </c>
      <c r="U64" s="267">
        <f t="shared" si="11"/>
        <v>2.789172744750978</v>
      </c>
      <c r="V64" s="161">
        <f t="shared" si="12"/>
        <v>9.2663546337241787</v>
      </c>
      <c r="W64" s="267"/>
      <c r="X64" s="267"/>
      <c r="Y64" s="35">
        <f>IF(ISNUMBER('Courier_M.'!K39),'Courier_M.'!K39,"")</f>
        <v>24.849987030029297</v>
      </c>
      <c r="Z64" s="36">
        <f>IF(ISNUMBER(Laboratorio_M!K37),Laboratorio_M!K37,"")</f>
        <v>25.271000000000001</v>
      </c>
      <c r="AA64" s="36">
        <f t="shared" si="13"/>
        <v>0.42101296997070392</v>
      </c>
      <c r="AB64" s="267">
        <f t="shared" si="14"/>
        <v>0.42101296997070392</v>
      </c>
      <c r="AC64" s="161">
        <f t="shared" si="38"/>
        <v>1.6659925209556563</v>
      </c>
      <c r="AD64" s="267">
        <f>Calculos_M!$U$1</f>
        <v>1.0662891477272729</v>
      </c>
      <c r="AE64" s="267">
        <f t="shared" si="34"/>
        <v>-1.0662891477272729</v>
      </c>
      <c r="AF64" s="35">
        <f>IF(ISNUMBER('Courier_M.'!M39),'Courier_M.'!M39,"")</f>
        <v>7.5125448405742645E-2</v>
      </c>
      <c r="AG64" s="36">
        <f>IF(ISNUMBER(Laboratorio_M!M37),Laboratorio_M!M37,"")</f>
        <v>7.1999999999999995E-2</v>
      </c>
      <c r="AH64" s="36">
        <f t="shared" si="15"/>
        <v>-3.1254484057426507E-3</v>
      </c>
      <c r="AI64" s="267">
        <f t="shared" si="16"/>
        <v>3.1254484057426507E-3</v>
      </c>
      <c r="AJ64" s="161">
        <f t="shared" si="39"/>
        <v>4.3409005635314593</v>
      </c>
      <c r="AK64" s="267">
        <f>Calculos_M!$V$1</f>
        <v>3.2516250000000003E-2</v>
      </c>
      <c r="AL64" s="267">
        <f t="shared" si="35"/>
        <v>-3.2516250000000003E-2</v>
      </c>
      <c r="AM64" s="35">
        <f>IF(ISNUMBER('Courier_M.'!O39),'Courier_M.'!O39,"")</f>
        <v>28.761812210083008</v>
      </c>
      <c r="AN64" s="36">
        <f>IF(ISNUMBER(Laboratorio_M!O37),Laboratorio_M!O37,"")</f>
        <v>30.68</v>
      </c>
      <c r="AO64" s="36">
        <f t="shared" si="17"/>
        <v>1.9181877899169919</v>
      </c>
      <c r="AP64" s="267">
        <f t="shared" si="18"/>
        <v>1.9181877899169919</v>
      </c>
      <c r="AQ64" s="161">
        <f t="shared" si="19"/>
        <v>6.2522418185038857</v>
      </c>
      <c r="AR64" s="267"/>
      <c r="AS64" s="267"/>
      <c r="AT64" s="35">
        <f>IF(ISNUMBER('Courier_M.'!S39),'Courier_M.'!S39,0)</f>
        <v>0.73974072933197021</v>
      </c>
      <c r="AU64" s="36">
        <f>IF(ISNUMBER(Laboratorio_M!S37),Laboratorio_M!S37,"")</f>
        <v>0.71199999999999997</v>
      </c>
      <c r="AV64" s="36">
        <f t="shared" si="20"/>
        <v>-2.7740729331970249E-2</v>
      </c>
      <c r="AW64" s="267">
        <f>IF(ISNUMBER(AV64),ABS(AV64)," ")</f>
        <v>2.7740729331970249E-2</v>
      </c>
      <c r="AX64" s="161">
        <f t="shared" si="40"/>
        <v>3.8961698499958217</v>
      </c>
      <c r="AY64" s="267">
        <f>Calculos_M!$AH$1</f>
        <v>8.3191193181818196E-2</v>
      </c>
      <c r="AZ64" s="267">
        <f t="shared" si="22"/>
        <v>-8.3191193181818196E-2</v>
      </c>
      <c r="BA64" s="35">
        <f>IF(ISNUMBER('Courier_M.'!U39),'Courier_M.'!U39,0)</f>
        <v>55.927764892578125</v>
      </c>
      <c r="BB64" s="36">
        <f>IF(ISNUMBER(Laboratorio_M!U37),Laboratorio_M!U37,"")</f>
        <v>56.81</v>
      </c>
      <c r="BC64" s="36">
        <f t="shared" si="23"/>
        <v>0.88223510742187727</v>
      </c>
      <c r="BD64" s="267">
        <f t="shared" si="24"/>
        <v>0.88223510742187727</v>
      </c>
      <c r="BE64" s="161">
        <f t="shared" si="41"/>
        <v>1.5529574149302539</v>
      </c>
      <c r="BF64" s="267">
        <f>Calculos_M!$AI$1</f>
        <v>1.4830847050619838</v>
      </c>
      <c r="BG64" s="267">
        <f t="shared" si="25"/>
        <v>-1.4830847050619838</v>
      </c>
      <c r="BH64" s="35">
        <f>IF(ISNUMBER('Courier_M.'!W39),'Courier_M.'!W39,"")</f>
        <v>0.97704309225082397</v>
      </c>
      <c r="BI64" s="36">
        <f>IF(ISNUMBER(Laboratorio_M!W37),Laboratorio_M!W37,"")</f>
        <v>0.86399999999999999</v>
      </c>
      <c r="BJ64" s="36">
        <f t="shared" si="26"/>
        <v>-0.11304309225082398</v>
      </c>
      <c r="BK64" s="267">
        <f t="shared" si="27"/>
        <v>0.11304309225082398</v>
      </c>
      <c r="BL64" s="161">
        <f t="shared" si="28"/>
        <v>13.083691232734257</v>
      </c>
      <c r="BM64" s="36"/>
      <c r="BN64" s="161"/>
      <c r="BO64" s="35">
        <f>IF(ISNUMBER('Courier_M.'!Y39),'Courier_M.'!Y39,"")</f>
        <v>2.6101105448434132</v>
      </c>
      <c r="BP64" s="36">
        <f>IF(ISNUMBER(Laboratorio_M!Y37),Laboratorio_M!Y37,"")</f>
        <v>2.3199999999999998</v>
      </c>
      <c r="BQ64" s="36">
        <f t="shared" si="29"/>
        <v>-0.29011054484341336</v>
      </c>
      <c r="BR64" s="267">
        <f t="shared" si="30"/>
        <v>0.29011054484341336</v>
      </c>
      <c r="BS64" s="161">
        <f t="shared" si="31"/>
        <v>12.504764863940231</v>
      </c>
      <c r="BT64" s="36"/>
      <c r="BU64" s="161"/>
    </row>
    <row r="65" spans="2:73" ht="15.75" thickBot="1" x14ac:dyDescent="0.25">
      <c r="B65" s="7">
        <f>B64+0.9</f>
        <v>46278.9</v>
      </c>
      <c r="C65" s="38" t="str">
        <f>DAY(B64) &amp; "-" &amp; MONTH(B64) &amp;"-" &amp; YEAR(B64)</f>
        <v>13-9-2026</v>
      </c>
      <c r="D65" s="35" t="str">
        <f>IF(ISNUMBER('Courier_M.'!F39),'Courier_M.'!F39,"")</f>
        <v/>
      </c>
      <c r="E65" s="36" t="str">
        <f>IF(ISNUMBER(Laboratorio_M!F37),Laboratorio_M!F37,"")</f>
        <v/>
      </c>
      <c r="F65" s="36" t="str">
        <f t="shared" si="6"/>
        <v xml:space="preserve"> </v>
      </c>
      <c r="G65" s="267" t="str">
        <f t="shared" si="7"/>
        <v xml:space="preserve"> </v>
      </c>
      <c r="H65" s="161" t="str">
        <f t="shared" si="36"/>
        <v xml:space="preserve"> </v>
      </c>
      <c r="I65" s="267">
        <f>Calculos_M!$I$1</f>
        <v>2.2302216249999991</v>
      </c>
      <c r="J65" s="267">
        <f t="shared" si="32"/>
        <v>-2.2302216249999991</v>
      </c>
      <c r="K65" s="35" t="str">
        <f>IF(ISNUMBER('Courier_M.'!H39),'Courier_M.'!H39,"")</f>
        <v/>
      </c>
      <c r="L65" s="36" t="str">
        <f>IF(ISNUMBER(Laboratorio_M!H37),Laboratorio_M!H37,"")</f>
        <v/>
      </c>
      <c r="M65" s="36" t="str">
        <f t="shared" si="8"/>
        <v xml:space="preserve"> </v>
      </c>
      <c r="N65" s="267" t="str">
        <f t="shared" si="9"/>
        <v xml:space="preserve"> </v>
      </c>
      <c r="O65" s="161" t="str">
        <f t="shared" si="37"/>
        <v xml:space="preserve"> </v>
      </c>
      <c r="P65" s="267">
        <f>Calculos_M!$J$1</f>
        <v>0.382682625</v>
      </c>
      <c r="Q65" s="267">
        <f t="shared" si="33"/>
        <v>-0.382682625</v>
      </c>
      <c r="R65" s="35" t="str">
        <f>IF(ISNUMBER('Courier_M.'!J39),'Courier_M.'!J39,"")</f>
        <v/>
      </c>
      <c r="S65" s="36" t="str">
        <f>IF(ISNUMBER(Laboratorio_M!J37),Laboratorio_M!J37,"")</f>
        <v/>
      </c>
      <c r="T65" s="36" t="str">
        <f t="shared" si="10"/>
        <v xml:space="preserve"> </v>
      </c>
      <c r="U65" s="267" t="str">
        <f t="shared" si="11"/>
        <v xml:space="preserve"> </v>
      </c>
      <c r="V65" s="161" t="str">
        <f t="shared" si="12"/>
        <v xml:space="preserve"> </v>
      </c>
      <c r="W65" s="267"/>
      <c r="X65" s="267"/>
      <c r="Y65" s="35" t="str">
        <f>IF(ISNUMBER('Courier_M.'!L39),'Courier_M.'!L39,"")</f>
        <v/>
      </c>
      <c r="Z65" s="36" t="str">
        <f>IF(ISNUMBER(Laboratorio_M!L37),Laboratorio_M!L37,"")</f>
        <v/>
      </c>
      <c r="AA65" s="36" t="str">
        <f t="shared" si="13"/>
        <v xml:space="preserve"> </v>
      </c>
      <c r="AB65" s="267" t="str">
        <f t="shared" si="14"/>
        <v xml:space="preserve"> </v>
      </c>
      <c r="AC65" s="161" t="str">
        <f t="shared" si="38"/>
        <v xml:space="preserve"> </v>
      </c>
      <c r="AD65" s="267">
        <f>Calculos_M!$U$1</f>
        <v>1.0662891477272729</v>
      </c>
      <c r="AE65" s="267">
        <f t="shared" si="34"/>
        <v>-1.0662891477272729</v>
      </c>
      <c r="AF65" s="35" t="str">
        <f>IF(ISNUMBER('Courier_M.'!N39),'Courier_M.'!N39,"")</f>
        <v/>
      </c>
      <c r="AG65" s="36" t="str">
        <f>IF(ISNUMBER(Laboratorio_M!N37),Laboratorio_M!N37,"")</f>
        <v/>
      </c>
      <c r="AH65" s="36" t="str">
        <f t="shared" si="15"/>
        <v xml:space="preserve"> </v>
      </c>
      <c r="AI65" s="267" t="str">
        <f t="shared" si="16"/>
        <v xml:space="preserve"> </v>
      </c>
      <c r="AJ65" s="161" t="str">
        <f t="shared" si="39"/>
        <v xml:space="preserve"> </v>
      </c>
      <c r="AK65" s="267">
        <f>Calculos_M!$V$1</f>
        <v>3.2516250000000003E-2</v>
      </c>
      <c r="AL65" s="267">
        <f t="shared" si="35"/>
        <v>-3.2516250000000003E-2</v>
      </c>
      <c r="AM65" s="35" t="str">
        <f>IF(ISNUMBER('Courier_M.'!P39),'Courier_M.'!P39,"")</f>
        <v/>
      </c>
      <c r="AN65" s="36" t="str">
        <f>IF(ISNUMBER(Laboratorio_M!P37),Laboratorio_M!P37,"")</f>
        <v/>
      </c>
      <c r="AO65" s="36" t="str">
        <f t="shared" si="17"/>
        <v xml:space="preserve"> </v>
      </c>
      <c r="AP65" s="267" t="str">
        <f t="shared" si="18"/>
        <v xml:space="preserve"> </v>
      </c>
      <c r="AQ65" s="161" t="str">
        <f t="shared" si="19"/>
        <v xml:space="preserve"> </v>
      </c>
      <c r="AR65" s="267"/>
      <c r="AS65" s="267"/>
      <c r="AT65" s="35">
        <f>IF(ISNUMBER('Courier_M.'!T39),'Courier_M.'!T39,0)</f>
        <v>0</v>
      </c>
      <c r="AU65" s="36" t="str">
        <f>IF(ISNUMBER(Laboratorio_M!T37),Laboratorio_M!T37,"")</f>
        <v/>
      </c>
      <c r="AV65" s="36" t="str">
        <f t="shared" si="20"/>
        <v xml:space="preserve"> </v>
      </c>
      <c r="AW65" s="267" t="str">
        <f t="shared" si="21"/>
        <v xml:space="preserve"> </v>
      </c>
      <c r="AX65" s="161" t="str">
        <f t="shared" si="40"/>
        <v xml:space="preserve"> </v>
      </c>
      <c r="AY65" s="267">
        <f>Calculos_M!$AH$1</f>
        <v>8.3191193181818196E-2</v>
      </c>
      <c r="AZ65" s="267">
        <f t="shared" si="22"/>
        <v>-8.3191193181818196E-2</v>
      </c>
      <c r="BA65" s="35">
        <f>IF(ISNUMBER('Courier_M.'!V39),'Courier_M.'!V39,0)</f>
        <v>0</v>
      </c>
      <c r="BB65" s="36" t="str">
        <f>IF(ISNUMBER(Laboratorio_M!V37),Laboratorio_M!V37,"")</f>
        <v/>
      </c>
      <c r="BC65" s="36" t="str">
        <f t="shared" si="23"/>
        <v xml:space="preserve"> </v>
      </c>
      <c r="BD65" s="267" t="str">
        <f t="shared" si="24"/>
        <v xml:space="preserve"> </v>
      </c>
      <c r="BE65" s="161" t="str">
        <f t="shared" si="41"/>
        <v xml:space="preserve"> </v>
      </c>
      <c r="BF65" s="267">
        <f>Calculos_M!$AI$1</f>
        <v>1.4830847050619838</v>
      </c>
      <c r="BG65" s="267">
        <f t="shared" si="25"/>
        <v>-1.4830847050619838</v>
      </c>
      <c r="BH65" s="35" t="str">
        <f>IF(ISNUMBER('Courier_M.'!X39),'Courier_M.'!X39,"")</f>
        <v/>
      </c>
      <c r="BI65" s="36" t="str">
        <f>IF(ISNUMBER(Laboratorio_M!X37),Laboratorio_M!X37,"")</f>
        <v/>
      </c>
      <c r="BJ65" s="36" t="str">
        <f t="shared" si="26"/>
        <v xml:space="preserve"> </v>
      </c>
      <c r="BK65" s="267" t="str">
        <f t="shared" si="27"/>
        <v xml:space="preserve"> </v>
      </c>
      <c r="BL65" s="161" t="str">
        <f t="shared" si="28"/>
        <v xml:space="preserve"> </v>
      </c>
      <c r="BM65" s="36"/>
      <c r="BN65" s="161"/>
      <c r="BO65" s="35">
        <f>IF(ISNUMBER('Courier_M.'!Z39),'Courier_M.'!Z39,"")</f>
        <v>2.7019176203405122</v>
      </c>
      <c r="BP65" s="36" t="str">
        <f>IF(ISNUMBER(Laboratorio_M!Z37),Laboratorio_M!Z37,"")</f>
        <v/>
      </c>
      <c r="BQ65" s="36" t="str">
        <f t="shared" si="29"/>
        <v xml:space="preserve"> </v>
      </c>
      <c r="BR65" s="267" t="str">
        <f t="shared" si="30"/>
        <v xml:space="preserve"> </v>
      </c>
      <c r="BS65" s="161" t="str">
        <f t="shared" si="31"/>
        <v xml:space="preserve"> </v>
      </c>
      <c r="BT65" s="36"/>
      <c r="BU65" s="161"/>
    </row>
    <row r="66" spans="2:73" ht="15" x14ac:dyDescent="0.2">
      <c r="C66" s="6" t="s">
        <v>60</v>
      </c>
      <c r="D66" s="268"/>
      <c r="E66" s="269"/>
      <c r="F66" s="270">
        <f>IF(ISNUMBER(STDEV(F4:F65)),STDEV(F4:F65),0)</f>
        <v>1.3526396317714691</v>
      </c>
      <c r="G66" s="267">
        <f t="shared" si="7"/>
        <v>1.3526396317714691</v>
      </c>
      <c r="H66" s="271">
        <f>IF(ISNUMBER(STDEV(H4:H65)),STDEV(H4:H65),0)</f>
        <v>3.9827033692712468</v>
      </c>
      <c r="I66" s="270"/>
      <c r="J66" s="270"/>
      <c r="K66" s="268"/>
      <c r="L66" s="269"/>
      <c r="M66" s="270">
        <f>IF(ISNUMBER(STDEV(M4:M65)),STDEV(M4:M65),0)</f>
        <v>0.6542820857139372</v>
      </c>
      <c r="N66" s="267">
        <f t="shared" si="9"/>
        <v>0.6542820857139372</v>
      </c>
      <c r="O66" s="271">
        <f>IF(ISNUMBER(STDEV(O4:O65)),STDEV(O4:O65),0)</f>
        <v>18.274127410699233</v>
      </c>
      <c r="P66" s="267"/>
      <c r="Q66" s="270"/>
      <c r="R66" s="272"/>
      <c r="S66" s="269"/>
      <c r="T66" s="270">
        <f>IF(ISNUMBER(STDEV(T4:T65)),STDEV(T4:T65),0)</f>
        <v>1.5842553288762113</v>
      </c>
      <c r="U66" s="267">
        <f t="shared" si="11"/>
        <v>1.5842553288762113</v>
      </c>
      <c r="V66" s="271">
        <f>IF(ISNUMBER(STDEV(V4:V65)),STDEV(V4:V65),0)</f>
        <v>3.4402852958479189</v>
      </c>
      <c r="W66" s="270"/>
      <c r="X66" s="270"/>
      <c r="Y66" s="268"/>
      <c r="Z66" s="269"/>
      <c r="AA66" s="270">
        <f>IF(ISNUMBER(STDEV(AA4:AA65)),STDEV(AA4:AA65),0)</f>
        <v>1.6245284257657615</v>
      </c>
      <c r="AB66" s="267">
        <f t="shared" si="14"/>
        <v>1.6245284257657615</v>
      </c>
      <c r="AC66" s="271">
        <f>IF(ISNUMBER(STDEV(AC4:AC65)),STDEV(AC4:AC65),0)</f>
        <v>4.7929924319631123</v>
      </c>
      <c r="AD66" s="267"/>
      <c r="AE66" s="270"/>
      <c r="AF66" s="268"/>
      <c r="AG66" s="269"/>
      <c r="AH66" s="270">
        <f>IF(ISNUMBER(STDEV(AH4:AH65)),STDEV(AH4:AH65),0)</f>
        <v>0.21139340238136581</v>
      </c>
      <c r="AI66" s="267">
        <f t="shared" si="16"/>
        <v>0.21139340238136581</v>
      </c>
      <c r="AJ66" s="271">
        <f>IF(ISNUMBER(STDEV(AJ4:AJ65)),STDEV(AJ4:AJ65),0)</f>
        <v>324.25547189742304</v>
      </c>
      <c r="AK66" s="270"/>
      <c r="AL66" s="270"/>
      <c r="AM66" s="272"/>
      <c r="AN66" s="269"/>
      <c r="AO66" s="270">
        <f>IF(ISNUMBER(STDEV(AO4:AO65)),STDEV(AO4:AO65),0)</f>
        <v>1.2962155545161098</v>
      </c>
      <c r="AP66" s="267">
        <f t="shared" si="18"/>
        <v>1.2962155545161098</v>
      </c>
      <c r="AQ66" s="271">
        <f>IF(ISNUMBER(STDEV(AQ4:AQ65)),STDEV(AQ4:AQ65),0)</f>
        <v>2.2337849392158802</v>
      </c>
      <c r="AR66" s="270"/>
      <c r="AS66" s="270"/>
      <c r="AT66" s="268"/>
      <c r="AU66" s="269"/>
      <c r="AV66" s="270">
        <f>IF(ISNUMBER(STDEV(AV4:AV65)),STDEV(AV4:AV65),0)</f>
        <v>0.29796149761981638</v>
      </c>
      <c r="AW66" s="270"/>
      <c r="AX66" s="271">
        <f>IF(ISNUMBER(STDEV(AX4:AX65)),STDEV(AX4:AX65),0)</f>
        <v>20.338949383857866</v>
      </c>
      <c r="AY66" s="270"/>
      <c r="AZ66" s="270"/>
      <c r="BA66" s="268"/>
      <c r="BB66" s="269"/>
      <c r="BC66" s="270">
        <f>IF(ISNUMBER(STDEV(BC4:BC65)),STDEV(BC4:BC65),0)</f>
        <v>1.3830951597502221</v>
      </c>
      <c r="BD66" s="270"/>
      <c r="BE66" s="271">
        <f>IF(ISNUMBER(STDEV(BE4:BE65)),STDEV(BE4:BE65),0)</f>
        <v>1.7334848182435985</v>
      </c>
      <c r="BF66" s="270"/>
      <c r="BG66" s="270"/>
      <c r="BH66" s="272"/>
      <c r="BI66" s="270"/>
      <c r="BJ66" s="270">
        <f>IF(ISNUMBER(STDEV(BJ4:BJ65)),STDEV(BJ4:BJ65),0)</f>
        <v>0.76277458033970813</v>
      </c>
      <c r="BK66" s="270"/>
      <c r="BL66" s="271">
        <f>IF(ISNUMBER(STDEV(BL4:BL65)),STDEV(BL4:BL65),0)</f>
        <v>23.320728200787698</v>
      </c>
      <c r="BM66" s="270"/>
      <c r="BN66" s="271"/>
      <c r="BQ66" s="36">
        <f>IF(ISNUMBER(STDEV(BQ4:BQ65)),STDEV(BQ4:BQ65),0)</f>
        <v>0.48411341251783579</v>
      </c>
      <c r="BR66" s="267">
        <f t="shared" si="30"/>
        <v>0.48411341251783579</v>
      </c>
      <c r="BS66" s="161">
        <f>IF(ISNUMBER(STDEV(BS4:BS65)),STDEV(BS4:BS65),0)</f>
        <v>43.655522993428853</v>
      </c>
    </row>
    <row r="68" spans="2:73" x14ac:dyDescent="0.2">
      <c r="G68" s="37">
        <f>IF(ISNUMBER(STDEV(AX4:AX65)),STDEV(AX4:AX65),0)</f>
        <v>20.338949383857866</v>
      </c>
    </row>
  </sheetData>
  <customSheetViews>
    <customSheetView guid="{C5BD3E9A-0945-47FE-8A56-1987B427C3E6}" scale="55" fitToPage="1" state="hidden">
      <pane xSplit="3" ySplit="3" topLeftCell="D37" activePane="bottomRight" state="frozen"/>
      <selection pane="bottomRight" activeCell="AD66" sqref="AD66"/>
      <pageMargins left="0.75" right="0.75" top="0.56999999999999995" bottom="0.56999999999999995" header="0.5" footer="0.5"/>
      <pageSetup scale="31" orientation="portrait" r:id="rId1"/>
      <headerFooter alignWithMargins="0"/>
    </customSheetView>
  </customSheetViews>
  <mergeCells count="13">
    <mergeCell ref="D1:V1"/>
    <mergeCell ref="D2:H2"/>
    <mergeCell ref="K2:O2"/>
    <mergeCell ref="R2:V2"/>
    <mergeCell ref="Y2:AC2"/>
    <mergeCell ref="BO2:BU2"/>
    <mergeCell ref="AM2:AQ2"/>
    <mergeCell ref="AT2:AX2"/>
    <mergeCell ref="BA2:BE2"/>
    <mergeCell ref="Y1:AQ1"/>
    <mergeCell ref="AF2:AJ2"/>
    <mergeCell ref="AT1:BN1"/>
    <mergeCell ref="BH2:BN2"/>
  </mergeCells>
  <phoneticPr fontId="23" type="noConversion"/>
  <pageMargins left="0.75" right="0.75" top="0.56999999999999995" bottom="0.56999999999999995" header="0.5" footer="0.5"/>
  <pageSetup scale="16"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>
    <pageSetUpPr fitToPage="1"/>
  </sheetPr>
  <dimension ref="A1:AB137"/>
  <sheetViews>
    <sheetView showGridLines="0" topLeftCell="A106" zoomScale="85" zoomScaleNormal="85" zoomScaleSheetLayoutView="85" zoomScalePageLayoutView="70" workbookViewId="0">
      <selection activeCell="M41" sqref="M41"/>
    </sheetView>
  </sheetViews>
  <sheetFormatPr defaultColWidth="9.140625" defaultRowHeight="12.75" x14ac:dyDescent="0.2"/>
  <sheetData>
    <row r="1" spans="1:25" ht="14.45" customHeight="1" x14ac:dyDescent="0.2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t="s">
        <v>18</v>
      </c>
    </row>
    <row r="2" spans="1:25" ht="14.45" customHeight="1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</row>
    <row r="3" spans="1:25" ht="14.45" customHeight="1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</row>
    <row r="4" spans="1:25" ht="14.45" customHeight="1" x14ac:dyDescent="0.2">
      <c r="A4" s="122"/>
      <c r="B4" s="122"/>
      <c r="C4" s="122"/>
      <c r="D4" s="122">
        <v>1</v>
      </c>
      <c r="E4" s="122"/>
      <c r="F4" s="122"/>
      <c r="G4" s="122"/>
      <c r="H4" s="122"/>
      <c r="I4" s="122"/>
      <c r="J4" s="122"/>
      <c r="K4" s="122"/>
      <c r="L4" s="122"/>
      <c r="M4" s="122"/>
      <c r="N4" s="240">
        <v>45024</v>
      </c>
      <c r="O4" s="122"/>
      <c r="P4" s="122"/>
      <c r="Q4" s="122"/>
      <c r="R4" s="122"/>
      <c r="S4" s="122"/>
      <c r="T4" s="122"/>
      <c r="U4" s="122"/>
      <c r="V4" s="122"/>
      <c r="W4" s="122"/>
      <c r="X4" s="122"/>
    </row>
    <row r="5" spans="1:25" ht="14.45" hidden="1" customHeight="1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240">
        <v>44020</v>
      </c>
      <c r="O5" s="122"/>
      <c r="P5" s="122"/>
      <c r="Q5" s="122"/>
      <c r="R5" s="122"/>
      <c r="S5" s="122"/>
      <c r="T5" s="122"/>
      <c r="U5" s="122"/>
      <c r="V5" s="122"/>
      <c r="W5" s="122"/>
      <c r="X5" s="122"/>
    </row>
    <row r="6" spans="1:25" ht="14.4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>
        <f>N5</f>
        <v>44020</v>
      </c>
      <c r="Q6" s="122"/>
      <c r="R6" s="122"/>
      <c r="S6" s="122"/>
      <c r="T6" s="122"/>
      <c r="U6" s="122"/>
      <c r="V6" s="122"/>
      <c r="W6" s="122"/>
      <c r="X6" s="122"/>
    </row>
    <row r="7" spans="1:25" ht="14.45" customHeight="1" x14ac:dyDescent="0.2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</row>
    <row r="8" spans="1:25" ht="14.45" customHeight="1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</row>
    <row r="9" spans="1:25" ht="14.45" customHeight="1" x14ac:dyDescent="0.2">
      <c r="A9" s="122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</row>
    <row r="10" spans="1:25" ht="14.45" customHeight="1" x14ac:dyDescent="0.2">
      <c r="A10" s="122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</row>
    <row r="11" spans="1:25" ht="14.45" customHeight="1" x14ac:dyDescent="0.2">
      <c r="A11" s="12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</row>
    <row r="12" spans="1:25" ht="14.45" customHeight="1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</row>
    <row r="13" spans="1:25" ht="14.45" customHeight="1" x14ac:dyDescent="0.2">
      <c r="A13" s="12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</row>
    <row r="14" spans="1:25" ht="14.45" customHeight="1" x14ac:dyDescent="0.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</row>
    <row r="15" spans="1:25" ht="14.45" customHeight="1" x14ac:dyDescent="0.2">
      <c r="A15" s="122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</row>
    <row r="16" spans="1:25" ht="14.45" customHeight="1" x14ac:dyDescent="0.2">
      <c r="A16" s="122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</row>
    <row r="17" spans="1:24" ht="14.45" customHeight="1" x14ac:dyDescent="0.2">
      <c r="A17" s="122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</row>
    <row r="18" spans="1:24" ht="14.45" customHeight="1" x14ac:dyDescent="0.2">
      <c r="A18" s="122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</row>
    <row r="19" spans="1:24" ht="14.45" customHeight="1" x14ac:dyDescent="0.2">
      <c r="A19" s="122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</row>
    <row r="20" spans="1:24" ht="14.45" customHeight="1" x14ac:dyDescent="0.2">
      <c r="A20" s="122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</row>
    <row r="21" spans="1:24" ht="14.45" customHeight="1" x14ac:dyDescent="0.2">
      <c r="A21" s="122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</row>
    <row r="22" spans="1:24" ht="14.45" customHeight="1" x14ac:dyDescent="0.2">
      <c r="A22" s="122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</row>
    <row r="23" spans="1:24" ht="14.45" customHeight="1" x14ac:dyDescent="0.2">
      <c r="A23" s="122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</row>
    <row r="24" spans="1:24" ht="14.45" customHeight="1" x14ac:dyDescent="0.2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</row>
    <row r="25" spans="1:24" ht="14.45" customHeight="1" x14ac:dyDescent="0.2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</row>
    <row r="26" spans="1:24" ht="14.45" customHeight="1" x14ac:dyDescent="0.2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</row>
    <row r="27" spans="1:24" ht="14.45" customHeight="1" x14ac:dyDescent="0.2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</row>
    <row r="28" spans="1:24" ht="14.45" customHeight="1" x14ac:dyDescent="0.2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</row>
    <row r="29" spans="1:24" ht="14.45" customHeight="1" x14ac:dyDescent="0.2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</row>
    <row r="30" spans="1:24" ht="14.45" customHeight="1" x14ac:dyDescent="0.2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</row>
    <row r="31" spans="1:24" ht="14.45" customHeight="1" x14ac:dyDescent="0.2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</row>
    <row r="32" spans="1:24" ht="14.45" customHeight="1" x14ac:dyDescent="0.2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</row>
    <row r="33" spans="1:28" ht="14.45" customHeight="1" x14ac:dyDescent="0.2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</row>
    <row r="34" spans="1:28" ht="14.45" customHeight="1" x14ac:dyDescent="0.2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</row>
    <row r="35" spans="1:28" ht="14.45" customHeight="1" x14ac:dyDescent="0.2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</row>
    <row r="36" spans="1:28" ht="14.45" customHeight="1" x14ac:dyDescent="0.2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</row>
    <row r="37" spans="1:28" ht="14.45" customHeight="1" x14ac:dyDescent="0.2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</row>
    <row r="38" spans="1:28" ht="18" customHeight="1" x14ac:dyDescent="0.2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</row>
    <row r="39" spans="1:28" ht="21.75" customHeight="1" x14ac:dyDescent="0.2">
      <c r="A39" s="122"/>
      <c r="B39" s="122"/>
      <c r="C39" s="122"/>
      <c r="D39" s="122" t="s">
        <v>18</v>
      </c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</row>
    <row r="40" spans="1:28" ht="14.45" customHeight="1" x14ac:dyDescent="0.2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</row>
    <row r="41" spans="1:28" ht="14.45" customHeight="1" x14ac:dyDescent="0.2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AB41" t="s">
        <v>18</v>
      </c>
    </row>
    <row r="42" spans="1:28" ht="14.45" customHeight="1" x14ac:dyDescent="0.2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</row>
    <row r="43" spans="1:28" ht="14.45" customHeight="1" x14ac:dyDescent="0.2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</row>
    <row r="44" spans="1:28" ht="14.45" customHeight="1" x14ac:dyDescent="0.2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</row>
    <row r="45" spans="1:28" ht="14.45" customHeight="1" x14ac:dyDescent="0.2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</row>
    <row r="46" spans="1:28" ht="14.45" customHeight="1" x14ac:dyDescent="0.2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</row>
    <row r="47" spans="1:28" ht="14.45" customHeight="1" x14ac:dyDescent="0.2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</row>
    <row r="48" spans="1:28" ht="14.45" customHeight="1" x14ac:dyDescent="0.2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</row>
    <row r="49" spans="1:24" ht="14.45" customHeight="1" x14ac:dyDescent="0.2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</row>
    <row r="50" spans="1:24" ht="14.45" customHeight="1" x14ac:dyDescent="0.2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</row>
    <row r="51" spans="1:24" ht="14.45" customHeight="1" x14ac:dyDescent="0.2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</row>
    <row r="52" spans="1:24" ht="14.45" customHeight="1" x14ac:dyDescent="0.2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</row>
    <row r="53" spans="1:24" ht="14.45" customHeight="1" x14ac:dyDescent="0.2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</row>
    <row r="54" spans="1:24" ht="14.45" customHeight="1" x14ac:dyDescent="0.2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</row>
    <row r="55" spans="1:24" ht="14.45" customHeight="1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</row>
    <row r="56" spans="1:24" ht="14.45" customHeight="1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</row>
    <row r="57" spans="1:24" ht="14.45" customHeight="1" x14ac:dyDescent="0.2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</row>
    <row r="58" spans="1:24" ht="14.45" customHeight="1" x14ac:dyDescent="0.2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</row>
    <row r="59" spans="1:24" ht="14.45" customHeight="1" x14ac:dyDescent="0.2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</row>
    <row r="60" spans="1:24" ht="14.45" customHeight="1" x14ac:dyDescent="0.2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</row>
    <row r="61" spans="1:24" ht="14.45" customHeight="1" x14ac:dyDescent="0.2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</row>
    <row r="62" spans="1:24" x14ac:dyDescent="0.2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</row>
    <row r="63" spans="1:24" x14ac:dyDescent="0.2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</row>
    <row r="64" spans="1:24" x14ac:dyDescent="0.2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</row>
    <row r="65" spans="1:24" x14ac:dyDescent="0.2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</row>
    <row r="66" spans="1:24" x14ac:dyDescent="0.2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</row>
    <row r="67" spans="1:24" x14ac:dyDescent="0.2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</row>
    <row r="68" spans="1:24" x14ac:dyDescent="0.2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</row>
    <row r="69" spans="1:24" x14ac:dyDescent="0.2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</row>
    <row r="70" spans="1:24" x14ac:dyDescent="0.2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</row>
    <row r="71" spans="1:24" x14ac:dyDescent="0.2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</row>
    <row r="72" spans="1:24" x14ac:dyDescent="0.2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</row>
    <row r="73" spans="1:24" x14ac:dyDescent="0.2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</row>
    <row r="74" spans="1:24" x14ac:dyDescent="0.2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</row>
    <row r="75" spans="1:24" x14ac:dyDescent="0.2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</row>
    <row r="76" spans="1:24" x14ac:dyDescent="0.2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</row>
    <row r="77" spans="1:24" x14ac:dyDescent="0.2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</row>
    <row r="78" spans="1:24" x14ac:dyDescent="0.2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</row>
    <row r="79" spans="1:24" x14ac:dyDescent="0.2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</row>
    <row r="80" spans="1:24" x14ac:dyDescent="0.2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</row>
    <row r="81" spans="1:24" x14ac:dyDescent="0.2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</row>
    <row r="82" spans="1:24" x14ac:dyDescent="0.2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</row>
    <row r="83" spans="1:24" x14ac:dyDescent="0.2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</row>
    <row r="84" spans="1:24" x14ac:dyDescent="0.2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</row>
    <row r="85" spans="1:24" x14ac:dyDescent="0.2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</row>
    <row r="86" spans="1:24" x14ac:dyDescent="0.2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</row>
    <row r="87" spans="1:24" x14ac:dyDescent="0.2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</row>
    <row r="88" spans="1:24" x14ac:dyDescent="0.2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</row>
    <row r="89" spans="1:24" x14ac:dyDescent="0.2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</row>
    <row r="90" spans="1:24" x14ac:dyDescent="0.2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</row>
    <row r="91" spans="1:24" x14ac:dyDescent="0.2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</row>
    <row r="92" spans="1:24" x14ac:dyDescent="0.2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</row>
    <row r="93" spans="1:24" x14ac:dyDescent="0.2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</row>
    <row r="94" spans="1:24" x14ac:dyDescent="0.2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</row>
    <row r="95" spans="1:24" x14ac:dyDescent="0.2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</row>
    <row r="96" spans="1:24" x14ac:dyDescent="0.2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</row>
    <row r="97" spans="1:24" x14ac:dyDescent="0.2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</row>
    <row r="98" spans="1:24" x14ac:dyDescent="0.2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</row>
    <row r="99" spans="1:24" x14ac:dyDescent="0.2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</row>
    <row r="100" spans="1:24" x14ac:dyDescent="0.2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</row>
    <row r="101" spans="1:24" x14ac:dyDescent="0.2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</row>
    <row r="102" spans="1:24" x14ac:dyDescent="0.2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</row>
    <row r="103" spans="1:24" x14ac:dyDescent="0.2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</row>
    <row r="104" spans="1:24" x14ac:dyDescent="0.2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</row>
    <row r="105" spans="1:24" x14ac:dyDescent="0.2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</row>
    <row r="106" spans="1:24" x14ac:dyDescent="0.2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</row>
    <row r="107" spans="1:24" x14ac:dyDescent="0.2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</row>
    <row r="108" spans="1:24" x14ac:dyDescent="0.2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</row>
    <row r="109" spans="1:24" x14ac:dyDescent="0.2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</row>
    <row r="110" spans="1:24" x14ac:dyDescent="0.2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</row>
    <row r="111" spans="1:24" x14ac:dyDescent="0.2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</row>
    <row r="112" spans="1:24" x14ac:dyDescent="0.2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</row>
    <row r="113" spans="1:24" x14ac:dyDescent="0.2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</row>
    <row r="114" spans="1:24" x14ac:dyDescent="0.2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</row>
    <row r="115" spans="1:24" x14ac:dyDescent="0.2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</row>
    <row r="116" spans="1:24" x14ac:dyDescent="0.2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</row>
    <row r="117" spans="1:24" x14ac:dyDescent="0.2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</row>
    <row r="118" spans="1:24" x14ac:dyDescent="0.2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</row>
    <row r="119" spans="1:24" x14ac:dyDescent="0.2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</row>
    <row r="120" spans="1:24" x14ac:dyDescent="0.2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</row>
    <row r="121" spans="1:24" x14ac:dyDescent="0.2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</row>
    <row r="122" spans="1:24" x14ac:dyDescent="0.2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</row>
    <row r="123" spans="1:24" x14ac:dyDescent="0.2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</row>
    <row r="124" spans="1:24" x14ac:dyDescent="0.2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</row>
    <row r="125" spans="1:24" x14ac:dyDescent="0.2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</row>
    <row r="126" spans="1:24" x14ac:dyDescent="0.2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</row>
    <row r="127" spans="1:24" x14ac:dyDescent="0.2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</row>
    <row r="128" spans="1:24" x14ac:dyDescent="0.2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</row>
    <row r="129" spans="1:24" x14ac:dyDescent="0.2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</row>
    <row r="130" spans="1:24" x14ac:dyDescent="0.2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</row>
    <row r="131" spans="1:24" x14ac:dyDescent="0.2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</row>
    <row r="132" spans="1:24" x14ac:dyDescent="0.2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</row>
    <row r="133" spans="1:24" x14ac:dyDescent="0.2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</row>
    <row r="134" spans="1:24" x14ac:dyDescent="0.2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</row>
    <row r="135" spans="1:24" x14ac:dyDescent="0.2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</row>
    <row r="136" spans="1:24" x14ac:dyDescent="0.2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</row>
    <row r="137" spans="1:24" x14ac:dyDescent="0.2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</row>
  </sheetData>
  <customSheetViews>
    <customSheetView guid="{C5BD3E9A-0945-47FE-8A56-1987B427C3E6}" scale="61" showPageBreaks="1" showGridLines="0" fitToPage="1" printArea="1">
      <selection activeCell="R102" sqref="R102"/>
      <pageMargins left="0.44" right="0.13" top="0.4" bottom="0.45" header="0.38" footer="0.39"/>
      <pageSetup scale="45" orientation="portrait" r:id="rId1"/>
      <headerFooter alignWithMargins="0"/>
    </customSheetView>
  </customSheetViews>
  <pageMargins left="0.44" right="0.13" top="0.4" bottom="0.45" header="0.38" footer="0.39"/>
  <pageSetup scale="40" orientation="portrait" r:id="rId2"/>
  <headerFooter alignWithMargins="0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3:AD91"/>
  <sheetViews>
    <sheetView showGridLines="0" zoomScale="75" workbookViewId="0">
      <pane xSplit="4" ySplit="14" topLeftCell="S24" activePane="bottomRight" state="frozen"/>
      <selection pane="topRight" activeCell="E1" sqref="E1"/>
      <selection pane="bottomLeft" activeCell="A15" sqref="A15"/>
      <selection pane="bottomRight" activeCell="D51" sqref="D51"/>
    </sheetView>
  </sheetViews>
  <sheetFormatPr defaultColWidth="9.140625" defaultRowHeight="12.75" x14ac:dyDescent="0.2"/>
  <cols>
    <col min="1" max="1" width="8.5703125" customWidth="1"/>
    <col min="2" max="2" width="22.5703125" customWidth="1"/>
    <col min="3" max="3" width="23.140625" bestFit="1" customWidth="1"/>
    <col min="4" max="4" width="22.85546875" bestFit="1" customWidth="1"/>
    <col min="5" max="5" width="29" customWidth="1"/>
    <col min="6" max="30" width="28.5703125" customWidth="1"/>
  </cols>
  <sheetData>
    <row r="3" spans="2:30" x14ac:dyDescent="0.2">
      <c r="F3" s="57">
        <v>0.27083333333333331</v>
      </c>
      <c r="G3">
        <v>1830</v>
      </c>
    </row>
    <row r="4" spans="2:30" x14ac:dyDescent="0.2">
      <c r="B4" s="39" t="s">
        <v>40</v>
      </c>
      <c r="F4" s="57">
        <v>0.27083333333333331</v>
      </c>
    </row>
    <row r="5" spans="2:30" x14ac:dyDescent="0.2">
      <c r="B5" s="40"/>
    </row>
    <row r="6" spans="2:30" x14ac:dyDescent="0.2">
      <c r="B6" s="1"/>
    </row>
    <row r="7" spans="2:30" x14ac:dyDescent="0.2">
      <c r="B7" s="1"/>
    </row>
    <row r="9" spans="2:30" ht="13.5" thickBot="1" x14ac:dyDescent="0.25">
      <c r="E9" t="s">
        <v>41</v>
      </c>
      <c r="J9" t="s">
        <v>42</v>
      </c>
      <c r="W9" t="s">
        <v>43</v>
      </c>
    </row>
    <row r="10" spans="2:30" ht="16.5" thickBot="1" x14ac:dyDescent="0.3">
      <c r="E10" s="48" t="s">
        <v>0</v>
      </c>
      <c r="F10" s="49"/>
      <c r="G10" s="48"/>
      <c r="H10" s="49"/>
      <c r="I10" s="48"/>
      <c r="J10" s="49"/>
      <c r="K10" s="49"/>
      <c r="L10" s="49"/>
      <c r="M10" s="49"/>
      <c r="N10" s="49"/>
      <c r="O10" s="58" t="s">
        <v>4</v>
      </c>
      <c r="P10" s="59"/>
      <c r="Q10" s="58"/>
      <c r="R10" s="59"/>
      <c r="S10" s="58"/>
      <c r="T10" s="59"/>
      <c r="U10" s="59"/>
      <c r="V10" s="59"/>
      <c r="W10" s="48" t="s">
        <v>5</v>
      </c>
      <c r="X10" s="49"/>
      <c r="Y10" s="48"/>
      <c r="Z10" s="49"/>
      <c r="AA10" s="48"/>
      <c r="AB10" s="49"/>
      <c r="AC10" s="48"/>
      <c r="AD10" s="49"/>
    </row>
    <row r="11" spans="2:30" ht="15.75" x14ac:dyDescent="0.25">
      <c r="C11" s="27"/>
      <c r="D11" s="27"/>
      <c r="E11" s="51" t="s">
        <v>1</v>
      </c>
      <c r="F11" s="52"/>
      <c r="G11" s="51" t="s">
        <v>2</v>
      </c>
      <c r="H11" s="52"/>
      <c r="I11" s="51" t="s">
        <v>3</v>
      </c>
      <c r="J11" s="52"/>
      <c r="K11" s="51" t="s">
        <v>44</v>
      </c>
      <c r="L11" s="52"/>
      <c r="M11" s="51" t="s">
        <v>45</v>
      </c>
      <c r="N11" s="60"/>
      <c r="O11" s="51" t="s">
        <v>1</v>
      </c>
      <c r="P11" s="52"/>
      <c r="Q11" s="51" t="s">
        <v>2</v>
      </c>
      <c r="R11" s="52"/>
      <c r="S11" s="412" t="s">
        <v>3</v>
      </c>
      <c r="T11" s="413"/>
      <c r="U11" s="51"/>
      <c r="V11" s="52"/>
      <c r="W11" s="51" t="s">
        <v>1</v>
      </c>
      <c r="X11" s="52"/>
      <c r="Y11" s="51" t="s">
        <v>2</v>
      </c>
      <c r="Z11" s="52"/>
      <c r="AA11" s="412" t="s">
        <v>3</v>
      </c>
      <c r="AB11" s="413"/>
      <c r="AC11" s="412" t="s">
        <v>236</v>
      </c>
      <c r="AD11" s="413"/>
    </row>
    <row r="12" spans="2:30" x14ac:dyDescent="0.2">
      <c r="C12" s="27"/>
      <c r="D12" s="27"/>
      <c r="E12" s="53" t="s">
        <v>121</v>
      </c>
      <c r="F12" s="53" t="s">
        <v>121</v>
      </c>
      <c r="G12" s="53" t="s">
        <v>122</v>
      </c>
      <c r="H12" s="53" t="s">
        <v>122</v>
      </c>
      <c r="I12" s="53" t="s">
        <v>123</v>
      </c>
      <c r="J12" s="53" t="s">
        <v>123</v>
      </c>
      <c r="K12" s="53" t="s">
        <v>124</v>
      </c>
      <c r="L12" s="53" t="s">
        <v>124</v>
      </c>
      <c r="M12" s="53"/>
      <c r="N12" s="53"/>
      <c r="O12" s="2" t="s">
        <v>125</v>
      </c>
      <c r="P12" s="2" t="s">
        <v>125</v>
      </c>
      <c r="Q12" s="2" t="s">
        <v>126</v>
      </c>
      <c r="R12" s="2" t="s">
        <v>126</v>
      </c>
      <c r="S12" s="2" t="s">
        <v>127</v>
      </c>
      <c r="T12" s="2" t="s">
        <v>127</v>
      </c>
      <c r="U12" s="2"/>
      <c r="V12" s="2"/>
      <c r="W12" s="2" t="s">
        <v>128</v>
      </c>
      <c r="X12" s="2" t="s">
        <v>128</v>
      </c>
      <c r="Y12" s="2" t="s">
        <v>129</v>
      </c>
      <c r="Z12" s="2" t="s">
        <v>129</v>
      </c>
      <c r="AA12" s="2" t="s">
        <v>130</v>
      </c>
      <c r="AB12" s="2" t="s">
        <v>130</v>
      </c>
      <c r="AC12" s="276" t="s">
        <v>237</v>
      </c>
      <c r="AD12" s="4"/>
    </row>
    <row r="13" spans="2:30" ht="13.5" thickBot="1" x14ac:dyDescent="0.25">
      <c r="C13" s="27"/>
      <c r="D13" s="27"/>
      <c r="E13" s="54"/>
      <c r="F13" s="54"/>
      <c r="G13" s="3"/>
      <c r="H13" s="3"/>
      <c r="I13" s="55"/>
      <c r="J13" s="55"/>
      <c r="K13" s="55"/>
      <c r="L13" s="55"/>
      <c r="M13" s="55"/>
      <c r="N13" s="55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</row>
    <row r="14" spans="2:30" ht="16.5" thickBot="1" x14ac:dyDescent="0.3">
      <c r="B14" s="41" t="s">
        <v>14</v>
      </c>
      <c r="C14" s="42" t="s">
        <v>46</v>
      </c>
      <c r="D14" s="43"/>
      <c r="E14" s="159" t="s">
        <v>10</v>
      </c>
      <c r="F14" s="159" t="s">
        <v>11</v>
      </c>
      <c r="G14" s="50" t="s">
        <v>10</v>
      </c>
      <c r="H14" s="50" t="s">
        <v>11</v>
      </c>
      <c r="I14" s="50" t="s">
        <v>10</v>
      </c>
      <c r="J14" s="50" t="s">
        <v>11</v>
      </c>
      <c r="K14" s="50" t="s">
        <v>10</v>
      </c>
      <c r="L14" s="50" t="s">
        <v>11</v>
      </c>
      <c r="M14" s="50" t="s">
        <v>10</v>
      </c>
      <c r="N14" s="50" t="s">
        <v>11</v>
      </c>
      <c r="O14" s="50" t="s">
        <v>10</v>
      </c>
      <c r="P14" s="50" t="s">
        <v>11</v>
      </c>
      <c r="Q14" s="50" t="s">
        <v>10</v>
      </c>
      <c r="R14" s="50" t="s">
        <v>11</v>
      </c>
      <c r="S14" s="50" t="s">
        <v>10</v>
      </c>
      <c r="T14" s="50" t="s">
        <v>11</v>
      </c>
      <c r="U14" s="50" t="s">
        <v>10</v>
      </c>
      <c r="V14" s="50" t="s">
        <v>11</v>
      </c>
      <c r="W14" s="50" t="s">
        <v>10</v>
      </c>
      <c r="X14" s="50" t="s">
        <v>11</v>
      </c>
      <c r="Y14" s="50" t="s">
        <v>10</v>
      </c>
      <c r="Z14" s="50" t="s">
        <v>11</v>
      </c>
      <c r="AA14" s="50" t="s">
        <v>10</v>
      </c>
      <c r="AB14" s="50" t="s">
        <v>11</v>
      </c>
      <c r="AC14" s="50" t="s">
        <v>10</v>
      </c>
      <c r="AD14" s="50" t="s">
        <v>11</v>
      </c>
    </row>
    <row r="15" spans="2:30" s="5" customFormat="1" ht="18.75" customHeight="1" thickBot="1" x14ac:dyDescent="0.3">
      <c r="B15" s="44">
        <f>+Laboratorio!B7</f>
        <v>46248</v>
      </c>
      <c r="C15" s="45">
        <f>+B15+18.5/24</f>
        <v>46248.770833333336</v>
      </c>
      <c r="D15" s="158">
        <f>+C15+0.5</f>
        <v>46249.270833333336</v>
      </c>
      <c r="E15" s="160">
        <f>IF(ISNUMBER(_xll.PIArcVal(E$12,$C15, 0,"TPI","AUTO"))=TRUE,_xll.PIArcVal(E$12,$C15, 0,"TPI","AUTO"),"")</f>
        <v>0.46027767658233643</v>
      </c>
      <c r="F15" s="160">
        <f>IF(ISNUMBER(_xll.PIArcVal(F$12,$D15, 0,"TPI","AUTO"))=TRUE,_xll.PIArcVal(F$12,$D15, 0,"TPI","AUTO"),"")</f>
        <v>0.46027767658233643</v>
      </c>
      <c r="G15" s="160">
        <f>IF(ISNUMBER(_xll.PIArcVal(G$12,$C15, 0,"TPI","AUTO"))=TRUE,_xll.PIArcVal(G$12,$C15, 0,"TPI","AUTO"),"")</f>
        <v>3.4962505102157593E-2</v>
      </c>
      <c r="H15" s="160">
        <f>IF(ISNUMBER(_xll.PIArcVal(H$12,$D15, 0,"TPI","AUTO"))=TRUE,_xll.PIArcVal(H$12,$D15, 0,"TPI","AUTO"),"")</f>
        <v>3.4962505102157593E-2</v>
      </c>
      <c r="I15" s="160">
        <f>IF(ISNUMBER(_xll.PIArcVal(I$12,$C15, 0,"TPI","AUTO"))=TRUE,_xll.PIArcVal(I$12,$C15, 0,"TPI","AUTO"),"")</f>
        <v>1.5964376926422119</v>
      </c>
      <c r="J15" s="160">
        <f>IF(ISNUMBER(_xll.PIArcVal(J$12,$D15, 0,"TPI","AUTO"))=TRUE,_xll.PIArcVal(J$12,$D15, 0,"TPI","AUTO"),"")</f>
        <v>1.5964376926422119</v>
      </c>
      <c r="K15" s="160">
        <f>IF(ISNUMBER(_xll.PIArcVal(K$12,$C15, 0,"TPI","AUTO"))=TRUE,_xll.PIArcVal(K$12,$C15, 0,"TPI","AUTO"),"")</f>
        <v>4.7147199511528015E-3</v>
      </c>
      <c r="L15" s="160">
        <f>IF(ISNUMBER(_xll.PIArcVal(L$12,$D15, 0,"TPI","AUTO"))=TRUE,_xll.PIArcVal(L$12,$D15, 0,"TPI","AUTO"),"")</f>
        <v>4.7147199511528015E-3</v>
      </c>
      <c r="M15" s="160" t="str">
        <f>IF(ISNUMBER(_xll.PIArcVal(M$12,$C15, 0,"TPI","AUTO"))=TRUE,_xll.PIArcVal(M$12,$C15, 0,"TPI","AUTO"),"")</f>
        <v/>
      </c>
      <c r="N15" s="160" t="str">
        <f>IF(ISNUMBER(_xll.PIArcVal(N$12,$D15, 0,"TPI","AUTO"))=TRUE,_xll.PIArcVal(N$12,$D15, 0,"TPI","AUTO"),"")</f>
        <v/>
      </c>
      <c r="O15" s="160">
        <f>IF(ISNUMBER(_xll.PIArcVal(O$12,$C15, 0,"TPI","AUTO"))=TRUE,_xll.PIArcVal(O$12,$C15, 0,"TPI","AUTO"),"")</f>
        <v>4.5330308377742767E-2</v>
      </c>
      <c r="P15" s="160">
        <f>IF(ISNUMBER(_xll.PIArcVal(P$12,$D15, 0,"TPI","AUTO"))=TRUE,_xll.PIArcVal(P$12,$D15, 0,"TPI","AUTO"),"")</f>
        <v>4.9011528491973877E-2</v>
      </c>
      <c r="Q15" s="160">
        <f>IF(ISNUMBER(_xll.PIArcVal(Q$12,$C15, 0,"TPI","AUTO"))=TRUE,_xll.PIArcVal(Q$12,$C15, 0,"TPI","AUTO"),"")</f>
        <v>6.6227056086063385E-3</v>
      </c>
      <c r="R15" s="160">
        <f>IF(ISNUMBER(_xll.PIArcVal(R$12,$D15, 0,"TPI","AUTO"))=TRUE,_xll.PIArcVal(R$12,$D15, 0,"TPI","AUTO"),"")</f>
        <v>6.8858852609992027E-3</v>
      </c>
      <c r="S15" s="160">
        <f>IF(ISNUMBER(_xll.PIArcVal(S$12,$C15, 0,"TPI","AUTO"))=TRUE,_xll.PIArcVal(S$12,$C15, 0,"TPI","AUTO"),"")</f>
        <v>1.1579176187515259</v>
      </c>
      <c r="T15" s="160">
        <f>IF(ISNUMBER(_xll.PIArcVal(T$12,$D15, 0,"TPI","AUTO"))=TRUE,_xll.PIArcVal(T$12,$D15, 0,"TPI","AUTO"),"")</f>
        <v>1.4105159044265747</v>
      </c>
      <c r="U15" s="47"/>
      <c r="V15" s="47"/>
      <c r="W15" s="160">
        <f>IF(ISNUMBER(_xll.PIArcVal(W$12,$C15, 0,"TPI","AUTO"))=TRUE,_xll.PIArcVal(W$12,$C15, 0,"TPI","AUTO"),"")</f>
        <v>21.580696105957031</v>
      </c>
      <c r="X15" s="160">
        <f>IF(ISNUMBER(_xll.PIArcVal(X$12,$D15, 0,"TPI","AUTO"))=TRUE,_xll.PIArcVal(X$12,$D15, 0,"TPI","AUTO"),"")</f>
        <v>23.905122756958008</v>
      </c>
      <c r="Y15" s="160">
        <f>IF(ISNUMBER(_xll.PIArcVal(Y$12,$C15, 0,"TPI","AUTO"))=TRUE,_xll.PIArcVal(Y$12,$C15, 0,"TPI","AUTO"),"")</f>
        <v>1.0875203609466553</v>
      </c>
      <c r="Z15" s="160">
        <f>IF(ISNUMBER(_xll.PIArcVal(Z$12,$D15, 0,"TPI","AUTO"))=TRUE,_xll.PIArcVal(Z$12,$D15, 0,"TPI","AUTO"),"")</f>
        <v>1.8896942138671875</v>
      </c>
      <c r="AA15" s="160">
        <f>IF(ISNUMBER(_xll.PIArcVal(AA$12,$C15, 0,"TPI","AUTO"))=TRUE,_xll.PIArcVal(AA$12,$C15, 0,"TPI","AUTO"),"")</f>
        <v>25.751577377319336</v>
      </c>
      <c r="AB15" s="160">
        <f>IF(ISNUMBER(_xll.PIArcVal(AB$12,$D15, 0,"TPI","AUTO"))=TRUE,_xll.PIArcVal(AB$12,$D15, 0,"TPI","AUTO"),"")</f>
        <v>29.464408874511719</v>
      </c>
      <c r="AC15" s="47"/>
      <c r="AD15" s="47" cm="1">
        <f t="array" ref="AD15">IF(ISNUMBER(_xll.PIAdvCalcVal(Courier!$AC$12,Courier!$C15,Courier!$D15,"average (time-weighted)","time-weighted",0,1,0,"")),_xll.PIAdvCalcVal(Courier!$AC$12,Courier!$C15,Courier!$D15,"average (time-weighted)","time-weighted",0,1,0,""),"")</f>
        <v>10.265418337406794</v>
      </c>
    </row>
    <row r="16" spans="2:30" ht="16.5" thickBot="1" x14ac:dyDescent="0.3">
      <c r="B16" s="44">
        <f>+B15+1</f>
        <v>46249</v>
      </c>
      <c r="C16" s="45">
        <f t="shared" ref="C16:C17" si="0">+B16+18.5/24</f>
        <v>46249.770833333336</v>
      </c>
      <c r="D16" s="158">
        <f t="shared" ref="D16:D45" si="1">+C16+0.5</f>
        <v>46250.270833333336</v>
      </c>
      <c r="E16" s="160">
        <f>IF(ISNUMBER(_xll.PIArcVal(E$12,$C16, 0,"TPI","AUTO"))=TRUE,_xll.PIArcVal(E$12,$C16, 0,"TPI","AUTO"),"")</f>
        <v>0.35865437984466553</v>
      </c>
      <c r="F16" s="160">
        <f>IF(ISNUMBER(_xll.PIArcVal(F$12,$D16, 0,"TPI","AUTO"))=TRUE,_xll.PIArcVal(F$12,$D16, 0,"TPI","AUTO"),"")</f>
        <v>0.35865437984466553</v>
      </c>
      <c r="G16" s="160">
        <f>IF(ISNUMBER(_xll.PIArcVal(G$12,$C16, 0,"TPI","AUTO"))=TRUE,_xll.PIArcVal(G$12,$C16, 0,"TPI","AUTO"),"")</f>
        <v>6.1913244426250458E-2</v>
      </c>
      <c r="H16" s="160">
        <f>IF(ISNUMBER(_xll.PIArcVal(H$12,$D16, 0,"TPI","AUTO"))=TRUE,_xll.PIArcVal(H$12,$D16, 0,"TPI","AUTO"),"")</f>
        <v>6.1913244426250458E-2</v>
      </c>
      <c r="I16" s="160">
        <f>IF(ISNUMBER(_xll.PIArcVal(I$12,$C16, 0,"TPI","AUTO"))=TRUE,_xll.PIArcVal(I$12,$C16, 0,"TPI","AUTO"),"")</f>
        <v>1.9872089624404907</v>
      </c>
      <c r="J16" s="160">
        <f>IF(ISNUMBER(_xll.PIArcVal(J$12,$D16, 0,"TPI","AUTO"))=TRUE,_xll.PIArcVal(J$12,$D16, 0,"TPI","AUTO"),"")</f>
        <v>1.9872089624404907</v>
      </c>
      <c r="K16" s="160">
        <f>IF(ISNUMBER(_xll.PIArcVal(K$12,$C16, 0,"TPI","AUTO"))=TRUE,_xll.PIArcVal(K$12,$C16, 0,"TPI","AUTO"),"")</f>
        <v>6.1931628733873367E-3</v>
      </c>
      <c r="L16" s="160">
        <f>IF(ISNUMBER(_xll.PIArcVal(L$12,$D16, 0,"TPI","AUTO"))=TRUE,_xll.PIArcVal(L$12,$D16, 0,"TPI","AUTO"),"")</f>
        <v>6.1931628733873367E-3</v>
      </c>
      <c r="M16" s="160" t="str">
        <f>IF(ISNUMBER(_xll.PIArcVal(M$12,$C16, 0,"TPI","AUTO"))=TRUE,_xll.PIArcVal(M$12,$C16, 0,"TPI","AUTO"),"")</f>
        <v/>
      </c>
      <c r="N16" s="160" t="str">
        <f>IF(ISNUMBER(_xll.PIArcVal(N$12,$D16, 0,"TPI","AUTO"))=TRUE,_xll.PIArcVal(N$12,$D16, 0,"TPI","AUTO"),"")</f>
        <v/>
      </c>
      <c r="O16" s="160">
        <f>IF(ISNUMBER(_xll.PIArcVal(O$12,$C16, 0,"TPI","AUTO"))=TRUE,_xll.PIArcVal(O$12,$C16, 0,"TPI","AUTO"),"")</f>
        <v>3.435400128364563E-2</v>
      </c>
      <c r="P16" s="160">
        <f>IF(ISNUMBER(_xll.PIArcVal(P$12,$D16, 0,"TPI","AUTO"))=TRUE,_xll.PIArcVal(P$12,$D16, 0,"TPI","AUTO"),"")</f>
        <v>3.435400128364563E-2</v>
      </c>
      <c r="Q16" s="160">
        <f>IF(ISNUMBER(_xll.PIArcVal(Q$12,$C16, 0,"TPI","AUTO"))=TRUE,_xll.PIArcVal(Q$12,$C16, 0,"TPI","AUTO"),"")</f>
        <v>3.438678802922368E-3</v>
      </c>
      <c r="R16" s="160">
        <f>IF(ISNUMBER(_xll.PIArcVal(R$12,$D16, 0,"TPI","AUTO"))=TRUE,_xll.PIArcVal(R$12,$D16, 0,"TPI","AUTO"),"")</f>
        <v>3.438678802922368E-3</v>
      </c>
      <c r="S16" s="160">
        <f>IF(ISNUMBER(_xll.PIArcVal(S$12,$C16, 0,"TPI","AUTO"))=TRUE,_xll.PIArcVal(S$12,$C16, 0,"TPI","AUTO"),"")</f>
        <v>2.0302956104278564</v>
      </c>
      <c r="T16" s="160">
        <f>IF(ISNUMBER(_xll.PIArcVal(T$12,$D16, 0,"TPI","AUTO"))=TRUE,_xll.PIArcVal(T$12,$D16, 0,"TPI","AUTO"),"")</f>
        <v>2.0302956104278564</v>
      </c>
      <c r="U16" s="47"/>
      <c r="V16" s="47"/>
      <c r="W16" s="160">
        <f>IF(ISNUMBER(_xll.PIArcVal(W$12,$C16, 0,"TPI","AUTO"))=TRUE,_xll.PIArcVal(W$12,$C16, 0,"TPI","AUTO"),"")</f>
        <v>23.07972526550293</v>
      </c>
      <c r="X16" s="160">
        <f>IF(ISNUMBER(_xll.PIArcVal(X$12,$D16, 0,"TPI","AUTO"))=TRUE,_xll.PIArcVal(X$12,$D16, 0,"TPI","AUTO"),"")</f>
        <v>23.07972526550293</v>
      </c>
      <c r="Y16" s="160">
        <f>IF(ISNUMBER(_xll.PIArcVal(Y$12,$C16, 0,"TPI","AUTO"))=TRUE,_xll.PIArcVal(Y$12,$C16, 0,"TPI","AUTO"),"")</f>
        <v>3.2183988094329834</v>
      </c>
      <c r="Z16" s="160">
        <f>IF(ISNUMBER(_xll.PIArcVal(Z$12,$D16, 0,"TPI","AUTO"))=TRUE,_xll.PIArcVal(Z$12,$D16, 0,"TPI","AUTO"),"")</f>
        <v>3.2183988094329834</v>
      </c>
      <c r="AA16" s="160">
        <f>IF(ISNUMBER(_xll.PIArcVal(AA$12,$C16, 0,"TPI","AUTO"))=TRUE,_xll.PIArcVal(AA$12,$C16, 0,"TPI","AUTO"),"")</f>
        <v>27.397794723510742</v>
      </c>
      <c r="AB16" s="160">
        <f>IF(ISNUMBER(_xll.PIArcVal(AB$12,$D16, 0,"TPI","AUTO"))=TRUE,_xll.PIArcVal(AB$12,$D16, 0,"TPI","AUTO"),"")</f>
        <v>27.397794723510742</v>
      </c>
      <c r="AC16" s="47" cm="1">
        <f t="array" ref="AC16">IF(ISNUMBER(_xll.PIAdvCalcVal(Courier!$AC$12,Courier!$D15,Courier!$C16,"average (time-weighted)","time-weighted",0,1,0,"")),_xll.PIAdvCalcVal(Courier!$AC$12,Courier!$D15,Courier!$C16,"average (time-weighted)","time-weighted",0,1,0,""),"")</f>
        <v>10.871502821578806</v>
      </c>
      <c r="AD16" s="47"/>
    </row>
    <row r="17" spans="2:30" ht="16.5" thickBot="1" x14ac:dyDescent="0.3">
      <c r="B17" s="44">
        <f>+B16+1</f>
        <v>46250</v>
      </c>
      <c r="C17" s="45">
        <f t="shared" si="0"/>
        <v>46250.770833333336</v>
      </c>
      <c r="D17" s="158">
        <f t="shared" si="1"/>
        <v>46251.270833333336</v>
      </c>
      <c r="E17" s="160">
        <f>IF(ISNUMBER(_xll.PIArcVal(E$12,$C17, 0,"TPI","AUTO"))=TRUE,_xll.PIArcVal(E$12,$C17, 0,"TPI","AUTO"),"")</f>
        <v>0.44376808404922485</v>
      </c>
      <c r="F17" s="160">
        <f>IF(ISNUMBER(_xll.PIArcVal(F$12,$D17, 0,"TPI","AUTO"))=TRUE,_xll.PIArcVal(F$12,$D17, 0,"TPI","AUTO"),"")</f>
        <v>0.57219672203063965</v>
      </c>
      <c r="G17" s="160">
        <f>IF(ISNUMBER(_xll.PIArcVal(G$12,$C17, 0,"TPI","AUTO"))=TRUE,_xll.PIArcVal(G$12,$C17, 0,"TPI","AUTO"),"")</f>
        <v>6.0916222631931305E-2</v>
      </c>
      <c r="H17" s="160">
        <f>IF(ISNUMBER(_xll.PIArcVal(H$12,$D17, 0,"TPI","AUTO"))=TRUE,_xll.PIArcVal(H$12,$D17, 0,"TPI","AUTO"),"")</f>
        <v>8.1276476383209229E-2</v>
      </c>
      <c r="I17" s="160">
        <f>IF(ISNUMBER(_xll.PIArcVal(I$12,$C17, 0,"TPI","AUTO"))=TRUE,_xll.PIArcVal(I$12,$C17, 0,"TPI","AUTO"),"")</f>
        <v>2.1675477027893066</v>
      </c>
      <c r="J17" s="160">
        <f>IF(ISNUMBER(_xll.PIArcVal(J$12,$D17, 0,"TPI","AUTO"))=TRUE,_xll.PIArcVal(J$12,$D17, 0,"TPI","AUTO"),"")</f>
        <v>1.7473745346069336</v>
      </c>
      <c r="K17" s="160">
        <f>IF(ISNUMBER(_xll.PIArcVal(K$12,$C17, 0,"TPI","AUTO"))=TRUE,_xll.PIArcVal(K$12,$C17, 0,"TPI","AUTO"),"")</f>
        <v>6.5892492420971394E-3</v>
      </c>
      <c r="L17" s="160">
        <f>IF(ISNUMBER(_xll.PIArcVal(L$12,$D17, 0,"TPI","AUTO"))=TRUE,_xll.PIArcVal(L$12,$D17, 0,"TPI","AUTO"),"")</f>
        <v>6.1063943430781364E-3</v>
      </c>
      <c r="M17" s="160" t="str">
        <f>IF(ISNUMBER(_xll.PIArcVal(M$12,$C17, 0,"TPI","AUTO"))=TRUE,_xll.PIArcVal(M$12,$C17, 0,"TPI","AUTO"),"")</f>
        <v/>
      </c>
      <c r="N17" s="160" t="str">
        <f>IF(ISNUMBER(_xll.PIArcVal(N$12,$D17, 0,"TPI","AUTO"))=TRUE,_xll.PIArcVal(N$12,$D17, 0,"TPI","AUTO"),"")</f>
        <v/>
      </c>
      <c r="O17" s="160">
        <f>IF(ISNUMBER(_xll.PIArcVal(O$12,$C17, 0,"TPI","AUTO"))=TRUE,_xll.PIArcVal(O$12,$C17, 0,"TPI","AUTO"),"")</f>
        <v>4.1274219751358032E-2</v>
      </c>
      <c r="P17" s="160">
        <f>IF(ISNUMBER(_xll.PIArcVal(P$12,$D17, 0,"TPI","AUTO"))=TRUE,_xll.PIArcVal(P$12,$D17, 0,"TPI","AUTO"),"")</f>
        <v>4.2272794991731644E-2</v>
      </c>
      <c r="Q17" s="160">
        <f>IF(ISNUMBER(_xll.PIArcVal(Q$12,$C17, 0,"TPI","AUTO"))=TRUE,_xll.PIArcVal(Q$12,$C17, 0,"TPI","AUTO"),"")</f>
        <v>3.662097966298461E-3</v>
      </c>
      <c r="R17" s="160">
        <f>IF(ISNUMBER(_xll.PIArcVal(R$12,$D17, 0,"TPI","AUTO"))=TRUE,_xll.PIArcVal(R$12,$D17, 0,"TPI","AUTO"),"")</f>
        <v>7.5074052438139915E-3</v>
      </c>
      <c r="S17" s="160">
        <f>IF(ISNUMBER(_xll.PIArcVal(S$12,$C17, 0,"TPI","AUTO"))=TRUE,_xll.PIArcVal(S$12,$C17, 0,"TPI","AUTO"),"")</f>
        <v>1.8688817024230957</v>
      </c>
      <c r="T17" s="160">
        <f>IF(ISNUMBER(_xll.PIArcVal(T$12,$D17, 0,"TPI","AUTO"))=TRUE,_xll.PIArcVal(T$12,$D17, 0,"TPI","AUTO"),"")</f>
        <v>2.0460820198059082</v>
      </c>
      <c r="U17" s="47"/>
      <c r="V17" s="47"/>
      <c r="W17" s="160">
        <f>IF(ISNUMBER(_xll.PIArcVal(W$12,$C17, 0,"TPI","AUTO"))=TRUE,_xll.PIArcVal(W$12,$C17, 0,"TPI","AUTO"),"")</f>
        <v>22.874965667724609</v>
      </c>
      <c r="X17" s="160">
        <f>IF(ISNUMBER(_xll.PIArcVal(X$12,$D17, 0,"TPI","AUTO"))=TRUE,_xll.PIArcVal(X$12,$D17, 0,"TPI","AUTO"),"")</f>
        <v>24.080657958984375</v>
      </c>
      <c r="Y17" s="160">
        <f>IF(ISNUMBER(_xll.PIArcVal(Y$12,$C17, 0,"TPI","AUTO"))=TRUE,_xll.PIArcVal(Y$12,$C17, 0,"TPI","AUTO"),"")</f>
        <v>2.5889632701873779</v>
      </c>
      <c r="Z17" s="160">
        <f>IF(ISNUMBER(_xll.PIArcVal(Z$12,$D17, 0,"TPI","AUTO"))=TRUE,_xll.PIArcVal(Z$12,$D17, 0,"TPI","AUTO"),"")</f>
        <v>3.0138378143310547</v>
      </c>
      <c r="AA17" s="160">
        <f>IF(ISNUMBER(_xll.PIArcVal(AA$12,$C17, 0,"TPI","AUTO"))=TRUE,_xll.PIArcVal(AA$12,$C17, 0,"TPI","AUTO"),"")</f>
        <v>27.444334030151367</v>
      </c>
      <c r="AB17" s="160">
        <f>IF(ISNUMBER(_xll.PIArcVal(AB$12,$D17, 0,"TPI","AUTO"))=TRUE,_xll.PIArcVal(AB$12,$D17, 0,"TPI","AUTO"),"")</f>
        <v>26.431015014648438</v>
      </c>
      <c r="AC17" s="47" cm="1">
        <f t="array" ref="AC17">IF(ISNUMBER(_xll.PIAdvCalcVal(Courier!$AC$12,Courier!$D16,Courier!$C17,"average (time-weighted)","time-weighted",0,1,0,"")),_xll.PIAdvCalcVal(Courier!$AC$12,Courier!$D16,Courier!$C17,"average (time-weighted)","time-weighted",0,1,0,""),"")</f>
        <v>10.516695453842832</v>
      </c>
      <c r="AD17" s="47" cm="1">
        <f t="array" ref="AD17">IF(ISNUMBER(_xll.PIAdvCalcVal(Courier!$AC$12,Courier!$C17,Courier!$D17,"average (time-weighted)","time-weighted",0,1,0,"")),_xll.PIAdvCalcVal(Courier!$AC$12,Courier!$C17,Courier!$D17,"average (time-weighted)","time-weighted",0,1,0,""),"")</f>
        <v>10.554735071210397</v>
      </c>
    </row>
    <row r="18" spans="2:30" ht="16.5" thickBot="1" x14ac:dyDescent="0.3">
      <c r="B18" s="44">
        <f t="shared" ref="B18:B44" si="2">+B17+1</f>
        <v>46251</v>
      </c>
      <c r="C18" s="45">
        <f>+B18+18.5/24</f>
        <v>46251.770833333336</v>
      </c>
      <c r="D18" s="158">
        <f t="shared" si="1"/>
        <v>46252.270833333336</v>
      </c>
      <c r="E18" s="160">
        <f>IF(ISNUMBER(_xll.PIArcVal(E$12,$C18, 0,"TPI","AUTO"))=TRUE,_xll.PIArcVal(E$12,$C18, 0,"TPI","AUTO"),"")</f>
        <v>0.48242056369781494</v>
      </c>
      <c r="F18" s="160">
        <f>IF(ISNUMBER(_xll.PIArcVal(F$12,$D18, 0,"TPI","AUTO"))=TRUE,_xll.PIArcVal(F$12,$D18, 0,"TPI","AUTO"),"")</f>
        <v>0.51555341482162476</v>
      </c>
      <c r="G18" s="160">
        <f>IF(ISNUMBER(_xll.PIArcVal(G$12,$C18, 0,"TPI","AUTO"))=TRUE,_xll.PIArcVal(G$12,$C18, 0,"TPI","AUTO"),"")</f>
        <v>4.7046452760696411E-2</v>
      </c>
      <c r="H18" s="160">
        <f>IF(ISNUMBER(_xll.PIArcVal(H$12,$D18, 0,"TPI","AUTO"))=TRUE,_xll.PIArcVal(H$12,$D18, 0,"TPI","AUTO"),"")</f>
        <v>5.2778400480747223E-2</v>
      </c>
      <c r="I18" s="160">
        <f>IF(ISNUMBER(_xll.PIArcVal(I$12,$C18, 0,"TPI","AUTO"))=TRUE,_xll.PIArcVal(I$12,$C18, 0,"TPI","AUTO"),"")</f>
        <v>2.2131941318511963</v>
      </c>
      <c r="J18" s="160">
        <f>IF(ISNUMBER(_xll.PIArcVal(J$12,$D18, 0,"TPI","AUTO"))=TRUE,_xll.PIArcVal(J$12,$D18, 0,"TPI","AUTO"),"")</f>
        <v>2.1373381614685059</v>
      </c>
      <c r="K18" s="160">
        <f>IF(ISNUMBER(_xll.PIArcVal(K$12,$C18, 0,"TPI","AUTO"))=TRUE,_xll.PIArcVal(K$12,$C18, 0,"TPI","AUTO"),"")</f>
        <v>5.5366773158311844E-3</v>
      </c>
      <c r="L18" s="160">
        <f>IF(ISNUMBER(_xll.PIArcVal(L$12,$D18, 0,"TPI","AUTO"))=TRUE,_xll.PIArcVal(L$12,$D18, 0,"TPI","AUTO"),"")</f>
        <v>5.7715675793588161E-3</v>
      </c>
      <c r="M18" s="160" t="str">
        <f>IF(ISNUMBER(_xll.PIArcVal(M$12,$C18, 0,"TPI","AUTO"))=TRUE,_xll.PIArcVal(M$12,$C18, 0,"TPI","AUTO"),"")</f>
        <v/>
      </c>
      <c r="N18" s="160" t="str">
        <f>IF(ISNUMBER(_xll.PIArcVal(N$12,$D18, 0,"TPI","AUTO"))=TRUE,_xll.PIArcVal(N$12,$D18, 0,"TPI","AUTO"),"")</f>
        <v/>
      </c>
      <c r="O18" s="160">
        <f>IF(ISNUMBER(_xll.PIArcVal(O$12,$C18, 0,"TPI","AUTO"))=TRUE,_xll.PIArcVal(O$12,$C18, 0,"TPI","AUTO"),"")</f>
        <v>4.3797757476568222E-2</v>
      </c>
      <c r="P18" s="160">
        <f>IF(ISNUMBER(_xll.PIArcVal(P$12,$D18, 0,"TPI","AUTO"))=TRUE,_xll.PIArcVal(P$12,$D18, 0,"TPI","AUTO"),"")</f>
        <v>6.2635160982608795E-2</v>
      </c>
      <c r="Q18" s="160">
        <f>IF(ISNUMBER(_xll.PIArcVal(Q$12,$C18, 0,"TPI","AUTO"))=TRUE,_xll.PIArcVal(Q$12,$C18, 0,"TPI","AUTO"),"")</f>
        <v>7.7576441690325737E-3</v>
      </c>
      <c r="R18" s="160">
        <f>IF(ISNUMBER(_xll.PIArcVal(R$12,$D18, 0,"TPI","AUTO"))=TRUE,_xll.PIArcVal(R$12,$D18, 0,"TPI","AUTO"),"")</f>
        <v>8.3280261605978012E-3</v>
      </c>
      <c r="S18" s="160">
        <f>IF(ISNUMBER(_xll.PIArcVal(S$12,$C18, 0,"TPI","AUTO"))=TRUE,_xll.PIArcVal(S$12,$C18, 0,"TPI","AUTO"),"")</f>
        <v>1.9263710975646973</v>
      </c>
      <c r="T18" s="160">
        <f>IF(ISNUMBER(_xll.PIArcVal(T$12,$D18, 0,"TPI","AUTO"))=TRUE,_xll.PIArcVal(T$12,$D18, 0,"TPI","AUTO"),"")</f>
        <v>1.6159392595291138</v>
      </c>
      <c r="U18" s="47"/>
      <c r="V18" s="47"/>
      <c r="W18" s="160">
        <f>IF(ISNUMBER(_xll.PIArcVal(W$12,$C18, 0,"TPI","AUTO"))=TRUE,_xll.PIArcVal(W$12,$C18, 0,"TPI","AUTO"),"")</f>
        <v>23.181087493896484</v>
      </c>
      <c r="X18" s="160">
        <f>IF(ISNUMBER(_xll.PIArcVal(X$12,$D18, 0,"TPI","AUTO"))=TRUE,_xll.PIArcVal(X$12,$D18, 0,"TPI","AUTO"),"")</f>
        <v>19.589813232421875</v>
      </c>
      <c r="Y18" s="160">
        <f>IF(ISNUMBER(_xll.PIArcVal(Y$12,$C18, 0,"TPI","AUTO"))=TRUE,_xll.PIArcVal(Y$12,$C18, 0,"TPI","AUTO"),"")</f>
        <v>1.770626425743103</v>
      </c>
      <c r="Z18" s="160">
        <f>IF(ISNUMBER(_xll.PIArcVal(Z$12,$D18, 0,"TPI","AUTO"))=TRUE,_xll.PIArcVal(Z$12,$D18, 0,"TPI","AUTO"),"")</f>
        <v>1.9188697338104248</v>
      </c>
      <c r="AA18" s="160">
        <f>IF(ISNUMBER(_xll.PIArcVal(AA$12,$C18, 0,"TPI","AUTO"))=TRUE,_xll.PIArcVal(AA$12,$C18, 0,"TPI","AUTO"),"")</f>
        <v>27.522235870361328</v>
      </c>
      <c r="AB18" s="160">
        <f>IF(ISNUMBER(_xll.PIArcVal(AB$12,$D18, 0,"TPI","AUTO"))=TRUE,_xll.PIArcVal(AB$12,$D18, 0,"TPI","AUTO"),"")</f>
        <v>21.578971862792969</v>
      </c>
      <c r="AC18" s="47" cm="1">
        <f t="array" ref="AC18">IF(ISNUMBER(_xll.PIAdvCalcVal(Courier!$AC$12,Courier!$D17,Courier!$C18,"average (time-weighted)","time-weighted",0,1,0,"")),_xll.PIAdvCalcVal(Courier!$AC$12,Courier!$D17,Courier!$C18,"average (time-weighted)","time-weighted",0,1,0,""),"")</f>
        <v>7.9677749145354619</v>
      </c>
      <c r="AD18" s="47" cm="1">
        <f t="array" ref="AD18">IF(ISNUMBER(_xll.PIAdvCalcVal(Courier!$AC$12,Courier!$C18,Courier!$D18,"average (time-weighted)","time-weighted",0,1,0,"")),_xll.PIAdvCalcVal(Courier!$AC$12,Courier!$C18,Courier!$D18,"average (time-weighted)","time-weighted",0,1,0,""),"")</f>
        <v>1.4555698595841204</v>
      </c>
    </row>
    <row r="19" spans="2:30" ht="16.5" thickBot="1" x14ac:dyDescent="0.3">
      <c r="B19" s="44">
        <f t="shared" si="2"/>
        <v>46252</v>
      </c>
      <c r="C19" s="45">
        <f t="shared" ref="C19:C45" si="3">+B19+18.5/24</f>
        <v>46252.770833333336</v>
      </c>
      <c r="D19" s="158">
        <f t="shared" si="1"/>
        <v>46253.270833333336</v>
      </c>
      <c r="E19" s="160">
        <f>IF(ISNUMBER(_xll.PIArcVal(E$12,$C19, 0,"TPI","AUTO"))=TRUE,_xll.PIArcVal(E$12,$C19, 0,"TPI","AUTO"),"")</f>
        <v>0.57536685466766357</v>
      </c>
      <c r="F19" s="160">
        <f>IF(ISNUMBER(_xll.PIArcVal(F$12,$D19, 0,"TPI","AUTO"))=TRUE,_xll.PIArcVal(F$12,$D19, 0,"TPI","AUTO"),"")</f>
        <v>0.44503811001777649</v>
      </c>
      <c r="G19" s="160">
        <f>IF(ISNUMBER(_xll.PIArcVal(G$12,$C19, 0,"TPI","AUTO"))=TRUE,_xll.PIArcVal(G$12,$C19, 0,"TPI","AUTO"),"")</f>
        <v>5.9039212763309479E-2</v>
      </c>
      <c r="H19" s="160">
        <f>IF(ISNUMBER(_xll.PIArcVal(H$12,$D19, 0,"TPI","AUTO"))=TRUE,_xll.PIArcVal(H$12,$D19, 0,"TPI","AUTO"),"")</f>
        <v>3.0947951599955559E-2</v>
      </c>
      <c r="I19" s="160">
        <f>IF(ISNUMBER(_xll.PIArcVal(I$12,$C19, 0,"TPI","AUTO"))=TRUE,_xll.PIArcVal(I$12,$C19, 0,"TPI","AUTO"),"")</f>
        <v>2.2564880847930908</v>
      </c>
      <c r="J19" s="160">
        <f>IF(ISNUMBER(_xll.PIArcVal(J$12,$D19, 0,"TPI","AUTO"))=TRUE,_xll.PIArcVal(J$12,$D19, 0,"TPI","AUTO"),"")</f>
        <v>2.91060471534729</v>
      </c>
      <c r="K19" s="160">
        <f>IF(ISNUMBER(_xll.PIArcVal(K$12,$C19, 0,"TPI","AUTO"))=TRUE,_xll.PIArcVal(K$12,$C19, 0,"TPI","AUTO"),"")</f>
        <v>6.773815955966711E-3</v>
      </c>
      <c r="L19" s="160">
        <f>IF(ISNUMBER(_xll.PIArcVal(L$12,$D19, 0,"TPI","AUTO"))=TRUE,_xll.PIArcVal(L$12,$D19, 0,"TPI","AUTO"),"")</f>
        <v>8.6742974817752838E-3</v>
      </c>
      <c r="M19" s="160" t="str">
        <f>IF(ISNUMBER(_xll.PIArcVal(M$12,$C19, 0,"TPI","AUTO"))=TRUE,_xll.PIArcVal(M$12,$C19, 0,"TPI","AUTO"),"")</f>
        <v/>
      </c>
      <c r="N19" s="160" t="str">
        <f>IF(ISNUMBER(_xll.PIArcVal(N$12,$D19, 0,"TPI","AUTO"))=TRUE,_xll.PIArcVal(N$12,$D19, 0,"TPI","AUTO"),"")</f>
        <v/>
      </c>
      <c r="O19" s="160">
        <f>IF(ISNUMBER(_xll.PIArcVal(O$12,$C19, 0,"TPI","AUTO"))=TRUE,_xll.PIArcVal(O$12,$C19, 0,"TPI","AUTO"),"")</f>
        <v>6.6029533743858337E-2</v>
      </c>
      <c r="P19" s="160">
        <f>IF(ISNUMBER(_xll.PIArcVal(P$12,$D19, 0,"TPI","AUTO"))=TRUE,_xll.PIArcVal(P$12,$D19, 0,"TPI","AUTO"),"")</f>
        <v>4.7765485942363739E-2</v>
      </c>
      <c r="Q19" s="160">
        <f>IF(ISNUMBER(_xll.PIArcVal(Q$12,$C19, 0,"TPI","AUTO"))=TRUE,_xll.PIArcVal(Q$12,$C19, 0,"TPI","AUTO"),"")</f>
        <v>9.1239567846059799E-3</v>
      </c>
      <c r="R19" s="160">
        <f>IF(ISNUMBER(_xll.PIArcVal(R$12,$D19, 0,"TPI","AUTO"))=TRUE,_xll.PIArcVal(R$12,$D19, 0,"TPI","AUTO"),"")</f>
        <v>7.0773507468402386E-3</v>
      </c>
      <c r="S19" s="160">
        <f>IF(ISNUMBER(_xll.PIArcVal(S$12,$C19, 0,"TPI","AUTO"))=TRUE,_xll.PIArcVal(S$12,$C19, 0,"TPI","AUTO"),"")</f>
        <v>1.4575302600860596</v>
      </c>
      <c r="T19" s="160">
        <f>IF(ISNUMBER(_xll.PIArcVal(T$12,$D19, 0,"TPI","AUTO"))=TRUE,_xll.PIArcVal(T$12,$D19, 0,"TPI","AUTO"),"")</f>
        <v>2.1850786209106445</v>
      </c>
      <c r="U19" s="47"/>
      <c r="V19" s="47"/>
      <c r="W19" s="160">
        <f>IF(ISNUMBER(_xll.PIArcVal(W$12,$C19, 0,"TPI","AUTO"))=TRUE,_xll.PIArcVal(W$12,$C19, 0,"TPI","AUTO"),"")</f>
        <v>24.089685440063477</v>
      </c>
      <c r="X19" s="160">
        <f>IF(ISNUMBER(_xll.PIArcVal(X$12,$D19, 0,"TPI","AUTO"))=TRUE,_xll.PIArcVal(X$12,$D19, 0,"TPI","AUTO"),"")</f>
        <v>24.968690872192383</v>
      </c>
      <c r="Y19" s="160">
        <f>IF(ISNUMBER(_xll.PIArcVal(Y$12,$C19, 0,"TPI","AUTO"))=TRUE,_xll.PIArcVal(Y$12,$C19, 0,"TPI","AUTO"),"")</f>
        <v>2.4945509433746338</v>
      </c>
      <c r="Z19" s="160">
        <f>IF(ISNUMBER(_xll.PIArcVal(Z$12,$D19, 0,"TPI","AUTO"))=TRUE,_xll.PIArcVal(Z$12,$D19, 0,"TPI","AUTO"),"")</f>
        <v>1.9619637727737427</v>
      </c>
      <c r="AA19" s="160">
        <f>IF(ISNUMBER(_xll.PIArcVal(AA$12,$C19, 0,"TPI","AUTO"))=TRUE,_xll.PIArcVal(AA$12,$C19, 0,"TPI","AUTO"),"")</f>
        <v>26.42375373840332</v>
      </c>
      <c r="AB19" s="160">
        <f>IF(ISNUMBER(_xll.PIArcVal(AB$12,$D19, 0,"TPI","AUTO"))=TRUE,_xll.PIArcVal(AB$12,$D19, 0,"TPI","AUTO"),"")</f>
        <v>26.098102569580078</v>
      </c>
      <c r="AC19" s="47" cm="1">
        <f t="array" ref="AC19">IF(ISNUMBER(_xll.PIAdvCalcVal(Courier!$AC$12,Courier!$D18,Courier!$C19,"average (time-weighted)","time-weighted",0,1,0,"")),_xll.PIAdvCalcVal(Courier!$AC$12,Courier!$D18,Courier!$C19,"average (time-weighted)","time-weighted",0,1,0,""),"")</f>
        <v>7.7882557376653736</v>
      </c>
      <c r="AD19" s="47" cm="1">
        <f t="array" ref="AD19">IF(ISNUMBER(_xll.PIAdvCalcVal(Courier!$AC$12,Courier!$C19,Courier!$D19,"average (time-weighted)","time-weighted",0,1,0,"")),_xll.PIAdvCalcVal(Courier!$AC$12,Courier!$C19,Courier!$D19,"average (time-weighted)","time-weighted",0,1,0,""),"")</f>
        <v>9.5516537761918112</v>
      </c>
    </row>
    <row r="20" spans="2:30" ht="16.5" thickBot="1" x14ac:dyDescent="0.3">
      <c r="B20" s="44">
        <f t="shared" si="2"/>
        <v>46253</v>
      </c>
      <c r="C20" s="45">
        <f t="shared" si="3"/>
        <v>46253.770833333336</v>
      </c>
      <c r="D20" s="158">
        <f t="shared" si="1"/>
        <v>46254.270833333336</v>
      </c>
      <c r="E20" s="160">
        <f>IF(ISNUMBER(_xll.PIArcVal(E$12,$C20, 0,"TPI","AUTO"))=TRUE,_xll.PIArcVal(E$12,$C20, 0,"TPI","AUTO"),"")</f>
        <v>0.3785417377948761</v>
      </c>
      <c r="F20" s="160">
        <f>IF(ISNUMBER(_xll.PIArcVal(F$12,$D20, 0,"TPI","AUTO"))=TRUE,_xll.PIArcVal(F$12,$D20, 0,"TPI","AUTO"),"")</f>
        <v>0.33931806683540344</v>
      </c>
      <c r="G20" s="160">
        <f>IF(ISNUMBER(_xll.PIArcVal(G$12,$C20, 0,"TPI","AUTO"))=TRUE,_xll.PIArcVal(G$12,$C20, 0,"TPI","AUTO"),"")</f>
        <v>1.2126695364713669E-2</v>
      </c>
      <c r="H20" s="160">
        <f>IF(ISNUMBER(_xll.PIArcVal(H$12,$D20, 0,"TPI","AUTO"))=TRUE,_xll.PIArcVal(H$12,$D20, 0,"TPI","AUTO"),"")</f>
        <v>1.7472758889198303E-2</v>
      </c>
      <c r="I20" s="160">
        <f>IF(ISNUMBER(_xll.PIArcVal(I$12,$C20, 0,"TPI","AUTO"))=TRUE,_xll.PIArcVal(I$12,$C20, 0,"TPI","AUTO"),"")</f>
        <v>3.5943660736083984</v>
      </c>
      <c r="J20" s="160">
        <f>IF(ISNUMBER(_xll.PIArcVal(J$12,$D20, 0,"TPI","AUTO"))=TRUE,_xll.PIArcVal(J$12,$D20, 0,"TPI","AUTO"),"")</f>
        <v>3.5040261745452881</v>
      </c>
      <c r="K20" s="160">
        <f>IF(ISNUMBER(_xll.PIArcVal(K$12,$C20, 0,"TPI","AUTO"))=TRUE,_xll.PIArcVal(K$12,$C20, 0,"TPI","AUTO"),"")</f>
        <v>1.1003839783370495E-2</v>
      </c>
      <c r="L20" s="160">
        <f>IF(ISNUMBER(_xll.PIArcVal(L$12,$D20, 0,"TPI","AUTO"))=TRUE,_xll.PIArcVal(L$12,$D20, 0,"TPI","AUTO"),"")</f>
        <v>1.0052197612822056E-2</v>
      </c>
      <c r="M20" s="160" t="str">
        <f>IF(ISNUMBER(_xll.PIArcVal(M$12,$C20, 0,"TPI","AUTO"))=TRUE,_xll.PIArcVal(M$12,$C20, 0,"TPI","AUTO"),"")</f>
        <v/>
      </c>
      <c r="N20" s="160" t="str">
        <f>IF(ISNUMBER(_xll.PIArcVal(N$12,$D20, 0,"TPI","AUTO"))=TRUE,_xll.PIArcVal(N$12,$D20, 0,"TPI","AUTO"),"")</f>
        <v/>
      </c>
      <c r="O20" s="160">
        <f>IF(ISNUMBER(_xll.PIArcVal(O$12,$C20, 0,"TPI","AUTO"))=TRUE,_xll.PIArcVal(O$12,$C20, 0,"TPI","AUTO"),"")</f>
        <v>3.6522500216960907E-2</v>
      </c>
      <c r="P20" s="160">
        <f>IF(ISNUMBER(_xll.PIArcVal(P$12,$D20, 0,"TPI","AUTO"))=TRUE,_xll.PIArcVal(P$12,$D20, 0,"TPI","AUTO"),"")</f>
        <v>2.6393812149763107E-2</v>
      </c>
      <c r="Q20" s="160">
        <f>IF(ISNUMBER(_xll.PIArcVal(Q$12,$C20, 0,"TPI","AUTO"))=TRUE,_xll.PIArcVal(Q$12,$C20, 0,"TPI","AUTO"),"")</f>
        <v>4.9933972768485546E-3</v>
      </c>
      <c r="R20" s="160">
        <f>IF(ISNUMBER(_xll.PIArcVal(R$12,$D20, 0,"TPI","AUTO"))=TRUE,_xll.PIArcVal(R$12,$D20, 0,"TPI","AUTO"),"")</f>
        <v>4.9688247963786125E-3</v>
      </c>
      <c r="S20" s="160">
        <f>IF(ISNUMBER(_xll.PIArcVal(S$12,$C20, 0,"TPI","AUTO"))=TRUE,_xll.PIArcVal(S$12,$C20, 0,"TPI","AUTO"),"")</f>
        <v>3.0885875225067139</v>
      </c>
      <c r="T20" s="160">
        <f>IF(ISNUMBER(_xll.PIArcVal(T$12,$D20, 0,"TPI","AUTO"))=TRUE,_xll.PIArcVal(T$12,$D20, 0,"TPI","AUTO"),"")</f>
        <v>3.2177166938781738</v>
      </c>
      <c r="U20" s="47"/>
      <c r="V20" s="47"/>
      <c r="W20" s="160">
        <f>IF(ISNUMBER(_xll.PIArcVal(W$12,$C20, 0,"TPI","AUTO"))=TRUE,_xll.PIArcVal(W$12,$C20, 0,"TPI","AUTO"),"")</f>
        <v>22.765670776367188</v>
      </c>
      <c r="X20" s="160">
        <f>IF(ISNUMBER(_xll.PIArcVal(X$12,$D20, 0,"TPI","AUTO"))=TRUE,_xll.PIArcVal(X$12,$D20, 0,"TPI","AUTO"),"")</f>
        <v>21.698329925537109</v>
      </c>
      <c r="Y20" s="160">
        <f>IF(ISNUMBER(_xll.PIArcVal(Y$12,$C20, 0,"TPI","AUTO"))=TRUE,_xll.PIArcVal(Y$12,$C20, 0,"TPI","AUTO"),"")</f>
        <v>0.81273084878921509</v>
      </c>
      <c r="Z20" s="160">
        <f>IF(ISNUMBER(_xll.PIArcVal(Z$12,$D20, 0,"TPI","AUTO"))=TRUE,_xll.PIArcVal(Z$12,$D20, 0,"TPI","AUTO"),"")</f>
        <v>0.56563651561737061</v>
      </c>
      <c r="AA20" s="160">
        <f>IF(ISNUMBER(_xll.PIArcVal(AA$12,$C20, 0,"TPI","AUTO"))=TRUE,_xll.PIArcVal(AA$12,$C20, 0,"TPI","AUTO"),"")</f>
        <v>27.314510345458984</v>
      </c>
      <c r="AB20" s="160">
        <f>IF(ISNUMBER(_xll.PIArcVal(AB$12,$D20, 0,"TPI","AUTO"))=TRUE,_xll.PIArcVal(AB$12,$D20, 0,"TPI","AUTO"),"")</f>
        <v>28.374088287353516</v>
      </c>
      <c r="AC20" s="47" cm="1">
        <f t="array" ref="AC20">IF(ISNUMBER(_xll.PIAdvCalcVal(Courier!$AC$12,Courier!$D19,Courier!$C20,"average (time-weighted)","time-weighted",0,1,0,"")),_xll.PIAdvCalcVal(Courier!$AC$12,Courier!$D19,Courier!$C20,"average (time-weighted)","time-weighted",0,1,0,""),"")</f>
        <v>11.828287322527636</v>
      </c>
      <c r="AD20" s="47"/>
    </row>
    <row r="21" spans="2:30" ht="16.5" thickBot="1" x14ac:dyDescent="0.3">
      <c r="B21" s="44">
        <f t="shared" si="2"/>
        <v>46254</v>
      </c>
      <c r="C21" s="45">
        <f t="shared" si="3"/>
        <v>46254.770833333336</v>
      </c>
      <c r="D21" s="158">
        <f t="shared" si="1"/>
        <v>46255.270833333336</v>
      </c>
      <c r="E21" s="160">
        <f>IF(ISNUMBER(_xll.PIArcVal(E$12,$C21, 0,"TPI","AUTO"))=TRUE,_xll.PIArcVal(E$12,$C21, 0,"TPI","AUTO"),"")</f>
        <v>0.41729328036308289</v>
      </c>
      <c r="F21" s="160">
        <f>IF(ISNUMBER(_xll.PIArcVal(F$12,$D21, 0,"TPI","AUTO"))=TRUE,_xll.PIArcVal(F$12,$D21, 0,"TPI","AUTO"),"")</f>
        <v>0.33648413419723511</v>
      </c>
      <c r="G21" s="160">
        <f>IF(ISNUMBER(_xll.PIArcVal(G$12,$C21, 0,"TPI","AUTO"))=TRUE,_xll.PIArcVal(G$12,$C21, 0,"TPI","AUTO"),"")</f>
        <v>2.1746393293142319E-2</v>
      </c>
      <c r="H21" s="160">
        <f>IF(ISNUMBER(_xll.PIArcVal(H$12,$D21, 0,"TPI","AUTO"))=TRUE,_xll.PIArcVal(H$12,$D21, 0,"TPI","AUTO"),"")</f>
        <v>2.0116547122597694E-2</v>
      </c>
      <c r="I21" s="160">
        <f>IF(ISNUMBER(_xll.PIArcVal(I$12,$C21, 0,"TPI","AUTO"))=TRUE,_xll.PIArcVal(I$12,$C21, 0,"TPI","AUTO"),"")</f>
        <v>3.6080083847045898</v>
      </c>
      <c r="J21" s="160">
        <f>IF(ISNUMBER(_xll.PIArcVal(J$12,$D21, 0,"TPI","AUTO"))=TRUE,_xll.PIArcVal(J$12,$D21, 0,"TPI","AUTO"),"")</f>
        <v>3.2283015251159668</v>
      </c>
      <c r="K21" s="160">
        <f>IF(ISNUMBER(_xll.PIArcVal(K$12,$C21, 0,"TPI","AUTO"))=TRUE,_xll.PIArcVal(K$12,$C21, 0,"TPI","AUTO"),"")</f>
        <v>9.3735344707965851E-3</v>
      </c>
      <c r="L21" s="160">
        <f>IF(ISNUMBER(_xll.PIArcVal(L$12,$D21, 0,"TPI","AUTO"))=TRUE,_xll.PIArcVal(L$12,$D21, 0,"TPI","AUTO"),"")</f>
        <v>8.1755714491009712E-3</v>
      </c>
      <c r="M21" s="160" t="str">
        <f>IF(ISNUMBER(_xll.PIArcVal(M$12,$C21, 0,"TPI","AUTO"))=TRUE,_xll.PIArcVal(M$12,$C21, 0,"TPI","AUTO"),"")</f>
        <v/>
      </c>
      <c r="N21" s="160" t="str">
        <f>IF(ISNUMBER(_xll.PIArcVal(N$12,$D21, 0,"TPI","AUTO"))=TRUE,_xll.PIArcVal(N$12,$D21, 0,"TPI","AUTO"),"")</f>
        <v/>
      </c>
      <c r="O21" s="160">
        <f>IF(ISNUMBER(_xll.PIArcVal(O$12,$C21, 0,"TPI","AUTO"))=TRUE,_xll.PIArcVal(O$12,$C21, 0,"TPI","AUTO"),"")</f>
        <v>2.9643239453434944E-2</v>
      </c>
      <c r="P21" s="160">
        <f>IF(ISNUMBER(_xll.PIArcVal(P$12,$D21, 0,"TPI","AUTO"))=TRUE,_xll.PIArcVal(P$12,$D21, 0,"TPI","AUTO"),"")</f>
        <v>3.2213561236858368E-2</v>
      </c>
      <c r="Q21" s="160">
        <f>IF(ISNUMBER(_xll.PIArcVal(Q$12,$C21, 0,"TPI","AUTO"))=TRUE,_xll.PIArcVal(Q$12,$C21, 0,"TPI","AUTO"),"")</f>
        <v>4.8410291783511639E-3</v>
      </c>
      <c r="R21" s="160">
        <f>IF(ISNUMBER(_xll.PIArcVal(R$12,$D21, 0,"TPI","AUTO"))=TRUE,_xll.PIArcVal(R$12,$D21, 0,"TPI","AUTO"),"")</f>
        <v>4.6929623931646347E-3</v>
      </c>
      <c r="S21" s="160">
        <f>IF(ISNUMBER(_xll.PIArcVal(S$12,$C21, 0,"TPI","AUTO"))=TRUE,_xll.PIArcVal(S$12,$C21, 0,"TPI","AUTO"),"")</f>
        <v>3.2077841758728027</v>
      </c>
      <c r="T21" s="160">
        <f>IF(ISNUMBER(_xll.PIArcVal(T$12,$D21, 0,"TPI","AUTO"))=TRUE,_xll.PIArcVal(T$12,$D21, 0,"TPI","AUTO"),"")</f>
        <v>3.0345401763916016</v>
      </c>
      <c r="U21" s="47"/>
      <c r="V21" s="47"/>
      <c r="W21" s="160">
        <f>IF(ISNUMBER(_xll.PIArcVal(W$12,$C21, 0,"TPI","AUTO"))=TRUE,_xll.PIArcVal(W$12,$C21, 0,"TPI","AUTO"),"")</f>
        <v>22.739021301269531</v>
      </c>
      <c r="X21" s="160">
        <f>IF(ISNUMBER(_xll.PIArcVal(X$12,$D21, 0,"TPI","AUTO"))=TRUE,_xll.PIArcVal(X$12,$D21, 0,"TPI","AUTO"),"")</f>
        <v>23.446987152099609</v>
      </c>
      <c r="Y21" s="160">
        <f>IF(ISNUMBER(_xll.PIArcVal(Y$12,$C21, 0,"TPI","AUTO"))=TRUE,_xll.PIArcVal(Y$12,$C21, 0,"TPI","AUTO"),"")</f>
        <v>0.65406531095504761</v>
      </c>
      <c r="Z21" s="160">
        <f>IF(ISNUMBER(_xll.PIArcVal(Z$12,$D21, 0,"TPI","AUTO"))=TRUE,_xll.PIArcVal(Z$12,$D21, 0,"TPI","AUTO"),"")</f>
        <v>0.85263621807098389</v>
      </c>
      <c r="AA21" s="160">
        <f>IF(ISNUMBER(_xll.PIArcVal(AA$12,$C21, 0,"TPI","AUTO"))=TRUE,_xll.PIArcVal(AA$12,$C21, 0,"TPI","AUTO"),"")</f>
        <v>28.225210189819336</v>
      </c>
      <c r="AB21" s="160">
        <f>IF(ISNUMBER(_xll.PIArcVal(AB$12,$D21, 0,"TPI","AUTO"))=TRUE,_xll.PIArcVal(AB$12,$D21, 0,"TPI","AUTO"),"")</f>
        <v>27.824117660522461</v>
      </c>
      <c r="AC21" s="47" cm="1">
        <f t="array" ref="AC21">IF(ISNUMBER(_xll.PIAdvCalcVal(Courier!$AC$12,Courier!$D20,Courier!$C21,"average (time-weighted)","time-weighted",0,1,0,"")),_xll.PIAdvCalcVal(Courier!$AC$12,Courier!$D20,Courier!$C21,"average (time-weighted)","time-weighted",0,1,0,""),"")</f>
        <v>10.401409194657166</v>
      </c>
      <c r="AD21" s="47" cm="1">
        <f t="array" ref="AD21">IF(ISNUMBER(_xll.PIAdvCalcVal(Courier!$AC$12,Courier!$C21,Courier!$D21,"average (time-weighted)","time-weighted",0,1,0,"")),_xll.PIAdvCalcVal(Courier!$AC$12,Courier!$C21,Courier!$D21,"average (time-weighted)","time-weighted",0,1,0,""),"")</f>
        <v>9.916830879708872</v>
      </c>
    </row>
    <row r="22" spans="2:30" ht="16.5" thickBot="1" x14ac:dyDescent="0.3">
      <c r="B22" s="44">
        <f t="shared" si="2"/>
        <v>46255</v>
      </c>
      <c r="C22" s="45">
        <f t="shared" si="3"/>
        <v>46255.770833333336</v>
      </c>
      <c r="D22" s="158">
        <f t="shared" si="1"/>
        <v>46256.270833333336</v>
      </c>
      <c r="E22" s="160">
        <f>IF(ISNUMBER(_xll.PIArcVal(E$12,$C22, 0,"TPI","AUTO"))=TRUE,_xll.PIArcVal(E$12,$C22, 0,"TPI","AUTO"),"")</f>
        <v>0.35056298971176147</v>
      </c>
      <c r="F22" s="160">
        <f>IF(ISNUMBER(_xll.PIArcVal(F$12,$D22, 0,"TPI","AUTO"))=TRUE,_xll.PIArcVal(F$12,$D22, 0,"TPI","AUTO"),"")</f>
        <v>0.40267342329025269</v>
      </c>
      <c r="G22" s="160">
        <f>IF(ISNUMBER(_xll.PIArcVal(G$12,$C22, 0,"TPI","AUTO"))=TRUE,_xll.PIArcVal(G$12,$C22, 0,"TPI","AUTO"),"")</f>
        <v>1.5217055566608906E-2</v>
      </c>
      <c r="H22" s="160">
        <f>IF(ISNUMBER(_xll.PIArcVal(H$12,$D22, 0,"TPI","AUTO"))=TRUE,_xll.PIArcVal(H$12,$D22, 0,"TPI","AUTO"),"")</f>
        <v>2.2319607436656952E-2</v>
      </c>
      <c r="I22" s="160">
        <f>IF(ISNUMBER(_xll.PIArcVal(I$12,$C22, 0,"TPI","AUTO"))=TRUE,_xll.PIArcVal(I$12,$C22, 0,"TPI","AUTO"),"")</f>
        <v>3.4119632244110107</v>
      </c>
      <c r="J22" s="160">
        <f>IF(ISNUMBER(_xll.PIArcVal(J$12,$D22, 0,"TPI","AUTO"))=TRUE,_xll.PIArcVal(J$12,$D22, 0,"TPI","AUTO"),"")</f>
        <v>2.9544482231140137</v>
      </c>
      <c r="K22" s="160">
        <f>IF(ISNUMBER(_xll.PIArcVal(K$12,$C22, 0,"TPI","AUTO"))=TRUE,_xll.PIArcVal(K$12,$C22, 0,"TPI","AUTO"),"")</f>
        <v>8.2578184083104134E-3</v>
      </c>
      <c r="L22" s="160">
        <f>IF(ISNUMBER(_xll.PIArcVal(L$12,$D22, 0,"TPI","AUTO"))=TRUE,_xll.PIArcVal(L$12,$D22, 0,"TPI","AUTO"),"")</f>
        <v>7.9696653410792351E-3</v>
      </c>
      <c r="M22" s="160" t="str">
        <f>IF(ISNUMBER(_xll.PIArcVal(M$12,$C22, 0,"TPI","AUTO"))=TRUE,_xll.PIArcVal(M$12,$C22, 0,"TPI","AUTO"),"")</f>
        <v/>
      </c>
      <c r="N22" s="160" t="str">
        <f>IF(ISNUMBER(_xll.PIArcVal(N$12,$D22, 0,"TPI","AUTO"))=TRUE,_xll.PIArcVal(N$12,$D22, 0,"TPI","AUTO"),"")</f>
        <v/>
      </c>
      <c r="O22" s="160">
        <f>IF(ISNUMBER(_xll.PIArcVal(O$12,$C22, 0,"TPI","AUTO"))=TRUE,_xll.PIArcVal(O$12,$C22, 0,"TPI","AUTO"),"")</f>
        <v>3.4870393574237823E-2</v>
      </c>
      <c r="P22" s="160">
        <f>IF(ISNUMBER(_xll.PIArcVal(P$12,$D22, 0,"TPI","AUTO"))=TRUE,_xll.PIArcVal(P$12,$D22, 0,"TPI","AUTO"),"")</f>
        <v>3.715331107378006E-2</v>
      </c>
      <c r="Q22" s="160">
        <f>IF(ISNUMBER(_xll.PIArcVal(Q$12,$C22, 0,"TPI","AUTO"))=TRUE,_xll.PIArcVal(Q$12,$C22, 0,"TPI","AUTO"),"")</f>
        <v>5.1071378402411938E-3</v>
      </c>
      <c r="R22" s="160">
        <f>IF(ISNUMBER(_xll.PIArcVal(R$12,$D22, 0,"TPI","AUTO"))=TRUE,_xll.PIArcVal(R$12,$D22, 0,"TPI","AUTO"),"")</f>
        <v>5.7759997434914112E-3</v>
      </c>
      <c r="S22" s="160">
        <f>IF(ISNUMBER(_xll.PIArcVal(S$12,$C22, 0,"TPI","AUTO"))=TRUE,_xll.PIArcVal(S$12,$C22, 0,"TPI","AUTO"),"")</f>
        <v>2.8765525817871094</v>
      </c>
      <c r="T22" s="160">
        <f>IF(ISNUMBER(_xll.PIArcVal(T$12,$D22, 0,"TPI","AUTO"))=TRUE,_xll.PIArcVal(T$12,$D22, 0,"TPI","AUTO"),"")</f>
        <v>2.5311262607574463</v>
      </c>
      <c r="U22" s="47"/>
      <c r="V22" s="47"/>
      <c r="W22" s="160">
        <f>IF(ISNUMBER(_xll.PIArcVal(W$12,$C22, 0,"TPI","AUTO"))=TRUE,_xll.PIArcVal(W$12,$C22, 0,"TPI","AUTO"),"")</f>
        <v>22.019834518432617</v>
      </c>
      <c r="X22" s="160">
        <f>IF(ISNUMBER(_xll.PIArcVal(X$12,$D22, 0,"TPI","AUTO"))=TRUE,_xll.PIArcVal(X$12,$D22, 0,"TPI","AUTO"),"")</f>
        <v>22.019834518432617</v>
      </c>
      <c r="Y22" s="160">
        <f>IF(ISNUMBER(_xll.PIArcVal(Y$12,$C22, 0,"TPI","AUTO"))=TRUE,_xll.PIArcVal(Y$12,$C22, 0,"TPI","AUTO"),"")</f>
        <v>0.6122165322303772</v>
      </c>
      <c r="Z22" s="160">
        <f>IF(ISNUMBER(_xll.PIArcVal(Z$12,$D22, 0,"TPI","AUTO"))=TRUE,_xll.PIArcVal(Z$12,$D22, 0,"TPI","AUTO"),"")</f>
        <v>0.6122165322303772</v>
      </c>
      <c r="AA22" s="160">
        <f>IF(ISNUMBER(_xll.PIArcVal(AA$12,$C22, 0,"TPI","AUTO"))=TRUE,_xll.PIArcVal(AA$12,$C22, 0,"TPI","AUTO"),"")</f>
        <v>27.567352294921875</v>
      </c>
      <c r="AB22" s="160">
        <f>IF(ISNUMBER(_xll.PIArcVal(AB$12,$D22, 0,"TPI","AUTO"))=TRUE,_xll.PIArcVal(AB$12,$D22, 0,"TPI","AUTO"),"")</f>
        <v>27.567352294921875</v>
      </c>
      <c r="AC22" s="47" cm="1">
        <f t="array" ref="AC22">IF(ISNUMBER(_xll.PIAdvCalcVal(Courier!$AC$12,Courier!$D21,Courier!$C22,"average (time-weighted)","time-weighted",0,1,0,"")),_xll.PIAdvCalcVal(Courier!$AC$12,Courier!$D21,Courier!$C22,"average (time-weighted)","time-weighted",0,1,0,""),"")</f>
        <v>5.5740725208831039</v>
      </c>
      <c r="AD22" s="47" cm="1">
        <f t="array" ref="AD22">IF(ISNUMBER(_xll.PIAdvCalcVal(Courier!$AC$12,Courier!$C22,Courier!$D22,"average (time-weighted)","time-weighted",0,1,0,"")),_xll.PIAdvCalcVal(Courier!$AC$12,Courier!$C22,Courier!$D22,"average (time-weighted)","time-weighted",0,1,0,""),"")</f>
        <v>0</v>
      </c>
    </row>
    <row r="23" spans="2:30" ht="16.5" thickBot="1" x14ac:dyDescent="0.3">
      <c r="B23" s="44">
        <f t="shared" si="2"/>
        <v>46256</v>
      </c>
      <c r="C23" s="45">
        <f t="shared" si="3"/>
        <v>46256.770833333336</v>
      </c>
      <c r="D23" s="158">
        <f t="shared" si="1"/>
        <v>46257.270833333336</v>
      </c>
      <c r="E23" s="160">
        <f>IF(ISNUMBER(_xll.PIArcVal(E$12,$C23, 0,"TPI","AUTO"))=TRUE,_xll.PIArcVal(E$12,$C23, 0,"TPI","AUTO"),"")</f>
        <v>0.50069797039031982</v>
      </c>
      <c r="F23" s="160">
        <f>IF(ISNUMBER(_xll.PIArcVal(F$12,$D23, 0,"TPI","AUTO"))=TRUE,_xll.PIArcVal(F$12,$D23, 0,"TPI","AUTO"),"")</f>
        <v>0.50069797039031982</v>
      </c>
      <c r="G23" s="160">
        <f>IF(ISNUMBER(_xll.PIArcVal(G$12,$C23, 0,"TPI","AUTO"))=TRUE,_xll.PIArcVal(G$12,$C23, 0,"TPI","AUTO"),"")</f>
        <v>3.0464477837085724E-2</v>
      </c>
      <c r="H23" s="160">
        <f>IF(ISNUMBER(_xll.PIArcVal(H$12,$D23, 0,"TPI","AUTO"))=TRUE,_xll.PIArcVal(H$12,$D23, 0,"TPI","AUTO"),"")</f>
        <v>3.0464477837085724E-2</v>
      </c>
      <c r="I23" s="160">
        <f>IF(ISNUMBER(_xll.PIArcVal(I$12,$C23, 0,"TPI","AUTO"))=TRUE,_xll.PIArcVal(I$12,$C23, 0,"TPI","AUTO"),"")</f>
        <v>2.6430220603942871</v>
      </c>
      <c r="J23" s="160">
        <f>IF(ISNUMBER(_xll.PIArcVal(J$12,$D23, 0,"TPI","AUTO"))=TRUE,_xll.PIArcVal(J$12,$D23, 0,"TPI","AUTO"),"")</f>
        <v>2.6430220603942871</v>
      </c>
      <c r="K23" s="160">
        <f>IF(ISNUMBER(_xll.PIArcVal(K$12,$C23, 0,"TPI","AUTO"))=TRUE,_xll.PIArcVal(K$12,$C23, 0,"TPI","AUTO"),"")</f>
        <v>7.6600434258580208E-3</v>
      </c>
      <c r="L23" s="160">
        <f>IF(ISNUMBER(_xll.PIArcVal(L$12,$D23, 0,"TPI","AUTO"))=TRUE,_xll.PIArcVal(L$12,$D23, 0,"TPI","AUTO"),"")</f>
        <v>7.6600434258580208E-3</v>
      </c>
      <c r="M23" s="160" t="str">
        <f>IF(ISNUMBER(_xll.PIArcVal(M$12,$C23, 0,"TPI","AUTO"))=TRUE,_xll.PIArcVal(M$12,$C23, 0,"TPI","AUTO"),"")</f>
        <v/>
      </c>
      <c r="N23" s="160" t="str">
        <f>IF(ISNUMBER(_xll.PIArcVal(N$12,$D23, 0,"TPI","AUTO"))=TRUE,_xll.PIArcVal(N$12,$D23, 0,"TPI","AUTO"),"")</f>
        <v/>
      </c>
      <c r="O23" s="160">
        <f>IF(ISNUMBER(_xll.PIArcVal(O$12,$C23, 0,"TPI","AUTO"))=TRUE,_xll.PIArcVal(O$12,$C23, 0,"TPI","AUTO"),"")</f>
        <v>5.3573578596115112E-2</v>
      </c>
      <c r="P23" s="160">
        <f>IF(ISNUMBER(_xll.PIArcVal(P$12,$D23, 0,"TPI","AUTO"))=TRUE,_xll.PIArcVal(P$12,$D23, 0,"TPI","AUTO"),"")</f>
        <v>5.3573578596115112E-2</v>
      </c>
      <c r="Q23" s="160">
        <f>IF(ISNUMBER(_xll.PIArcVal(Q$12,$C23, 0,"TPI","AUTO"))=TRUE,_xll.PIArcVal(Q$12,$C23, 0,"TPI","AUTO"),"")</f>
        <v>6.0481196269392967E-3</v>
      </c>
      <c r="R23" s="160">
        <f>IF(ISNUMBER(_xll.PIArcVal(R$12,$D23, 0,"TPI","AUTO"))=TRUE,_xll.PIArcVal(R$12,$D23, 0,"TPI","AUTO"),"")</f>
        <v>6.0481196269392967E-3</v>
      </c>
      <c r="S23" s="160">
        <f>IF(ISNUMBER(_xll.PIArcVal(S$12,$C23, 0,"TPI","AUTO"))=TRUE,_xll.PIArcVal(S$12,$C23, 0,"TPI","AUTO"),"")</f>
        <v>2.0745596885681152</v>
      </c>
      <c r="T23" s="160">
        <f>IF(ISNUMBER(_xll.PIArcVal(T$12,$D23, 0,"TPI","AUTO"))=TRUE,_xll.PIArcVal(T$12,$D23, 0,"TPI","AUTO"),"")</f>
        <v>2.0745596885681152</v>
      </c>
      <c r="U23" s="47"/>
      <c r="V23" s="47"/>
      <c r="W23" s="160">
        <f>IF(ISNUMBER(_xll.PIArcVal(W$12,$C23, 0,"TPI","AUTO"))=TRUE,_xll.PIArcVal(W$12,$C23, 0,"TPI","AUTO"),"")</f>
        <v>22.019834518432617</v>
      </c>
      <c r="X23" s="160">
        <f>IF(ISNUMBER(_xll.PIArcVal(X$12,$D23, 0,"TPI","AUTO"))=TRUE,_xll.PIArcVal(X$12,$D23, 0,"TPI","AUTO"),"")</f>
        <v>22.019834518432617</v>
      </c>
      <c r="Y23" s="160">
        <f>IF(ISNUMBER(_xll.PIArcVal(Y$12,$C23, 0,"TPI","AUTO"))=TRUE,_xll.PIArcVal(Y$12,$C23, 0,"TPI","AUTO"),"")</f>
        <v>0.6122165322303772</v>
      </c>
      <c r="Z23" s="160">
        <f>IF(ISNUMBER(_xll.PIArcVal(Z$12,$D23, 0,"TPI","AUTO"))=TRUE,_xll.PIArcVal(Z$12,$D23, 0,"TPI","AUTO"),"")</f>
        <v>0.6122165322303772</v>
      </c>
      <c r="AA23" s="160">
        <f>IF(ISNUMBER(_xll.PIArcVal(AA$12,$C23, 0,"TPI","AUTO"))=TRUE,_xll.PIArcVal(AA$12,$C23, 0,"TPI","AUTO"),"")</f>
        <v>27.567352294921875</v>
      </c>
      <c r="AB23" s="160">
        <f>IF(ISNUMBER(_xll.PIArcVal(AB$12,$D23, 0,"TPI","AUTO"))=TRUE,_xll.PIArcVal(AB$12,$D23, 0,"TPI","AUTO"),"")</f>
        <v>27.567352294921875</v>
      </c>
      <c r="AC23" s="47" cm="1">
        <f t="array" ref="AC23">IF(ISNUMBER(_xll.PIAdvCalcVal(Courier!$AC$12,Courier!$D22,Courier!$C23,"average (time-weighted)","time-weighted",0,1,0,"")),_xll.PIAdvCalcVal(Courier!$AC$12,Courier!$D22,Courier!$C23,"average (time-weighted)","time-weighted",0,1,0,""),"")</f>
        <v>1.1908059572886487</v>
      </c>
      <c r="AD23" s="47" cm="1">
        <f t="array" ref="AD23">IF(ISNUMBER(_xll.PIAdvCalcVal(Courier!$AC$12,Courier!$C23,Courier!$D23,"average (time-weighted)","time-weighted",0,1,0,"")),_xll.PIAdvCalcVal(Courier!$AC$12,Courier!$C23,Courier!$D23,"average (time-weighted)","time-weighted",0,1,0,""),"")</f>
        <v>10.428823662815637</v>
      </c>
    </row>
    <row r="24" spans="2:30" ht="16.5" thickBot="1" x14ac:dyDescent="0.3">
      <c r="B24" s="44">
        <f t="shared" si="2"/>
        <v>46257</v>
      </c>
      <c r="C24" s="45">
        <f t="shared" si="3"/>
        <v>46257.770833333336</v>
      </c>
      <c r="D24" s="158">
        <f t="shared" si="1"/>
        <v>46258.270833333336</v>
      </c>
      <c r="E24" s="160">
        <f>IF(ISNUMBER(_xll.PIArcVal(E$12,$C24, 0,"TPI","AUTO"))=TRUE,_xll.PIArcVal(E$12,$C24, 0,"TPI","AUTO"),"")</f>
        <v>0.50124430656433105</v>
      </c>
      <c r="F24" s="160">
        <f>IF(ISNUMBER(_xll.PIArcVal(F$12,$D24, 0,"TPI","AUTO"))=TRUE,_xll.PIArcVal(F$12,$D24, 0,"TPI","AUTO"),"")</f>
        <v>0.54401510953903198</v>
      </c>
      <c r="G24" s="160">
        <f>IF(ISNUMBER(_xll.PIArcVal(G$12,$C24, 0,"TPI","AUTO"))=TRUE,_xll.PIArcVal(G$12,$C24, 0,"TPI","AUTO"),"")</f>
        <v>3.4926913678646088E-2</v>
      </c>
      <c r="H24" s="160">
        <f>IF(ISNUMBER(_xll.PIArcVal(H$12,$D24, 0,"TPI","AUTO"))=TRUE,_xll.PIArcVal(H$12,$D24, 0,"TPI","AUTO"),"")</f>
        <v>3.6339662969112396E-2</v>
      </c>
      <c r="I24" s="160">
        <f>IF(ISNUMBER(_xll.PIArcVal(I$12,$C24, 0,"TPI","AUTO"))=TRUE,_xll.PIArcVal(I$12,$C24, 0,"TPI","AUTO"),"")</f>
        <v>2.3879258632659912</v>
      </c>
      <c r="J24" s="160">
        <f>IF(ISNUMBER(_xll.PIArcVal(J$12,$D24, 0,"TPI","AUTO"))=TRUE,_xll.PIArcVal(J$12,$D24, 0,"TPI","AUTO"),"")</f>
        <v>2.330700159072876</v>
      </c>
      <c r="K24" s="160">
        <f>IF(ISNUMBER(_xll.PIArcVal(K$12,$C24, 0,"TPI","AUTO"))=TRUE,_xll.PIArcVal(K$12,$C24, 0,"TPI","AUTO"),"")</f>
        <v>6.2200790271162987E-3</v>
      </c>
      <c r="L24" s="160">
        <f>IF(ISNUMBER(_xll.PIArcVal(L$12,$D24, 0,"TPI","AUTO"))=TRUE,_xll.PIArcVal(L$12,$D24, 0,"TPI","AUTO"),"")</f>
        <v>6.4344317652285099E-3</v>
      </c>
      <c r="M24" s="160" t="str">
        <f>IF(ISNUMBER(_xll.PIArcVal(M$12,$C24, 0,"TPI","AUTO"))=TRUE,_xll.PIArcVal(M$12,$C24, 0,"TPI","AUTO"),"")</f>
        <v/>
      </c>
      <c r="N24" s="160" t="str">
        <f>IF(ISNUMBER(_xll.PIArcVal(N$12,$D24, 0,"TPI","AUTO"))=TRUE,_xll.PIArcVal(N$12,$D24, 0,"TPI","AUTO"),"")</f>
        <v/>
      </c>
      <c r="O24" s="160">
        <f>IF(ISNUMBER(_xll.PIArcVal(O$12,$C24, 0,"TPI","AUTO"))=TRUE,_xll.PIArcVal(O$12,$C24, 0,"TPI","AUTO"),"")</f>
        <v>5.818692222237587E-2</v>
      </c>
      <c r="P24" s="160">
        <f>IF(ISNUMBER(_xll.PIArcVal(P$12,$D24, 0,"TPI","AUTO"))=TRUE,_xll.PIArcVal(P$12,$D24, 0,"TPI","AUTO"),"")</f>
        <v>5.7170253247022629E-2</v>
      </c>
      <c r="Q24" s="160">
        <f>IF(ISNUMBER(_xll.PIArcVal(Q$12,$C24, 0,"TPI","AUTO"))=TRUE,_xll.PIArcVal(Q$12,$C24, 0,"TPI","AUTO"),"")</f>
        <v>6.0471352189779282E-3</v>
      </c>
      <c r="R24" s="160">
        <f>IF(ISNUMBER(_xll.PIArcVal(R$12,$D24, 0,"TPI","AUTO"))=TRUE,_xll.PIArcVal(R$12,$D24, 0,"TPI","AUTO"),"")</f>
        <v>6.0328668914735317E-3</v>
      </c>
      <c r="S24" s="160">
        <f>IF(ISNUMBER(_xll.PIArcVal(S$12,$C24, 0,"TPI","AUTO"))=TRUE,_xll.PIArcVal(S$12,$C24, 0,"TPI","AUTO"),"")</f>
        <v>1.5710897445678711</v>
      </c>
      <c r="T24" s="160">
        <f>IF(ISNUMBER(_xll.PIArcVal(T$12,$D24, 0,"TPI","AUTO"))=TRUE,_xll.PIArcVal(T$12,$D24, 0,"TPI","AUTO"),"")</f>
        <v>1.5980982780456543</v>
      </c>
      <c r="U24" s="47"/>
      <c r="V24" s="47"/>
      <c r="W24" s="160">
        <f>IF(ISNUMBER(_xll.PIArcVal(W$12,$C24, 0,"TPI","AUTO"))=TRUE,_xll.PIArcVal(W$12,$C24, 0,"TPI","AUTO"),"")</f>
        <v>23.598623275756836</v>
      </c>
      <c r="X24" s="160">
        <f>IF(ISNUMBER(_xll.PIArcVal(X$12,$D24, 0,"TPI","AUTO"))=TRUE,_xll.PIArcVal(X$12,$D24, 0,"TPI","AUTO"),"")</f>
        <v>23.708185195922852</v>
      </c>
      <c r="Y24" s="160">
        <f>IF(ISNUMBER(_xll.PIArcVal(Y$12,$C24, 0,"TPI","AUTO"))=TRUE,_xll.PIArcVal(Y$12,$C24, 0,"TPI","AUTO"),"")</f>
        <v>1.9800312519073486</v>
      </c>
      <c r="Z24" s="160">
        <f>IF(ISNUMBER(_xll.PIArcVal(Z$12,$D24, 0,"TPI","AUTO"))=TRUE,_xll.PIArcVal(Z$12,$D24, 0,"TPI","AUTO"),"")</f>
        <v>1.8469420671463013</v>
      </c>
      <c r="AA24" s="160">
        <f>IF(ISNUMBER(_xll.PIArcVal(AA$12,$C24, 0,"TPI","AUTO"))=TRUE,_xll.PIArcVal(AA$12,$C24, 0,"TPI","AUTO"),"")</f>
        <v>27.449356079101563</v>
      </c>
      <c r="AB24" s="160">
        <f>IF(ISNUMBER(_xll.PIArcVal(AB$12,$D24, 0,"TPI","AUTO"))=TRUE,_xll.PIArcVal(AB$12,$D24, 0,"TPI","AUTO"),"")</f>
        <v>27.538236618041992</v>
      </c>
      <c r="AC24" s="47" cm="1">
        <f t="array" ref="AC24">IF(ISNUMBER(_xll.PIAdvCalcVal(Courier!$AC$12,Courier!$D23,Courier!$C24,"average (time-weighted)","time-weighted",0,1,0,"")),_xll.PIAdvCalcVal(Courier!$AC$12,Courier!$D23,Courier!$C24,"average (time-weighted)","time-weighted",0,1,0,""),"")</f>
        <v>10.685958854447135</v>
      </c>
      <c r="AD24" s="47" cm="1">
        <f t="array" ref="AD24">IF(ISNUMBER(_xll.PIAdvCalcVal(Courier!$AC$12,Courier!$C24,Courier!$D24,"average (time-weighted)","time-weighted",0,1,0,"")),_xll.PIAdvCalcVal(Courier!$AC$12,Courier!$C24,Courier!$D24,"average (time-weighted)","time-weighted",0,1,0,""),"")</f>
        <v>10.905851624451977</v>
      </c>
    </row>
    <row r="25" spans="2:30" ht="16.5" thickBot="1" x14ac:dyDescent="0.3">
      <c r="B25" s="44">
        <f t="shared" si="2"/>
        <v>46258</v>
      </c>
      <c r="C25" s="45">
        <f t="shared" si="3"/>
        <v>46258.770833333336</v>
      </c>
      <c r="D25" s="158">
        <f t="shared" si="1"/>
        <v>46259.270833333336</v>
      </c>
      <c r="E25" s="160">
        <f>IF(ISNUMBER(_xll.PIArcVal(E$12,$C25, 0,"TPI","AUTO"))=TRUE,_xll.PIArcVal(E$12,$C25, 0,"TPI","AUTO"),"")</f>
        <v>0.55490684509277344</v>
      </c>
      <c r="F25" s="160">
        <f>IF(ISNUMBER(_xll.PIArcVal(F$12,$D25, 0,"TPI","AUTO"))=TRUE,_xll.PIArcVal(F$12,$D25, 0,"TPI","AUTO"),"")</f>
        <v>0.66688883304595947</v>
      </c>
      <c r="G25" s="160">
        <f>IF(ISNUMBER(_xll.PIArcVal(G$12,$C25, 0,"TPI","AUTO"))=TRUE,_xll.PIArcVal(G$12,$C25, 0,"TPI","AUTO"),"")</f>
        <v>5.6744497269392014E-2</v>
      </c>
      <c r="H25" s="160">
        <f>IF(ISNUMBER(_xll.PIArcVal(H$12,$D25, 0,"TPI","AUTO"))=TRUE,_xll.PIArcVal(H$12,$D25, 0,"TPI","AUTO"),"")</f>
        <v>5.4548941552639008E-2</v>
      </c>
      <c r="I25" s="160">
        <f>IF(ISNUMBER(_xll.PIArcVal(I$12,$C25, 0,"TPI","AUTO"))=TRUE,_xll.PIArcVal(I$12,$C25, 0,"TPI","AUTO"),"")</f>
        <v>2.0357098579406738</v>
      </c>
      <c r="J25" s="160">
        <f>IF(ISNUMBER(_xll.PIArcVal(J$12,$D25, 0,"TPI","AUTO"))=TRUE,_xll.PIArcVal(J$12,$D25, 0,"TPI","AUTO"),"")</f>
        <v>2.1933765411376953</v>
      </c>
      <c r="K25" s="160">
        <f>IF(ISNUMBER(_xll.PIArcVal(K$12,$C25, 0,"TPI","AUTO"))=TRUE,_xll.PIArcVal(K$12,$C25, 0,"TPI","AUTO"),"")</f>
        <v>6.1346180737018585E-3</v>
      </c>
      <c r="L25" s="160">
        <f>IF(ISNUMBER(_xll.PIArcVal(L$12,$D25, 0,"TPI","AUTO"))=TRUE,_xll.PIArcVal(L$12,$D25, 0,"TPI","AUTO"),"")</f>
        <v>8.0054206773638725E-3</v>
      </c>
      <c r="M25" s="160" t="str">
        <f>IF(ISNUMBER(_xll.PIArcVal(M$12,$C25, 0,"TPI","AUTO"))=TRUE,_xll.PIArcVal(M$12,$C25, 0,"TPI","AUTO"),"")</f>
        <v/>
      </c>
      <c r="N25" s="160" t="str">
        <f>IF(ISNUMBER(_xll.PIArcVal(N$12,$D25, 0,"TPI","AUTO"))=TRUE,_xll.PIArcVal(N$12,$D25, 0,"TPI","AUTO"),"")</f>
        <v/>
      </c>
      <c r="O25" s="160">
        <f>IF(ISNUMBER(_xll.PIArcVal(O$12,$C25, 0,"TPI","AUTO"))=TRUE,_xll.PIArcVal(O$12,$C25, 0,"TPI","AUTO"),"")</f>
        <v>5.6438181549310684E-2</v>
      </c>
      <c r="P25" s="160">
        <f>IF(ISNUMBER(_xll.PIArcVal(P$12,$D25, 0,"TPI","AUTO"))=TRUE,_xll.PIArcVal(P$12,$D25, 0,"TPI","AUTO"),"")</f>
        <v>5.5715203285217285E-2</v>
      </c>
      <c r="Q25" s="160">
        <f>IF(ISNUMBER(_xll.PIArcVal(Q$12,$C25, 0,"TPI","AUTO"))=TRUE,_xll.PIArcVal(Q$12,$C25, 0,"TPI","AUTO"),"")</f>
        <v>6.1585265211760998E-3</v>
      </c>
      <c r="R25" s="160">
        <f>IF(ISNUMBER(_xll.PIArcVal(R$12,$D25, 0,"TPI","AUTO"))=TRUE,_xll.PIArcVal(R$12,$D25, 0,"TPI","AUTO"),"")</f>
        <v>6.0805738903582096E-3</v>
      </c>
      <c r="S25" s="160">
        <f>IF(ISNUMBER(_xll.PIArcVal(S$12,$C25, 0,"TPI","AUTO"))=TRUE,_xll.PIArcVal(S$12,$C25, 0,"TPI","AUTO"),"")</f>
        <v>1.5301421880722046</v>
      </c>
      <c r="T25" s="160">
        <f>IF(ISNUMBER(_xll.PIArcVal(T$12,$D25, 0,"TPI","AUTO"))=TRUE,_xll.PIArcVal(T$12,$D25, 0,"TPI","AUTO"),"")</f>
        <v>1.4573581218719482</v>
      </c>
      <c r="U25" s="47"/>
      <c r="V25" s="47"/>
      <c r="W25" s="160">
        <f>IF(ISNUMBER(_xll.PIArcVal(W$12,$C25, 0,"TPI","AUTO"))=TRUE,_xll.PIArcVal(W$12,$C25, 0,"TPI","AUTO"),"")</f>
        <v>22.722810745239258</v>
      </c>
      <c r="X25" s="160">
        <f>IF(ISNUMBER(_xll.PIArcVal(X$12,$D25, 0,"TPI","AUTO"))=TRUE,_xll.PIArcVal(X$12,$D25, 0,"TPI","AUTO"),"")</f>
        <v>24.091524124145508</v>
      </c>
      <c r="Y25" s="160">
        <f>IF(ISNUMBER(_xll.PIArcVal(Y$12,$C25, 0,"TPI","AUTO"))=TRUE,_xll.PIArcVal(Y$12,$C25, 0,"TPI","AUTO"),"")</f>
        <v>2.5230238437652588</v>
      </c>
      <c r="Z25" s="160">
        <f>IF(ISNUMBER(_xll.PIArcVal(Z$12,$D25, 0,"TPI","AUTO"))=TRUE,_xll.PIArcVal(Z$12,$D25, 0,"TPI","AUTO"),"")</f>
        <v>2.1168584823608398</v>
      </c>
      <c r="AA25" s="160">
        <f>IF(ISNUMBER(_xll.PIArcVal(AA$12,$C25, 0,"TPI","AUTO"))=TRUE,_xll.PIArcVal(AA$12,$C25, 0,"TPI","AUTO"),"")</f>
        <v>26.769111633300781</v>
      </c>
      <c r="AB25" s="160">
        <f>IF(ISNUMBER(_xll.PIArcVal(AB$12,$D25, 0,"TPI","AUTO"))=TRUE,_xll.PIArcVal(AB$12,$D25, 0,"TPI","AUTO"),"")</f>
        <v>28.333257675170898</v>
      </c>
      <c r="AC25" s="47" cm="1">
        <f t="array" ref="AC25">IF(ISNUMBER(_xll.PIAdvCalcVal(Courier!$AC$12,Courier!$D24,Courier!$C25,"average (time-weighted)","time-weighted",0,1,0,"")),_xll.PIAdvCalcVal(Courier!$AC$12,Courier!$D24,Courier!$C25,"average (time-weighted)","time-weighted",0,1,0,""),"")</f>
        <v>8.8852486948043001</v>
      </c>
      <c r="AD25" s="47" cm="1">
        <f t="array" ref="AD25">IF(ISNUMBER(_xll.PIAdvCalcVal(Courier!$AC$12,Courier!$C25,Courier!$D25,"average (time-weighted)","time-weighted",0,1,0,"")),_xll.PIAdvCalcVal(Courier!$AC$12,Courier!$C25,Courier!$D25,"average (time-weighted)","time-weighted",0,1,0,""),"")</f>
        <v>11.10334720679303</v>
      </c>
    </row>
    <row r="26" spans="2:30" ht="16.5" thickBot="1" x14ac:dyDescent="0.3">
      <c r="B26" s="44">
        <f t="shared" si="2"/>
        <v>46259</v>
      </c>
      <c r="C26" s="45">
        <f t="shared" si="3"/>
        <v>46259.770833333336</v>
      </c>
      <c r="D26" s="158">
        <f t="shared" si="1"/>
        <v>46260.270833333336</v>
      </c>
      <c r="E26" s="160">
        <f>IF(ISNUMBER(_xll.PIArcVal(E$12,$C26, 0,"TPI","AUTO"))=TRUE,_xll.PIArcVal(E$12,$C26, 0,"TPI","AUTO"),"")</f>
        <v>0.54411017894744873</v>
      </c>
      <c r="F26" s="160">
        <f>IF(ISNUMBER(_xll.PIArcVal(F$12,$D26, 0,"TPI","AUTO"))=TRUE,_xll.PIArcVal(F$12,$D26, 0,"TPI","AUTO"),"")</f>
        <v>0.50224167108535767</v>
      </c>
      <c r="G26" s="160">
        <f>IF(ISNUMBER(_xll.PIArcVal(G$12,$C26, 0,"TPI","AUTO"))=TRUE,_xll.PIArcVal(G$12,$C26, 0,"TPI","AUTO"),"")</f>
        <v>3.8658805191516876E-2</v>
      </c>
      <c r="H26" s="160">
        <f>IF(ISNUMBER(_xll.PIArcVal(H$12,$D26, 0,"TPI","AUTO"))=TRUE,_xll.PIArcVal(H$12,$D26, 0,"TPI","AUTO"),"")</f>
        <v>3.7576079368591309E-2</v>
      </c>
      <c r="I26" s="160">
        <f>IF(ISNUMBER(_xll.PIArcVal(I$12,$C26, 0,"TPI","AUTO"))=TRUE,_xll.PIArcVal(I$12,$C26, 0,"TPI","AUTO"),"")</f>
        <v>2.2739195823669434</v>
      </c>
      <c r="J26" s="160">
        <f>IF(ISNUMBER(_xll.PIArcVal(J$12,$D26, 0,"TPI","AUTO"))=TRUE,_xll.PIArcVal(J$12,$D26, 0,"TPI","AUTO"),"")</f>
        <v>2.3236763477325439</v>
      </c>
      <c r="K26" s="160">
        <f>IF(ISNUMBER(_xll.PIArcVal(K$12,$C26, 0,"TPI","AUTO"))=TRUE,_xll.PIArcVal(K$12,$C26, 0,"TPI","AUTO"),"")</f>
        <v>7.3039238341152668E-3</v>
      </c>
      <c r="L26" s="160">
        <f>IF(ISNUMBER(_xll.PIArcVal(L$12,$D26, 0,"TPI","AUTO"))=TRUE,_xll.PIArcVal(L$12,$D26, 0,"TPI","AUTO"),"")</f>
        <v>6.8369507789611816E-3</v>
      </c>
      <c r="M26" s="160" t="str">
        <f>IF(ISNUMBER(_xll.PIArcVal(M$12,$C26, 0,"TPI","AUTO"))=TRUE,_xll.PIArcVal(M$12,$C26, 0,"TPI","AUTO"),"")</f>
        <v/>
      </c>
      <c r="N26" s="160" t="str">
        <f>IF(ISNUMBER(_xll.PIArcVal(N$12,$D26, 0,"TPI","AUTO"))=TRUE,_xll.PIArcVal(N$12,$D26, 0,"TPI","AUTO"),"")</f>
        <v/>
      </c>
      <c r="O26" s="160">
        <f>IF(ISNUMBER(_xll.PIArcVal(O$12,$C26, 0,"TPI","AUTO"))=TRUE,_xll.PIArcVal(O$12,$C26, 0,"TPI","AUTO"),"")</f>
        <v>5.8153107762336731E-2</v>
      </c>
      <c r="P26" s="160">
        <f>IF(ISNUMBER(_xll.PIArcVal(P$12,$D26, 0,"TPI","AUTO"))=TRUE,_xll.PIArcVal(P$12,$D26, 0,"TPI","AUTO"),"")</f>
        <v>4.7265607863664627E-2</v>
      </c>
      <c r="Q26" s="160">
        <f>IF(ISNUMBER(_xll.PIArcVal(Q$12,$C26, 0,"TPI","AUTO"))=TRUE,_xll.PIArcVal(Q$12,$C26, 0,"TPI","AUTO"),"")</f>
        <v>5.8166664093732834E-3</v>
      </c>
      <c r="R26" s="160">
        <f>IF(ISNUMBER(_xll.PIArcVal(R$12,$D26, 0,"TPI","AUTO"))=TRUE,_xll.PIArcVal(R$12,$D26, 0,"TPI","AUTO"),"")</f>
        <v>5.8533637784421444E-3</v>
      </c>
      <c r="S26" s="160">
        <f>IF(ISNUMBER(_xll.PIArcVal(S$12,$C26, 0,"TPI","AUTO"))=TRUE,_xll.PIArcVal(S$12,$C26, 0,"TPI","AUTO"),"")</f>
        <v>1.5452429056167603</v>
      </c>
      <c r="T26" s="160">
        <f>IF(ISNUMBER(_xll.PIArcVal(T$12,$D26, 0,"TPI","AUTO"))=TRUE,_xll.PIArcVal(T$12,$D26, 0,"TPI","AUTO"),"")</f>
        <v>1.6426550149917603</v>
      </c>
      <c r="U26" s="47"/>
      <c r="V26" s="47"/>
      <c r="W26" s="160">
        <f>IF(ISNUMBER(_xll.PIArcVal(W$12,$C26, 0,"TPI","AUTO"))=TRUE,_xll.PIArcVal(W$12,$C26, 0,"TPI","AUTO"),"")</f>
        <v>22.786581039428711</v>
      </c>
      <c r="X26" s="160">
        <f>IF(ISNUMBER(_xll.PIArcVal(X$12,$D26, 0,"TPI","AUTO"))=TRUE,_xll.PIArcVal(X$12,$D26, 0,"TPI","AUTO"),"")</f>
        <v>24.452625274658203</v>
      </c>
      <c r="Y26" s="160">
        <f>IF(ISNUMBER(_xll.PIArcVal(Y$12,$C26, 0,"TPI","AUTO"))=TRUE,_xll.PIArcVal(Y$12,$C26, 0,"TPI","AUTO"),"")</f>
        <v>1.7113618850708008</v>
      </c>
      <c r="Z26" s="160">
        <f>IF(ISNUMBER(_xll.PIArcVal(Z$12,$D26, 0,"TPI","AUTO"))=TRUE,_xll.PIArcVal(Z$12,$D26, 0,"TPI","AUTO"),"")</f>
        <v>1.4849699735641479</v>
      </c>
      <c r="AA26" s="160">
        <f>IF(ISNUMBER(_xll.PIArcVal(AA$12,$C26, 0,"TPI","AUTO"))=TRUE,_xll.PIArcVal(AA$12,$C26, 0,"TPI","AUTO"),"")</f>
        <v>27.382566452026367</v>
      </c>
      <c r="AB26" s="160">
        <f>IF(ISNUMBER(_xll.PIArcVal(AB$12,$D26, 0,"TPI","AUTO"))=TRUE,_xll.PIArcVal(AB$12,$D26, 0,"TPI","AUTO"),"")</f>
        <v>28.875680923461914</v>
      </c>
      <c r="AC26" s="47" cm="1">
        <f t="array" ref="AC26">IF(ISNUMBER(_xll.PIAdvCalcVal(Courier!$AC$12,Courier!$D25,Courier!$C26,"average (time-weighted)","time-weighted",0,1,0,"")),_xll.PIAdvCalcVal(Courier!$AC$12,Courier!$D25,Courier!$C26,"average (time-weighted)","time-weighted",0,1,0,""),"")</f>
        <v>10.984482151405842</v>
      </c>
      <c r="AD26" s="47" cm="1">
        <f t="array" ref="AD26">IF(ISNUMBER(_xll.PIAdvCalcVal(Courier!$AC$12,Courier!$C26,Courier!$D26,"average (time-weighted)","time-weighted",0,1,0,"")),_xll.PIAdvCalcVal(Courier!$AC$12,Courier!$C26,Courier!$D26,"average (time-weighted)","time-weighted",0,1,0,""),"")</f>
        <v>11.194152941968971</v>
      </c>
    </row>
    <row r="27" spans="2:30" ht="16.5" thickBot="1" x14ac:dyDescent="0.3">
      <c r="B27" s="44">
        <f t="shared" si="2"/>
        <v>46260</v>
      </c>
      <c r="C27" s="45">
        <f t="shared" si="3"/>
        <v>46260.770833333336</v>
      </c>
      <c r="D27" s="158">
        <f t="shared" si="1"/>
        <v>46261.270833333336</v>
      </c>
      <c r="E27" s="160">
        <f>IF(ISNUMBER(_xll.PIArcVal(E$12,$C27, 0,"TPI","AUTO"))=TRUE,_xll.PIArcVal(E$12,$C27, 0,"TPI","AUTO"),"")</f>
        <v>0.52994060516357422</v>
      </c>
      <c r="F27" s="160">
        <f>IF(ISNUMBER(_xll.PIArcVal(F$12,$D27, 0,"TPI","AUTO"))=TRUE,_xll.PIArcVal(F$12,$D27, 0,"TPI","AUTO"),"")</f>
        <v>0.51611995697021484</v>
      </c>
      <c r="G27" s="160">
        <f>IF(ISNUMBER(_xll.PIArcVal(G$12,$C27, 0,"TPI","AUTO"))=TRUE,_xll.PIArcVal(G$12,$C27, 0,"TPI","AUTO"),"")</f>
        <v>3.7001386284828186E-2</v>
      </c>
      <c r="H27" s="160">
        <f>IF(ISNUMBER(_xll.PIArcVal(H$12,$D27, 0,"TPI","AUTO"))=TRUE,_xll.PIArcVal(H$12,$D27, 0,"TPI","AUTO"),"")</f>
        <v>5.4881107062101364E-2</v>
      </c>
      <c r="I27" s="160">
        <f>IF(ISNUMBER(_xll.PIArcVal(I$12,$C27, 0,"TPI","AUTO"))=TRUE,_xll.PIArcVal(I$12,$C27, 0,"TPI","AUTO"),"")</f>
        <v>1.9739096164703369</v>
      </c>
      <c r="J27" s="160">
        <f>IF(ISNUMBER(_xll.PIArcVal(J$12,$D27, 0,"TPI","AUTO"))=TRUE,_xll.PIArcVal(J$12,$D27, 0,"TPI","AUTO"),"")</f>
        <v>1.7383064031600952</v>
      </c>
      <c r="K27" s="160">
        <f>IF(ISNUMBER(_xll.PIArcVal(K$12,$C27, 0,"TPI","AUTO"))=TRUE,_xll.PIArcVal(K$12,$C27, 0,"TPI","AUTO"),"")</f>
        <v>1.0536938905715942E-2</v>
      </c>
      <c r="L27" s="160">
        <f>IF(ISNUMBER(_xll.PIArcVal(L$12,$D27, 0,"TPI","AUTO"))=TRUE,_xll.PIArcVal(L$12,$D27, 0,"TPI","AUTO"),"")</f>
        <v>7.5447349809110165E-3</v>
      </c>
      <c r="M27" s="160" t="str">
        <f>IF(ISNUMBER(_xll.PIArcVal(M$12,$C27, 0,"TPI","AUTO"))=TRUE,_xll.PIArcVal(M$12,$C27, 0,"TPI","AUTO"),"")</f>
        <v/>
      </c>
      <c r="N27" s="160" t="str">
        <f>IF(ISNUMBER(_xll.PIArcVal(N$12,$D27, 0,"TPI","AUTO"))=TRUE,_xll.PIArcVal(N$12,$D27, 0,"TPI","AUTO"),"")</f>
        <v/>
      </c>
      <c r="O27" s="160">
        <f>IF(ISNUMBER(_xll.PIArcVal(O$12,$C27, 0,"TPI","AUTO"))=TRUE,_xll.PIArcVal(O$12,$C27, 0,"TPI","AUTO"),"")</f>
        <v>3.9520304650068283E-2</v>
      </c>
      <c r="P27" s="160">
        <f>IF(ISNUMBER(_xll.PIArcVal(P$12,$D27, 0,"TPI","AUTO"))=TRUE,_xll.PIArcVal(P$12,$D27, 0,"TPI","AUTO"),"")</f>
        <v>4.3544553220272064E-2</v>
      </c>
      <c r="Q27" s="160">
        <f>IF(ISNUMBER(_xll.PIArcVal(Q$12,$C27, 0,"TPI","AUTO"))=TRUE,_xll.PIArcVal(Q$12,$C27, 0,"TPI","AUTO"),"")</f>
        <v>5.8762929402291775E-3</v>
      </c>
      <c r="R27" s="160">
        <f>IF(ISNUMBER(_xll.PIArcVal(R$12,$D27, 0,"TPI","AUTO"))=TRUE,_xll.PIArcVal(R$12,$D27, 0,"TPI","AUTO"),"")</f>
        <v>5.9555773623287678E-3</v>
      </c>
      <c r="S27" s="160">
        <f>IF(ISNUMBER(_xll.PIArcVal(S$12,$C27, 0,"TPI","AUTO"))=TRUE,_xll.PIArcVal(S$12,$C27, 0,"TPI","AUTO"),"")</f>
        <v>1.8665000200271606</v>
      </c>
      <c r="T27" s="160">
        <f>IF(ISNUMBER(_xll.PIArcVal(T$12,$D27, 0,"TPI","AUTO"))=TRUE,_xll.PIArcVal(T$12,$D27, 0,"TPI","AUTO"),"")</f>
        <v>1.6725833415985107</v>
      </c>
      <c r="U27" s="47"/>
      <c r="V27" s="47"/>
      <c r="W27" s="160">
        <f>IF(ISNUMBER(_xll.PIArcVal(W$12,$C27, 0,"TPI","AUTO"))=TRUE,_xll.PIArcVal(W$12,$C27, 0,"TPI","AUTO"),"")</f>
        <v>23.015262603759766</v>
      </c>
      <c r="X27" s="160">
        <f>IF(ISNUMBER(_xll.PIArcVal(X$12,$D27, 0,"TPI","AUTO"))=TRUE,_xll.PIArcVal(X$12,$D27, 0,"TPI","AUTO"),"")</f>
        <v>23.015262603759766</v>
      </c>
      <c r="Y27" s="160">
        <f>IF(ISNUMBER(_xll.PIArcVal(Y$12,$C27, 0,"TPI","AUTO"))=TRUE,_xll.PIArcVal(Y$12,$C27, 0,"TPI","AUTO"),"")</f>
        <v>1.4501559734344482</v>
      </c>
      <c r="Z27" s="160">
        <f>IF(ISNUMBER(_xll.PIArcVal(Z$12,$D27, 0,"TPI","AUTO"))=TRUE,_xll.PIArcVal(Z$12,$D27, 0,"TPI","AUTO"),"")</f>
        <v>1.4501559734344482</v>
      </c>
      <c r="AA27" s="160">
        <f>IF(ISNUMBER(_xll.PIArcVal(AA$12,$C27, 0,"TPI","AUTO"))=TRUE,_xll.PIArcVal(AA$12,$C27, 0,"TPI","AUTO"),"")</f>
        <v>27.289146423339844</v>
      </c>
      <c r="AB27" s="160">
        <f>IF(ISNUMBER(_xll.PIArcVal(AB$12,$D27, 0,"TPI","AUTO"))=TRUE,_xll.PIArcVal(AB$12,$D27, 0,"TPI","AUTO"),"")</f>
        <v>27.289146423339844</v>
      </c>
      <c r="AC27" s="47" cm="1">
        <f t="array" ref="AC27">IF(ISNUMBER(_xll.PIAdvCalcVal(Courier!$AC$12,Courier!$D26,Courier!$C27,"average (time-weighted)","time-weighted",0,1,0,"")),_xll.PIAdvCalcVal(Courier!$AC$12,Courier!$D26,Courier!$C27,"average (time-weighted)","time-weighted",0,1,0,""),"")</f>
        <v>3.0483183422652576</v>
      </c>
      <c r="AD27" s="47" cm="1">
        <f t="array" ref="AD27">IF(ISNUMBER(_xll.PIAdvCalcVal(Courier!$AC$12,Courier!$C27,Courier!$D27,"average (time-weighted)","time-weighted",0,1,0,"")),_xll.PIAdvCalcVal(Courier!$AC$12,Courier!$C27,Courier!$D27,"average (time-weighted)","time-weighted",0,1,0,""),"")</f>
        <v>0</v>
      </c>
    </row>
    <row r="28" spans="2:30" ht="16.5" thickBot="1" x14ac:dyDescent="0.3">
      <c r="B28" s="44">
        <f t="shared" si="2"/>
        <v>46261</v>
      </c>
      <c r="C28" s="45">
        <f t="shared" si="3"/>
        <v>46261.770833333336</v>
      </c>
      <c r="D28" s="158">
        <f t="shared" si="1"/>
        <v>46262.270833333336</v>
      </c>
      <c r="E28" s="160">
        <f>IF(ISNUMBER(_xll.PIArcVal(E$12,$C28, 0,"TPI","AUTO"))=TRUE,_xll.PIArcVal(E$12,$C28, 0,"TPI","AUTO"),"")</f>
        <v>0.51611995697021484</v>
      </c>
      <c r="F28" s="160">
        <f>IF(ISNUMBER(_xll.PIArcVal(F$12,$D28, 0,"TPI","AUTO"))=TRUE,_xll.PIArcVal(F$12,$D28, 0,"TPI","AUTO"),"")</f>
        <v>0.50301653146743774</v>
      </c>
      <c r="G28" s="160">
        <f>IF(ISNUMBER(_xll.PIArcVal(G$12,$C28, 0,"TPI","AUTO"))=TRUE,_xll.PIArcVal(G$12,$C28, 0,"TPI","AUTO"),"")</f>
        <v>5.4881107062101364E-2</v>
      </c>
      <c r="H28" s="160">
        <f>IF(ISNUMBER(_xll.PIArcVal(H$12,$D28, 0,"TPI","AUTO"))=TRUE,_xll.PIArcVal(H$12,$D28, 0,"TPI","AUTO"),"")</f>
        <v>4.8253592103719711E-2</v>
      </c>
      <c r="I28" s="160">
        <f>IF(ISNUMBER(_xll.PIArcVal(I$12,$C28, 0,"TPI","AUTO"))=TRUE,_xll.PIArcVal(I$12,$C28, 0,"TPI","AUTO"),"")</f>
        <v>1.7383064031600952</v>
      </c>
      <c r="J28" s="160">
        <f>IF(ISNUMBER(_xll.PIArcVal(J$12,$D28, 0,"TPI","AUTO"))=TRUE,_xll.PIArcVal(J$12,$D28, 0,"TPI","AUTO"),"")</f>
        <v>1.5686616897583008</v>
      </c>
      <c r="K28" s="160">
        <f>IF(ISNUMBER(_xll.PIArcVal(K$12,$C28, 0,"TPI","AUTO"))=TRUE,_xll.PIArcVal(K$12,$C28, 0,"TPI","AUTO"),"")</f>
        <v>7.5447349809110165E-3</v>
      </c>
      <c r="L28" s="160">
        <f>IF(ISNUMBER(_xll.PIArcVal(L$12,$D28, 0,"TPI","AUTO"))=TRUE,_xll.PIArcVal(L$12,$D28, 0,"TPI","AUTO"),"")</f>
        <v>6.1332276090979576E-3</v>
      </c>
      <c r="M28" s="160" t="str">
        <f>IF(ISNUMBER(_xll.PIArcVal(M$12,$C28, 0,"TPI","AUTO"))=TRUE,_xll.PIArcVal(M$12,$C28, 0,"TPI","AUTO"),"")</f>
        <v/>
      </c>
      <c r="N28" s="160" t="str">
        <f>IF(ISNUMBER(_xll.PIArcVal(N$12,$D28, 0,"TPI","AUTO"))=TRUE,_xll.PIArcVal(N$12,$D28, 0,"TPI","AUTO"),"")</f>
        <v/>
      </c>
      <c r="O28" s="160">
        <f>IF(ISNUMBER(_xll.PIArcVal(O$12,$C28, 0,"TPI","AUTO"))=TRUE,_xll.PIArcVal(O$12,$C28, 0,"TPI","AUTO"),"")</f>
        <v>4.3544553220272064E-2</v>
      </c>
      <c r="P28" s="160">
        <f>IF(ISNUMBER(_xll.PIArcVal(P$12,$D28, 0,"TPI","AUTO"))=TRUE,_xll.PIArcVal(P$12,$D28, 0,"TPI","AUTO"),"")</f>
        <v>4.91303950548172E-2</v>
      </c>
      <c r="Q28" s="160">
        <f>IF(ISNUMBER(_xll.PIArcVal(Q$12,$C28, 0,"TPI","AUTO"))=TRUE,_xll.PIArcVal(Q$12,$C28, 0,"TPI","AUTO"),"")</f>
        <v>5.9555773623287678E-3</v>
      </c>
      <c r="R28" s="160">
        <f>IF(ISNUMBER(_xll.PIArcVal(R$12,$D28, 0,"TPI","AUTO"))=TRUE,_xll.PIArcVal(R$12,$D28, 0,"TPI","AUTO"),"")</f>
        <v>7.0704706013202667E-3</v>
      </c>
      <c r="S28" s="160">
        <f>IF(ISNUMBER(_xll.PIArcVal(S$12,$C28, 0,"TPI","AUTO"))=TRUE,_xll.PIArcVal(S$12,$C28, 0,"TPI","AUTO"),"")</f>
        <v>1.6725833415985107</v>
      </c>
      <c r="T28" s="160">
        <f>IF(ISNUMBER(_xll.PIArcVal(T$12,$D28, 0,"TPI","AUTO"))=TRUE,_xll.PIArcVal(T$12,$D28, 0,"TPI","AUTO"),"")</f>
        <v>1.3824989795684814</v>
      </c>
      <c r="U28" s="47"/>
      <c r="V28" s="47"/>
      <c r="W28" s="160">
        <f>IF(ISNUMBER(_xll.PIArcVal(W$12,$C28, 0,"TPI","AUTO"))=TRUE,_xll.PIArcVal(W$12,$C28, 0,"TPI","AUTO"),"")</f>
        <v>23.015262603759766</v>
      </c>
      <c r="X28" s="160">
        <f>IF(ISNUMBER(_xll.PIArcVal(X$12,$D28, 0,"TPI","AUTO"))=TRUE,_xll.PIArcVal(X$12,$D28, 0,"TPI","AUTO"),"")</f>
        <v>23.015262603759766</v>
      </c>
      <c r="Y28" s="160">
        <f>IF(ISNUMBER(_xll.PIArcVal(Y$12,$C28, 0,"TPI","AUTO"))=TRUE,_xll.PIArcVal(Y$12,$C28, 0,"TPI","AUTO"),"")</f>
        <v>1.4501559734344482</v>
      </c>
      <c r="Z28" s="160">
        <f>IF(ISNUMBER(_xll.PIArcVal(Z$12,$D28, 0,"TPI","AUTO"))=TRUE,_xll.PIArcVal(Z$12,$D28, 0,"TPI","AUTO"),"")</f>
        <v>1.4501559734344482</v>
      </c>
      <c r="AA28" s="160">
        <f>IF(ISNUMBER(_xll.PIArcVal(AA$12,$C28, 0,"TPI","AUTO"))=TRUE,_xll.PIArcVal(AA$12,$C28, 0,"TPI","AUTO"),"")</f>
        <v>27.289146423339844</v>
      </c>
      <c r="AB28" s="160">
        <f>IF(ISNUMBER(_xll.PIArcVal(AB$12,$D28, 0,"TPI","AUTO"))=TRUE,_xll.PIArcVal(AB$12,$D28, 0,"TPI","AUTO"),"")</f>
        <v>27.289146423339844</v>
      </c>
      <c r="AC28" s="47" cm="1">
        <f t="array" ref="AC28">IF(ISNUMBER(_xll.PIAdvCalcVal(Courier!$AC$12,Courier!$D27,Courier!$C28,"average (time-weighted)","time-weighted",0,1,0,"")),_xll.PIAdvCalcVal(Courier!$AC$12,Courier!$D27,Courier!$C28,"average (time-weighted)","time-weighted",0,1,0,""),"")</f>
        <v>0</v>
      </c>
      <c r="AD28" s="47" cm="1">
        <f t="array" ref="AD28">IF(ISNUMBER(_xll.PIAdvCalcVal(Courier!$AC$12,Courier!$C28,Courier!$D28,"average (time-weighted)","time-weighted",0,1,0,"")),_xll.PIAdvCalcVal(Courier!$AC$12,Courier!$C28,Courier!$D28,"average (time-weighted)","time-weighted",0,1,0,""),"")</f>
        <v>0</v>
      </c>
    </row>
    <row r="29" spans="2:30" ht="16.5" thickBot="1" x14ac:dyDescent="0.3">
      <c r="B29" s="44">
        <f t="shared" si="2"/>
        <v>46262</v>
      </c>
      <c r="C29" s="45">
        <f t="shared" si="3"/>
        <v>46262.770833333336</v>
      </c>
      <c r="D29" s="158">
        <f t="shared" si="1"/>
        <v>46263.270833333336</v>
      </c>
      <c r="E29" s="160">
        <f>IF(ISNUMBER(_xll.PIArcVal(E$12,$C29, 0,"TPI","AUTO"))=TRUE,_xll.PIArcVal(E$12,$C29, 0,"TPI","AUTO"),"")</f>
        <v>0.52647554874420166</v>
      </c>
      <c r="F29" s="160">
        <f>IF(ISNUMBER(_xll.PIArcVal(F$12,$D29, 0,"TPI","AUTO"))=TRUE,_xll.PIArcVal(F$12,$D29, 0,"TPI","AUTO"),"")</f>
        <v>0.48370522260665894</v>
      </c>
      <c r="G29" s="160">
        <f>IF(ISNUMBER(_xll.PIArcVal(G$12,$C29, 0,"TPI","AUTO"))=TRUE,_xll.PIArcVal(G$12,$C29, 0,"TPI","AUTO"),"")</f>
        <v>4.111630842089653E-2</v>
      </c>
      <c r="H29" s="160">
        <f>IF(ISNUMBER(_xll.PIArcVal(H$12,$D29, 0,"TPI","AUTO"))=TRUE,_xll.PIArcVal(H$12,$D29, 0,"TPI","AUTO"),"")</f>
        <v>4.466625303030014E-2</v>
      </c>
      <c r="I29" s="160">
        <f>IF(ISNUMBER(_xll.PIArcVal(I$12,$C29, 0,"TPI","AUTO"))=TRUE,_xll.PIArcVal(I$12,$C29, 0,"TPI","AUTO"),"")</f>
        <v>2.0942068099975586</v>
      </c>
      <c r="J29" s="160">
        <f>IF(ISNUMBER(_xll.PIArcVal(J$12,$D29, 0,"TPI","AUTO"))=TRUE,_xll.PIArcVal(J$12,$D29, 0,"TPI","AUTO"),"")</f>
        <v>1.8899176120758057</v>
      </c>
      <c r="K29" s="160">
        <f>IF(ISNUMBER(_xll.PIArcVal(K$12,$C29, 0,"TPI","AUTO"))=TRUE,_xll.PIArcVal(K$12,$C29, 0,"TPI","AUTO"),"")</f>
        <v>7.9010417684912682E-3</v>
      </c>
      <c r="L29" s="160">
        <f>IF(ISNUMBER(_xll.PIArcVal(L$12,$D29, 0,"TPI","AUTO"))=TRUE,_xll.PIArcVal(L$12,$D29, 0,"TPI","AUTO"),"")</f>
        <v>7.138469722121954E-3</v>
      </c>
      <c r="M29" s="160" t="str">
        <f>IF(ISNUMBER(_xll.PIArcVal(M$12,$C29, 0,"TPI","AUTO"))=TRUE,_xll.PIArcVal(M$12,$C29, 0,"TPI","AUTO"),"")</f>
        <v/>
      </c>
      <c r="N29" s="160" t="str">
        <f>IF(ISNUMBER(_xll.PIArcVal(N$12,$D29, 0,"TPI","AUTO"))=TRUE,_xll.PIArcVal(N$12,$D29, 0,"TPI","AUTO"),"")</f>
        <v/>
      </c>
      <c r="O29" s="160">
        <f>IF(ISNUMBER(_xll.PIArcVal(O$12,$C29, 0,"TPI","AUTO"))=TRUE,_xll.PIArcVal(O$12,$C29, 0,"TPI","AUTO"),"")</f>
        <v>5.4201267659664154E-2</v>
      </c>
      <c r="P29" s="160">
        <f>IF(ISNUMBER(_xll.PIArcVal(P$12,$D29, 0,"TPI","AUTO"))=TRUE,_xll.PIArcVal(P$12,$D29, 0,"TPI","AUTO"),"")</f>
        <v>4.2360253632068634E-2</v>
      </c>
      <c r="Q29" s="160">
        <f>IF(ISNUMBER(_xll.PIArcVal(Q$12,$C29, 0,"TPI","AUTO"))=TRUE,_xll.PIArcVal(Q$12,$C29, 0,"TPI","AUTO"),"")</f>
        <v>6.2847882509231567E-3</v>
      </c>
      <c r="R29" s="160">
        <f>IF(ISNUMBER(_xll.PIArcVal(R$12,$D29, 0,"TPI","AUTO"))=TRUE,_xll.PIArcVal(R$12,$D29, 0,"TPI","AUTO"),"")</f>
        <v>5.8496575802564621E-3</v>
      </c>
      <c r="S29" s="160">
        <f>IF(ISNUMBER(_xll.PIArcVal(S$12,$C29, 0,"TPI","AUTO"))=TRUE,_xll.PIArcVal(S$12,$C29, 0,"TPI","AUTO"),"")</f>
        <v>1.4072225093841553</v>
      </c>
      <c r="T29" s="160">
        <f>IF(ISNUMBER(_xll.PIArcVal(T$12,$D29, 0,"TPI","AUTO"))=TRUE,_xll.PIArcVal(T$12,$D29, 0,"TPI","AUTO"),"")</f>
        <v>1.7435058355331421</v>
      </c>
      <c r="U29" s="47"/>
      <c r="V29" s="47"/>
      <c r="W29" s="160">
        <f>IF(ISNUMBER(_xll.PIArcVal(W$12,$C29, 0,"TPI","AUTO"))=TRUE,_xll.PIArcVal(W$12,$C29, 0,"TPI","AUTO"),"")</f>
        <v>23.015262603759766</v>
      </c>
      <c r="X29" s="160">
        <f>IF(ISNUMBER(_xll.PIArcVal(X$12,$D29, 0,"TPI","AUTO"))=TRUE,_xll.PIArcVal(X$12,$D29, 0,"TPI","AUTO"),"")</f>
        <v>23.015262603759766</v>
      </c>
      <c r="Y29" s="160">
        <f>IF(ISNUMBER(_xll.PIArcVal(Y$12,$C29, 0,"TPI","AUTO"))=TRUE,_xll.PIArcVal(Y$12,$C29, 0,"TPI","AUTO"),"")</f>
        <v>1.4501559734344482</v>
      </c>
      <c r="Z29" s="160">
        <f>IF(ISNUMBER(_xll.PIArcVal(Z$12,$D29, 0,"TPI","AUTO"))=TRUE,_xll.PIArcVal(Z$12,$D29, 0,"TPI","AUTO"),"")</f>
        <v>1.4501559734344482</v>
      </c>
      <c r="AA29" s="160">
        <f>IF(ISNUMBER(_xll.PIArcVal(AA$12,$C29, 0,"TPI","AUTO"))=TRUE,_xll.PIArcVal(AA$12,$C29, 0,"TPI","AUTO"),"")</f>
        <v>27.289146423339844</v>
      </c>
      <c r="AB29" s="160">
        <f>IF(ISNUMBER(_xll.PIArcVal(AB$12,$D29, 0,"TPI","AUTO"))=TRUE,_xll.PIArcVal(AB$12,$D29, 0,"TPI","AUTO"),"")</f>
        <v>27.289146423339844</v>
      </c>
      <c r="AC29" s="47" cm="1">
        <f t="array" ref="AC29">IF(ISNUMBER(_xll.PIAdvCalcVal(Courier!$AC$12,Courier!$D28,Courier!$C29,"average (time-weighted)","time-weighted",0,1,0,"")),_xll.PIAdvCalcVal(Courier!$AC$12,Courier!$D28,Courier!$C29,"average (time-weighted)","time-weighted",0,1,0,""),"")</f>
        <v>0</v>
      </c>
      <c r="AD29" s="47" cm="1">
        <f t="array" ref="AD29">IF(ISNUMBER(_xll.PIAdvCalcVal(Courier!$AC$12,Courier!$C29,Courier!$D29,"average (time-weighted)","time-weighted",0,1,0,"")),_xll.PIAdvCalcVal(Courier!$AC$12,Courier!$C29,Courier!$D29,"average (time-weighted)","time-weighted",0,1,0,""),"")</f>
        <v>0</v>
      </c>
    </row>
    <row r="30" spans="2:30" ht="16.5" thickBot="1" x14ac:dyDescent="0.3">
      <c r="B30" s="44">
        <f t="shared" si="2"/>
        <v>46263</v>
      </c>
      <c r="C30" s="45">
        <f t="shared" si="3"/>
        <v>46263.770833333336</v>
      </c>
      <c r="D30" s="158">
        <f t="shared" si="1"/>
        <v>46264.270833333336</v>
      </c>
      <c r="E30" s="160">
        <f>IF(ISNUMBER(_xll.PIArcVal(E$12,$C30, 0,"TPI","AUTO"))=TRUE,_xll.PIArcVal(E$12,$C30, 0,"TPI","AUTO"),"")</f>
        <v>0.4848606288433075</v>
      </c>
      <c r="F30" s="160">
        <f>IF(ISNUMBER(_xll.PIArcVal(F$12,$D30, 0,"TPI","AUTO"))=TRUE,_xll.PIArcVal(F$12,$D30, 0,"TPI","AUTO"),"")</f>
        <v>0.54607230424880981</v>
      </c>
      <c r="G30" s="160">
        <f>IF(ISNUMBER(_xll.PIArcVal(G$12,$C30, 0,"TPI","AUTO"))=TRUE,_xll.PIArcVal(G$12,$C30, 0,"TPI","AUTO"),"")</f>
        <v>3.0782792717218399E-2</v>
      </c>
      <c r="H30" s="160">
        <f>IF(ISNUMBER(_xll.PIArcVal(H$12,$D30, 0,"TPI","AUTO"))=TRUE,_xll.PIArcVal(H$12,$D30, 0,"TPI","AUTO"),"")</f>
        <v>2.9813330620527267E-2</v>
      </c>
      <c r="I30" s="160">
        <f>IF(ISNUMBER(_xll.PIArcVal(I$12,$C30, 0,"TPI","AUTO"))=TRUE,_xll.PIArcVal(I$12,$C30, 0,"TPI","AUTO"),"")</f>
        <v>2.6859238147735596</v>
      </c>
      <c r="J30" s="160">
        <f>IF(ISNUMBER(_xll.PIArcVal(J$12,$D30, 0,"TPI","AUTO"))=TRUE,_xll.PIArcVal(J$12,$D30, 0,"TPI","AUTO"),"")</f>
        <v>2.4497549533843994</v>
      </c>
      <c r="K30" s="160">
        <f>IF(ISNUMBER(_xll.PIArcVal(K$12,$C30, 0,"TPI","AUTO"))=TRUE,_xll.PIArcVal(K$12,$C30, 0,"TPI","AUTO"),"")</f>
        <v>9.220530278980732E-3</v>
      </c>
      <c r="L30" s="160">
        <f>IF(ISNUMBER(_xll.PIArcVal(L$12,$D30, 0,"TPI","AUTO"))=TRUE,_xll.PIArcVal(L$12,$D30, 0,"TPI","AUTO"),"")</f>
        <v>8.9092524722218513E-3</v>
      </c>
      <c r="M30" s="160" t="str">
        <f>IF(ISNUMBER(_xll.PIArcVal(M$12,$C30, 0,"TPI","AUTO"))=TRUE,_xll.PIArcVal(M$12,$C30, 0,"TPI","AUTO"),"")</f>
        <v/>
      </c>
      <c r="N30" s="160" t="str">
        <f>IF(ISNUMBER(_xll.PIArcVal(N$12,$D30, 0,"TPI","AUTO"))=TRUE,_xll.PIArcVal(N$12,$D30, 0,"TPI","AUTO"),"")</f>
        <v/>
      </c>
      <c r="O30" s="160">
        <f>IF(ISNUMBER(_xll.PIArcVal(O$12,$C30, 0,"TPI","AUTO"))=TRUE,_xll.PIArcVal(O$12,$C30, 0,"TPI","AUTO"),"")</f>
        <v>3.6531712859869003E-2</v>
      </c>
      <c r="P30" s="160">
        <f>IF(ISNUMBER(_xll.PIArcVal(P$12,$D30, 0,"TPI","AUTO"))=TRUE,_xll.PIArcVal(P$12,$D30, 0,"TPI","AUTO"),"")</f>
        <v>4.2536173015832901E-2</v>
      </c>
      <c r="Q30" s="160">
        <f>IF(ISNUMBER(_xll.PIArcVal(Q$12,$C30, 0,"TPI","AUTO"))=TRUE,_xll.PIArcVal(Q$12,$C30, 0,"TPI","AUTO"),"")</f>
        <v>4.6094655990600586E-3</v>
      </c>
      <c r="R30" s="160">
        <f>IF(ISNUMBER(_xll.PIArcVal(R$12,$D30, 0,"TPI","AUTO"))=TRUE,_xll.PIArcVal(R$12,$D30, 0,"TPI","AUTO"),"")</f>
        <v>4.3897973373532295E-3</v>
      </c>
      <c r="S30" s="160">
        <f>IF(ISNUMBER(_xll.PIArcVal(S$12,$C30, 0,"TPI","AUTO"))=TRUE,_xll.PIArcVal(S$12,$C30, 0,"TPI","AUTO"),"")</f>
        <v>2.2167539596557617</v>
      </c>
      <c r="T30" s="160">
        <f>IF(ISNUMBER(_xll.PIArcVal(T$12,$D30, 0,"TPI","AUTO"))=TRUE,_xll.PIArcVal(T$12,$D30, 0,"TPI","AUTO"),"")</f>
        <v>1.8447232246398926</v>
      </c>
      <c r="U30" s="47"/>
      <c r="V30" s="47"/>
      <c r="W30" s="160">
        <f>IF(ISNUMBER(_xll.PIArcVal(W$12,$C30, 0,"TPI","AUTO"))=TRUE,_xll.PIArcVal(W$12,$C30, 0,"TPI","AUTO"),"")</f>
        <v>23.015262603759766</v>
      </c>
      <c r="X30" s="160">
        <f>IF(ISNUMBER(_xll.PIArcVal(X$12,$D30, 0,"TPI","AUTO"))=TRUE,_xll.PIArcVal(X$12,$D30, 0,"TPI","AUTO"),"")</f>
        <v>23.015262603759766</v>
      </c>
      <c r="Y30" s="160">
        <f>IF(ISNUMBER(_xll.PIArcVal(Y$12,$C30, 0,"TPI","AUTO"))=TRUE,_xll.PIArcVal(Y$12,$C30, 0,"TPI","AUTO"),"")</f>
        <v>1.4501559734344482</v>
      </c>
      <c r="Z30" s="160">
        <f>IF(ISNUMBER(_xll.PIArcVal(Z$12,$D30, 0,"TPI","AUTO"))=TRUE,_xll.PIArcVal(Z$12,$D30, 0,"TPI","AUTO"),"")</f>
        <v>1.4501559734344482</v>
      </c>
      <c r="AA30" s="160">
        <f>IF(ISNUMBER(_xll.PIArcVal(AA$12,$C30, 0,"TPI","AUTO"))=TRUE,_xll.PIArcVal(AA$12,$C30, 0,"TPI","AUTO"),"")</f>
        <v>27.289146423339844</v>
      </c>
      <c r="AB30" s="160">
        <f>IF(ISNUMBER(_xll.PIArcVal(AB$12,$D30, 0,"TPI","AUTO"))=TRUE,_xll.PIArcVal(AB$12,$D30, 0,"TPI","AUTO"),"")</f>
        <v>27.289146423339844</v>
      </c>
      <c r="AC30" s="47" cm="1">
        <f t="array" ref="AC30">IF(ISNUMBER(_xll.PIAdvCalcVal(Courier!$AC$12,Courier!$D29,Courier!$C30,"average (time-weighted)","time-weighted",0,1,0,"")),_xll.PIAdvCalcVal(Courier!$AC$12,Courier!$D29,Courier!$C30,"average (time-weighted)","time-weighted",0,1,0,""),"")</f>
        <v>0</v>
      </c>
      <c r="AD30" s="47" cm="1">
        <f t="array" ref="AD30">IF(ISNUMBER(_xll.PIAdvCalcVal(Courier!$AC$12,Courier!$C30,Courier!$D30,"average (time-weighted)","time-weighted",0,1,0,"")),_xll.PIAdvCalcVal(Courier!$AC$12,Courier!$C30,Courier!$D30,"average (time-weighted)","time-weighted",0,1,0,""),"")</f>
        <v>0</v>
      </c>
    </row>
    <row r="31" spans="2:30" ht="16.5" thickBot="1" x14ac:dyDescent="0.3">
      <c r="B31" s="44">
        <f t="shared" si="2"/>
        <v>46264</v>
      </c>
      <c r="C31" s="45">
        <f t="shared" si="3"/>
        <v>46264.770833333336</v>
      </c>
      <c r="D31" s="158">
        <f t="shared" si="1"/>
        <v>46265.270833333336</v>
      </c>
      <c r="E31" s="160">
        <f>IF(ISNUMBER(_xll.PIArcVal(E$12,$C31, 0,"TPI","AUTO"))=TRUE,_xll.PIArcVal(E$12,$C31, 0,"TPI","AUTO"),"")</f>
        <v>0.59998983144760132</v>
      </c>
      <c r="F31" s="160">
        <f>IF(ISNUMBER(_xll.PIArcVal(F$12,$D31, 0,"TPI","AUTO"))=TRUE,_xll.PIArcVal(F$12,$D31, 0,"TPI","AUTO"),"")</f>
        <v>0.50283354520797729</v>
      </c>
      <c r="G31" s="160">
        <f>IF(ISNUMBER(_xll.PIArcVal(G$12,$C31, 0,"TPI","AUTO"))=TRUE,_xll.PIArcVal(G$12,$C31, 0,"TPI","AUTO"),"")</f>
        <v>3.8391932845115662E-2</v>
      </c>
      <c r="H31" s="160">
        <f>IF(ISNUMBER(_xll.PIArcVal(H$12,$D31, 0,"TPI","AUTO"))=TRUE,_xll.PIArcVal(H$12,$D31, 0,"TPI","AUTO"),"")</f>
        <v>3.5930391401052475E-2</v>
      </c>
      <c r="I31" s="160">
        <f>IF(ISNUMBER(_xll.PIArcVal(I$12,$C31, 0,"TPI","AUTO"))=TRUE,_xll.PIArcVal(I$12,$C31, 0,"TPI","AUTO"),"")</f>
        <v>2.0410492420196533</v>
      </c>
      <c r="J31" s="160">
        <f>IF(ISNUMBER(_xll.PIArcVal(J$12,$D31, 0,"TPI","AUTO"))=TRUE,_xll.PIArcVal(J$12,$D31, 0,"TPI","AUTO"),"")</f>
        <v>1.8280590772628784</v>
      </c>
      <c r="K31" s="160">
        <f>IF(ISNUMBER(_xll.PIArcVal(K$12,$C31, 0,"TPI","AUTO"))=TRUE,_xll.PIArcVal(K$12,$C31, 0,"TPI","AUTO"),"")</f>
        <v>7.3290285654366016E-3</v>
      </c>
      <c r="L31" s="160">
        <f>IF(ISNUMBER(_xll.PIArcVal(L$12,$D31, 0,"TPI","AUTO"))=TRUE,_xll.PIArcVal(L$12,$D31, 0,"TPI","AUTO"),"")</f>
        <v>7.2602988220751286E-3</v>
      </c>
      <c r="M31" s="160" t="str">
        <f>IF(ISNUMBER(_xll.PIArcVal(M$12,$C31, 0,"TPI","AUTO"))=TRUE,_xll.PIArcVal(M$12,$C31, 0,"TPI","AUTO"),"")</f>
        <v/>
      </c>
      <c r="N31" s="160" t="str">
        <f>IF(ISNUMBER(_xll.PIArcVal(N$12,$D31, 0,"TPI","AUTO"))=TRUE,_xll.PIArcVal(N$12,$D31, 0,"TPI","AUTO"),"")</f>
        <v/>
      </c>
      <c r="O31" s="160">
        <f>IF(ISNUMBER(_xll.PIArcVal(O$12,$C31, 0,"TPI","AUTO"))=TRUE,_xll.PIArcVal(O$12,$C31, 0,"TPI","AUTO"),"")</f>
        <v>5.7420451194047928E-2</v>
      </c>
      <c r="P31" s="160">
        <f>IF(ISNUMBER(_xll.PIArcVal(P$12,$D31, 0,"TPI","AUTO"))=TRUE,_xll.PIArcVal(P$12,$D31, 0,"TPI","AUTO"),"")</f>
        <v>5.4978996515274048E-2</v>
      </c>
      <c r="Q31" s="160">
        <f>IF(ISNUMBER(_xll.PIArcVal(Q$12,$C31, 0,"TPI","AUTO"))=TRUE,_xll.PIArcVal(Q$12,$C31, 0,"TPI","AUTO"),"")</f>
        <v>5.1697702147066593E-3</v>
      </c>
      <c r="R31" s="160">
        <f>IF(ISNUMBER(_xll.PIArcVal(R$12,$D31, 0,"TPI","AUTO"))=TRUE,_xll.PIArcVal(R$12,$D31, 0,"TPI","AUTO"),"")</f>
        <v>5.4571120999753475E-3</v>
      </c>
      <c r="S31" s="160">
        <f>IF(ISNUMBER(_xll.PIArcVal(S$12,$C31, 0,"TPI","AUTO"))=TRUE,_xll.PIArcVal(S$12,$C31, 0,"TPI","AUTO"),"")</f>
        <v>1.3106778860092163</v>
      </c>
      <c r="T31" s="160">
        <f>IF(ISNUMBER(_xll.PIArcVal(T$12,$D31, 0,"TPI","AUTO"))=TRUE,_xll.PIArcVal(T$12,$D31, 0,"TPI","AUTO"),"")</f>
        <v>1.2757508754730225</v>
      </c>
      <c r="U31" s="47"/>
      <c r="V31" s="47"/>
      <c r="W31" s="160">
        <f>IF(ISNUMBER(_xll.PIArcVal(W$12,$C31, 0,"TPI","AUTO"))=TRUE,_xll.PIArcVal(W$12,$C31, 0,"TPI","AUTO"),"")</f>
        <v>23.015262603759766</v>
      </c>
      <c r="X31" s="160">
        <f>IF(ISNUMBER(_xll.PIArcVal(X$12,$D31, 0,"TPI","AUTO"))=TRUE,_xll.PIArcVal(X$12,$D31, 0,"TPI","AUTO"),"")</f>
        <v>26.153593063354492</v>
      </c>
      <c r="Y31" s="160">
        <f>IF(ISNUMBER(_xll.PIArcVal(Y$12,$C31, 0,"TPI","AUTO"))=TRUE,_xll.PIArcVal(Y$12,$C31, 0,"TPI","AUTO"),"")</f>
        <v>1.4501559734344482</v>
      </c>
      <c r="Z31" s="160">
        <f>IF(ISNUMBER(_xll.PIArcVal(Z$12,$D31, 0,"TPI","AUTO"))=TRUE,_xll.PIArcVal(Z$12,$D31, 0,"TPI","AUTO"),"")</f>
        <v>1.8572525978088379</v>
      </c>
      <c r="AA31" s="160">
        <f>IF(ISNUMBER(_xll.PIArcVal(AA$12,$C31, 0,"TPI","AUTO"))=TRUE,_xll.PIArcVal(AA$12,$C31, 0,"TPI","AUTO"),"")</f>
        <v>27.289146423339844</v>
      </c>
      <c r="AB31" s="160">
        <f>IF(ISNUMBER(_xll.PIArcVal(AB$12,$D31, 0,"TPI","AUTO"))=TRUE,_xll.PIArcVal(AB$12,$D31, 0,"TPI","AUTO"),"")</f>
        <v>27.661218643188477</v>
      </c>
      <c r="AC31" s="47" cm="1">
        <f t="array" ref="AC31">IF(ISNUMBER(_xll.PIAdvCalcVal(Courier!$AC$12,Courier!$D30,Courier!$C31,"average (time-weighted)","time-weighted",0,1,0,"")),_xll.PIAdvCalcVal(Courier!$AC$12,Courier!$D30,Courier!$C31,"average (time-weighted)","time-weighted",0,1,0,""),"")</f>
        <v>1.3933911206131449</v>
      </c>
      <c r="AD31" s="47" cm="1">
        <f t="array" ref="AD31">IF(ISNUMBER(_xll.PIAdvCalcVal(Courier!$AC$12,Courier!$C31,Courier!$D31,"average (time-weighted)","time-weighted",0,1,0,"")),_xll.PIAdvCalcVal(Courier!$AC$12,Courier!$C31,Courier!$D31,"average (time-weighted)","time-weighted",0,1,0,""),"")</f>
        <v>10.76077013589121</v>
      </c>
    </row>
    <row r="32" spans="2:30" ht="16.5" thickBot="1" x14ac:dyDescent="0.3">
      <c r="B32" s="44">
        <f t="shared" si="2"/>
        <v>46265</v>
      </c>
      <c r="C32" s="45">
        <f t="shared" si="3"/>
        <v>46265.770833333336</v>
      </c>
      <c r="D32" s="158">
        <f t="shared" si="1"/>
        <v>46266.270833333336</v>
      </c>
      <c r="E32" s="160">
        <f>IF(ISNUMBER(_xll.PIArcVal(E$12,$C32, 0,"TPI","AUTO"))=TRUE,_xll.PIArcVal(E$12,$C32, 0,"TPI","AUTO"),"")</f>
        <v>0.50231575965881348</v>
      </c>
      <c r="F32" s="160">
        <f>IF(ISNUMBER(_xll.PIArcVal(F$12,$D32, 0,"TPI","AUTO"))=TRUE,_xll.PIArcVal(F$12,$D32, 0,"TPI","AUTO"),"")</f>
        <v>0.40348759293556213</v>
      </c>
      <c r="G32" s="160">
        <f>IF(ISNUMBER(_xll.PIArcVal(G$12,$C32, 0,"TPI","AUTO"))=TRUE,_xll.PIArcVal(G$12,$C32, 0,"TPI","AUTO"),"")</f>
        <v>3.7116792052984238E-2</v>
      </c>
      <c r="H32" s="160">
        <f>IF(ISNUMBER(_xll.PIArcVal(H$12,$D32, 0,"TPI","AUTO"))=TRUE,_xll.PIArcVal(H$12,$D32, 0,"TPI","AUTO"),"")</f>
        <v>3.650277853012085E-2</v>
      </c>
      <c r="I32" s="160">
        <f>IF(ISNUMBER(_xll.PIArcVal(I$12,$C32, 0,"TPI","AUTO"))=TRUE,_xll.PIArcVal(I$12,$C32, 0,"TPI","AUTO"),"")</f>
        <v>1.9858081340789795</v>
      </c>
      <c r="J32" s="160">
        <f>IF(ISNUMBER(_xll.PIArcVal(J$12,$D32, 0,"TPI","AUTO"))=TRUE,_xll.PIArcVal(J$12,$D32, 0,"TPI","AUTO"),"")</f>
        <v>2.5345699787139893</v>
      </c>
      <c r="K32" s="160">
        <f>IF(ISNUMBER(_xll.PIArcVal(K$12,$C32, 0,"TPI","AUTO"))=TRUE,_xll.PIArcVal(K$12,$C32, 0,"TPI","AUTO"),"")</f>
        <v>9.1845616698265076E-3</v>
      </c>
      <c r="L32" s="160">
        <f>IF(ISNUMBER(_xll.PIArcVal(L$12,$D32, 0,"TPI","AUTO"))=TRUE,_xll.PIArcVal(L$12,$D32, 0,"TPI","AUTO"),"")</f>
        <v>8.9148255065083504E-3</v>
      </c>
      <c r="M32" s="160" t="str">
        <f>IF(ISNUMBER(_xll.PIArcVal(M$12,$C32, 0,"TPI","AUTO"))=TRUE,_xll.PIArcVal(M$12,$C32, 0,"TPI","AUTO"),"")</f>
        <v/>
      </c>
      <c r="N32" s="160" t="str">
        <f>IF(ISNUMBER(_xll.PIArcVal(N$12,$D32, 0,"TPI","AUTO"))=TRUE,_xll.PIArcVal(N$12,$D32, 0,"TPI","AUTO"),"")</f>
        <v/>
      </c>
      <c r="O32" s="160">
        <f>IF(ISNUMBER(_xll.PIArcVal(O$12,$C32, 0,"TPI","AUTO"))=TRUE,_xll.PIArcVal(O$12,$C32, 0,"TPI","AUTO"),"")</f>
        <v>5.5254612118005753E-2</v>
      </c>
      <c r="P32" s="160">
        <f>IF(ISNUMBER(_xll.PIArcVal(P$12,$D32, 0,"TPI","AUTO"))=TRUE,_xll.PIArcVal(P$12,$D32, 0,"TPI","AUTO"),"")</f>
        <v>4.4345006346702576E-2</v>
      </c>
      <c r="Q32" s="160">
        <f>IF(ISNUMBER(_xll.PIArcVal(Q$12,$C32, 0,"TPI","AUTO"))=TRUE,_xll.PIArcVal(Q$12,$C32, 0,"TPI","AUTO"),"")</f>
        <v>5.1274113357067108E-3</v>
      </c>
      <c r="R32" s="160">
        <f>IF(ISNUMBER(_xll.PIArcVal(R$12,$D32, 0,"TPI","AUTO"))=TRUE,_xll.PIArcVal(R$12,$D32, 0,"TPI","AUTO"),"")</f>
        <v>4.8520802520215511E-3</v>
      </c>
      <c r="S32" s="160">
        <f>IF(ISNUMBER(_xll.PIArcVal(S$12,$C32, 0,"TPI","AUTO"))=TRUE,_xll.PIArcVal(S$12,$C32, 0,"TPI","AUTO"),"")</f>
        <v>1.3762176036834717</v>
      </c>
      <c r="T32" s="160">
        <f>IF(ISNUMBER(_xll.PIArcVal(T$12,$D32, 0,"TPI","AUTO"))=TRUE,_xll.PIArcVal(T$12,$D32, 0,"TPI","AUTO"),"")</f>
        <v>1.9142037630081177</v>
      </c>
      <c r="U32" s="47"/>
      <c r="V32" s="47"/>
      <c r="W32" s="160">
        <f>IF(ISNUMBER(_xll.PIArcVal(W$12,$C32, 0,"TPI","AUTO"))=TRUE,_xll.PIArcVal(W$12,$C32, 0,"TPI","AUTO"),"")</f>
        <v>25.166622161865234</v>
      </c>
      <c r="X32" s="160">
        <f>IF(ISNUMBER(_xll.PIArcVal(X$12,$D32, 0,"TPI","AUTO"))=TRUE,_xll.PIArcVal(X$12,$D32, 0,"TPI","AUTO"),"")</f>
        <v>23.135202407836914</v>
      </c>
      <c r="Y32" s="160">
        <f>IF(ISNUMBER(_xll.PIArcVal(Y$12,$C32, 0,"TPI","AUTO"))=TRUE,_xll.PIArcVal(Y$12,$C32, 0,"TPI","AUTO"),"")</f>
        <v>1.893884539604187</v>
      </c>
      <c r="Z32" s="160">
        <f>IF(ISNUMBER(_xll.PIArcVal(Z$12,$D32, 0,"TPI","AUTO"))=TRUE,_xll.PIArcVal(Z$12,$D32, 0,"TPI","AUTO"),"")</f>
        <v>1.7489078044891357</v>
      </c>
      <c r="AA32" s="160">
        <f>IF(ISNUMBER(_xll.PIArcVal(AA$12,$C32, 0,"TPI","AUTO"))=TRUE,_xll.PIArcVal(AA$12,$C32, 0,"TPI","AUTO"),"")</f>
        <v>26.856437683105469</v>
      </c>
      <c r="AB32" s="160">
        <f>IF(ISNUMBER(_xll.PIArcVal(AB$12,$D32, 0,"TPI","AUTO"))=TRUE,_xll.PIArcVal(AB$12,$D32, 0,"TPI","AUTO"),"")</f>
        <v>27.473276138305664</v>
      </c>
      <c r="AC32" s="47" cm="1">
        <f t="array" ref="AC32">IF(ISNUMBER(_xll.PIAdvCalcVal(Courier!$AC$12,Courier!$D31,Courier!$C32,"average (time-weighted)","time-weighted",0,1,0,"")),_xll.PIAdvCalcVal(Courier!$AC$12,Courier!$D31,Courier!$C32,"average (time-weighted)","time-weighted",0,1,0,""),"")</f>
        <v>10.869453034432286</v>
      </c>
      <c r="AD32" s="47" cm="1">
        <f t="array" ref="AD32">IF(ISNUMBER(_xll.PIAdvCalcVal(Courier!$AC$12,Courier!$C32,Courier!$D32,"average (time-weighted)","time-weighted",0,1,0,"")),_xll.PIAdvCalcVal(Courier!$AC$12,Courier!$C32,Courier!$D32,"average (time-weighted)","time-weighted",0,1,0,""),"")</f>
        <v>11.474225041392119</v>
      </c>
    </row>
    <row r="33" spans="2:30" ht="16.5" thickBot="1" x14ac:dyDescent="0.3">
      <c r="B33" s="44">
        <f t="shared" si="2"/>
        <v>46266</v>
      </c>
      <c r="C33" s="45">
        <f t="shared" si="3"/>
        <v>46266.770833333336</v>
      </c>
      <c r="D33" s="158">
        <f t="shared" si="1"/>
        <v>46267.270833333336</v>
      </c>
      <c r="E33" s="160">
        <f>IF(ISNUMBER(_xll.PIArcVal(E$12,$C33, 0,"TPI","AUTO"))=TRUE,_xll.PIArcVal(E$12,$C33, 0,"TPI","AUTO"),"")</f>
        <v>0.3736254870891571</v>
      </c>
      <c r="F33" s="160">
        <f>IF(ISNUMBER(_xll.PIArcVal(F$12,$D33, 0,"TPI","AUTO"))=TRUE,_xll.PIArcVal(F$12,$D33, 0,"TPI","AUTO"),"")</f>
        <v>0.44212466478347778</v>
      </c>
      <c r="G33" s="160">
        <f>IF(ISNUMBER(_xll.PIArcVal(G$12,$C33, 0,"TPI","AUTO"))=TRUE,_xll.PIArcVal(G$12,$C33, 0,"TPI","AUTO"),"")</f>
        <v>4.6092774718999863E-2</v>
      </c>
      <c r="H33" s="160">
        <f>IF(ISNUMBER(_xll.PIArcVal(H$12,$D33, 0,"TPI","AUTO"))=TRUE,_xll.PIArcVal(H$12,$D33, 0,"TPI","AUTO"),"")</f>
        <v>5.0596009939908981E-2</v>
      </c>
      <c r="I33" s="160">
        <f>IF(ISNUMBER(_xll.PIArcVal(I$12,$C33, 0,"TPI","AUTO"))=TRUE,_xll.PIArcVal(I$12,$C33, 0,"TPI","AUTO"),"")</f>
        <v>2.6145422458648682</v>
      </c>
      <c r="J33" s="160">
        <f>IF(ISNUMBER(_xll.PIArcVal(J$12,$D33, 0,"TPI","AUTO"))=TRUE,_xll.PIArcVal(J$12,$D33, 0,"TPI","AUTO"),"")</f>
        <v>2.7508416175842285</v>
      </c>
      <c r="K33" s="160">
        <f>IF(ISNUMBER(_xll.PIArcVal(K$12,$C33, 0,"TPI","AUTO"))=TRUE,_xll.PIArcVal(K$12,$C33, 0,"TPI","AUTO"),"")</f>
        <v>7.4626179412007332E-3</v>
      </c>
      <c r="L33" s="160">
        <f>IF(ISNUMBER(_xll.PIArcVal(L$12,$D33, 0,"TPI","AUTO"))=TRUE,_xll.PIArcVal(L$12,$D33, 0,"TPI","AUTO"),"")</f>
        <v>7.635544054210186E-3</v>
      </c>
      <c r="M33" s="160" t="str">
        <f>IF(ISNUMBER(_xll.PIArcVal(M$12,$C33, 0,"TPI","AUTO"))=TRUE,_xll.PIArcVal(M$12,$C33, 0,"TPI","AUTO"),"")</f>
        <v/>
      </c>
      <c r="N33" s="160" t="str">
        <f>IF(ISNUMBER(_xll.PIArcVal(N$12,$D33, 0,"TPI","AUTO"))=TRUE,_xll.PIArcVal(N$12,$D33, 0,"TPI","AUTO"),"")</f>
        <v/>
      </c>
      <c r="O33" s="160">
        <f>IF(ISNUMBER(_xll.PIArcVal(O$12,$C33, 0,"TPI","AUTO"))=TRUE,_xll.PIArcVal(O$12,$C33, 0,"TPI","AUTO"),"")</f>
        <v>4.000009223818779E-2</v>
      </c>
      <c r="P33" s="160">
        <f>IF(ISNUMBER(_xll.PIArcVal(P$12,$D33, 0,"TPI","AUTO"))=TRUE,_xll.PIArcVal(P$12,$D33, 0,"TPI","AUTO"),"")</f>
        <v>4.8696577548980713E-2</v>
      </c>
      <c r="Q33" s="160">
        <f>IF(ISNUMBER(_xll.PIArcVal(Q$12,$C33, 0,"TPI","AUTO"))=TRUE,_xll.PIArcVal(Q$12,$C33, 0,"TPI","AUTO"),"")</f>
        <v>4.4990410096943378E-3</v>
      </c>
      <c r="R33" s="160">
        <f>IF(ISNUMBER(_xll.PIArcVal(R$12,$D33, 0,"TPI","AUTO"))=TRUE,_xll.PIArcVal(R$12,$D33, 0,"TPI","AUTO"),"")</f>
        <v>5.2151018753647804E-3</v>
      </c>
      <c r="S33" s="160">
        <f>IF(ISNUMBER(_xll.PIArcVal(S$12,$C33, 0,"TPI","AUTO"))=TRUE,_xll.PIArcVal(S$12,$C33, 0,"TPI","AUTO"),"")</f>
        <v>2.1051921844482422</v>
      </c>
      <c r="T33" s="160">
        <f>IF(ISNUMBER(_xll.PIArcVal(T$12,$D33, 0,"TPI","AUTO"))=TRUE,_xll.PIArcVal(T$12,$D33, 0,"TPI","AUTO"),"")</f>
        <v>1.8737521171569824</v>
      </c>
      <c r="U33" s="47"/>
      <c r="V33" s="47"/>
      <c r="W33" s="160">
        <f>IF(ISNUMBER(_xll.PIArcVal(W$12,$C33, 0,"TPI","AUTO"))=TRUE,_xll.PIArcVal(W$12,$C33, 0,"TPI","AUTO"),"")</f>
        <v>23.102602005004883</v>
      </c>
      <c r="X33" s="160">
        <f>IF(ISNUMBER(_xll.PIArcVal(X$12,$D33, 0,"TPI","AUTO"))=TRUE,_xll.PIArcVal(X$12,$D33, 0,"TPI","AUTO"),"")</f>
        <v>24.377904891967773</v>
      </c>
      <c r="Y33" s="160">
        <f>IF(ISNUMBER(_xll.PIArcVal(Y$12,$C33, 0,"TPI","AUTO"))=TRUE,_xll.PIArcVal(Y$12,$C33, 0,"TPI","AUTO"),"")</f>
        <v>2.3694190979003906</v>
      </c>
      <c r="Z33" s="160">
        <f>IF(ISNUMBER(_xll.PIArcVal(Z$12,$D33, 0,"TPI","AUTO"))=TRUE,_xll.PIArcVal(Z$12,$D33, 0,"TPI","AUTO"),"")</f>
        <v>2.65802001953125</v>
      </c>
      <c r="AA33" s="160">
        <f>IF(ISNUMBER(_xll.PIArcVal(AA$12,$C33, 0,"TPI","AUTO"))=TRUE,_xll.PIArcVal(AA$12,$C33, 0,"TPI","AUTO"),"")</f>
        <v>27.367341995239258</v>
      </c>
      <c r="AB33" s="160">
        <f>IF(ISNUMBER(_xll.PIArcVal(AB$12,$D33, 0,"TPI","AUTO"))=TRUE,_xll.PIArcVal(AB$12,$D33, 0,"TPI","AUTO"),"")</f>
        <v>26.602724075317383</v>
      </c>
      <c r="AC33" s="47" cm="1">
        <f t="array" ref="AC33">IF(ISNUMBER(_xll.PIAdvCalcVal(Courier!$AC$12,Courier!$D32,Courier!$C33,"average (time-weighted)","time-weighted",0,1,0,"")),_xll.PIAdvCalcVal(Courier!$AC$12,Courier!$D32,Courier!$C33,"average (time-weighted)","time-weighted",0,1,0,""),"")</f>
        <v>11.845024185985896</v>
      </c>
      <c r="AD33" s="47" cm="1">
        <f t="array" ref="AD33">IF(ISNUMBER(_xll.PIAdvCalcVal(Courier!$AC$12,Courier!$C33,Courier!$D33,"average (time-weighted)","time-weighted",0,1,0,"")),_xll.PIAdvCalcVal(Courier!$AC$12,Courier!$C33,Courier!$D33,"average (time-weighted)","time-weighted",0,1,0,""),"")</f>
        <v>10.015300016674759</v>
      </c>
    </row>
    <row r="34" spans="2:30" ht="16.5" thickBot="1" x14ac:dyDescent="0.3">
      <c r="B34" s="44">
        <f t="shared" si="2"/>
        <v>46267</v>
      </c>
      <c r="C34" s="45">
        <f t="shared" si="3"/>
        <v>46267.770833333336</v>
      </c>
      <c r="D34" s="158">
        <f t="shared" si="1"/>
        <v>46268.270833333336</v>
      </c>
      <c r="E34" s="160">
        <f>IF(ISNUMBER(_xll.PIArcVal(E$12,$C34, 0,"TPI","AUTO"))=TRUE,_xll.PIArcVal(E$12,$C34, 0,"TPI","AUTO"),"")</f>
        <v>0.39033800363540649</v>
      </c>
      <c r="F34" s="160">
        <f>IF(ISNUMBER(_xll.PIArcVal(F$12,$D34, 0,"TPI","AUTO"))=TRUE,_xll.PIArcVal(F$12,$D34, 0,"TPI","AUTO"),"")</f>
        <v>0.40830069780349731</v>
      </c>
      <c r="G34" s="160">
        <f>IF(ISNUMBER(_xll.PIArcVal(G$12,$C34, 0,"TPI","AUTO"))=TRUE,_xll.PIArcVal(G$12,$C34, 0,"TPI","AUTO"),"")</f>
        <v>3.931552916765213E-2</v>
      </c>
      <c r="H34" s="160">
        <f>IF(ISNUMBER(_xll.PIArcVal(H$12,$D34, 0,"TPI","AUTO"))=TRUE,_xll.PIArcVal(H$12,$D34, 0,"TPI","AUTO"),"")</f>
        <v>3.9904758334159851E-2</v>
      </c>
      <c r="I34" s="160">
        <f>IF(ISNUMBER(_xll.PIArcVal(I$12,$C34, 0,"TPI","AUTO"))=TRUE,_xll.PIArcVal(I$12,$C34, 0,"TPI","AUTO"),"")</f>
        <v>2.567657470703125</v>
      </c>
      <c r="J34" s="160">
        <f>IF(ISNUMBER(_xll.PIArcVal(J$12,$D34, 0,"TPI","AUTO"))=TRUE,_xll.PIArcVal(J$12,$D34, 0,"TPI","AUTO"),"")</f>
        <v>2.6255476474761963</v>
      </c>
      <c r="K34" s="160">
        <f>IF(ISNUMBER(_xll.PIArcVal(K$12,$C34, 0,"TPI","AUTO"))=TRUE,_xll.PIArcVal(K$12,$C34, 0,"TPI","AUTO"),"")</f>
        <v>7.0276269689202309E-3</v>
      </c>
      <c r="L34" s="160">
        <f>IF(ISNUMBER(_xll.PIArcVal(L$12,$D34, 0,"TPI","AUTO"))=TRUE,_xll.PIArcVal(L$12,$D34, 0,"TPI","AUTO"),"")</f>
        <v>7.2544845752418041E-3</v>
      </c>
      <c r="M34" s="160" t="str">
        <f>IF(ISNUMBER(_xll.PIArcVal(M$12,$C34, 0,"TPI","AUTO"))=TRUE,_xll.PIArcVal(M$12,$C34, 0,"TPI","AUTO"),"")</f>
        <v/>
      </c>
      <c r="N34" s="160" t="str">
        <f>IF(ISNUMBER(_xll.PIArcVal(N$12,$D34, 0,"TPI","AUTO"))=TRUE,_xll.PIArcVal(N$12,$D34, 0,"TPI","AUTO"),"")</f>
        <v/>
      </c>
      <c r="O34" s="160">
        <f>IF(ISNUMBER(_xll.PIArcVal(O$12,$C34, 0,"TPI","AUTO"))=TRUE,_xll.PIArcVal(O$12,$C34, 0,"TPI","AUTO"),"")</f>
        <v>4.5061357319355011E-2</v>
      </c>
      <c r="P34" s="160">
        <f>IF(ISNUMBER(_xll.PIArcVal(P$12,$D34, 0,"TPI","AUTO"))=TRUE,_xll.PIArcVal(P$12,$D34, 0,"TPI","AUTO"),"")</f>
        <v>3.5695921629667282E-2</v>
      </c>
      <c r="Q34" s="160">
        <f>IF(ISNUMBER(_xll.PIArcVal(Q$12,$C34, 0,"TPI","AUTO"))=TRUE,_xll.PIArcVal(Q$12,$C34, 0,"TPI","AUTO"),"")</f>
        <v>5.0686276517808437E-3</v>
      </c>
      <c r="R34" s="160">
        <f>IF(ISNUMBER(_xll.PIArcVal(R$12,$D34, 0,"TPI","AUTO"))=TRUE,_xll.PIArcVal(R$12,$D34, 0,"TPI","AUTO"),"")</f>
        <v>4.6232151798903942E-3</v>
      </c>
      <c r="S34" s="160">
        <f>IF(ISNUMBER(_xll.PIArcVal(S$12,$C34, 0,"TPI","AUTO"))=TRUE,_xll.PIArcVal(S$12,$C34, 0,"TPI","AUTO"),"")</f>
        <v>1.8178185224533081</v>
      </c>
      <c r="T34" s="160">
        <f>IF(ISNUMBER(_xll.PIArcVal(T$12,$D34, 0,"TPI","AUTO"))=TRUE,_xll.PIArcVal(T$12,$D34, 0,"TPI","AUTO"),"")</f>
        <v>2.1222233772277832</v>
      </c>
      <c r="U34" s="47"/>
      <c r="V34" s="47"/>
      <c r="W34" s="160">
        <f>IF(ISNUMBER(_xll.PIArcVal(W$12,$C34, 0,"TPI","AUTO"))=TRUE,_xll.PIArcVal(W$12,$C34, 0,"TPI","AUTO"),"")</f>
        <v>25.557792663574219</v>
      </c>
      <c r="X34" s="160">
        <f>IF(ISNUMBER(_xll.PIArcVal(X$12,$D34, 0,"TPI","AUTO"))=TRUE,_xll.PIArcVal(X$12,$D34, 0,"TPI","AUTO"),"")</f>
        <v>23.321441650390625</v>
      </c>
      <c r="Y34" s="160">
        <f>IF(ISNUMBER(_xll.PIArcVal(Y$12,$C34, 0,"TPI","AUTO"))=TRUE,_xll.PIArcVal(Y$12,$C34, 0,"TPI","AUTO"),"")</f>
        <v>2.3231534957885742</v>
      </c>
      <c r="Z34" s="160">
        <f>IF(ISNUMBER(_xll.PIArcVal(Z$12,$D34, 0,"TPI","AUTO"))=TRUE,_xll.PIArcVal(Z$12,$D34, 0,"TPI","AUTO"),"")</f>
        <v>1.7807154655456543</v>
      </c>
      <c r="AA34" s="160">
        <f>IF(ISNUMBER(_xll.PIArcVal(AA$12,$C34, 0,"TPI","AUTO"))=TRUE,_xll.PIArcVal(AA$12,$C34, 0,"TPI","AUTO"),"")</f>
        <v>26.955389022827148</v>
      </c>
      <c r="AB34" s="160">
        <f>IF(ISNUMBER(_xll.PIArcVal(AB$12,$D34, 0,"TPI","AUTO"))=TRUE,_xll.PIArcVal(AB$12,$D34, 0,"TPI","AUTO"),"")</f>
        <v>28.53587532043457</v>
      </c>
      <c r="AC34" s="47" cm="1">
        <f t="array" ref="AC34">IF(ISNUMBER(_xll.PIAdvCalcVal(Courier!$AC$12,Courier!$D33,Courier!$C34,"average (time-weighted)","time-weighted",0,1,0,"")),_xll.PIAdvCalcVal(Courier!$AC$12,Courier!$D33,Courier!$C34,"average (time-weighted)","time-weighted",0,1,0,""),"")</f>
        <v>10.328913108135177</v>
      </c>
      <c r="AD34" s="47" cm="1">
        <f t="array" ref="AD34">IF(ISNUMBER(_xll.PIAdvCalcVal(Courier!$AC$12,Courier!$C34,Courier!$D34,"average (time-weighted)","time-weighted",0,1,0,"")),_xll.PIAdvCalcVal(Courier!$AC$12,Courier!$C34,Courier!$D34,"average (time-weighted)","time-weighted",0,1,0,""),"")</f>
        <v>10.5249248013073</v>
      </c>
    </row>
    <row r="35" spans="2:30" ht="16.5" thickBot="1" x14ac:dyDescent="0.3">
      <c r="B35" s="44">
        <f t="shared" si="2"/>
        <v>46268</v>
      </c>
      <c r="C35" s="45">
        <f t="shared" si="3"/>
        <v>46268.770833333336</v>
      </c>
      <c r="D35" s="158">
        <f t="shared" si="1"/>
        <v>46269.270833333336</v>
      </c>
      <c r="E35" s="160">
        <f>IF(ISNUMBER(_xll.PIArcVal(E$12,$C35, 0,"TPI","AUTO"))=TRUE,_xll.PIArcVal(E$12,$C35, 0,"TPI","AUTO"),"")</f>
        <v>0.31929829716682434</v>
      </c>
      <c r="F35" s="160">
        <f>IF(ISNUMBER(_xll.PIArcVal(F$12,$D35, 0,"TPI","AUTO"))=TRUE,_xll.PIArcVal(F$12,$D35, 0,"TPI","AUTO"),"")</f>
        <v>0.43038392066955566</v>
      </c>
      <c r="G35" s="160">
        <f>IF(ISNUMBER(_xll.PIArcVal(G$12,$C35, 0,"TPI","AUTO"))=TRUE,_xll.PIArcVal(G$12,$C35, 0,"TPI","AUTO"),"")</f>
        <v>4.4588696211576462E-2</v>
      </c>
      <c r="H35" s="160">
        <f>IF(ISNUMBER(_xll.PIArcVal(H$12,$D35, 0,"TPI","AUTO"))=TRUE,_xll.PIArcVal(H$12,$D35, 0,"TPI","AUTO"),"")</f>
        <v>2.9418226331472397E-2</v>
      </c>
      <c r="I35" s="160">
        <f>IF(ISNUMBER(_xll.PIArcVal(I$12,$C35, 0,"TPI","AUTO"))=TRUE,_xll.PIArcVal(I$12,$C35, 0,"TPI","AUTO"),"")</f>
        <v>2.2746589183807373</v>
      </c>
      <c r="J35" s="160">
        <f>IF(ISNUMBER(_xll.PIArcVal(J$12,$D35, 0,"TPI","AUTO"))=TRUE,_xll.PIArcVal(J$12,$D35, 0,"TPI","AUTO"),"")</f>
        <v>2.8858299255371094</v>
      </c>
      <c r="K35" s="160">
        <f>IF(ISNUMBER(_xll.PIArcVal(K$12,$C35, 0,"TPI","AUTO"))=TRUE,_xll.PIArcVal(K$12,$C35, 0,"TPI","AUTO"),"")</f>
        <v>5.736964289098978E-3</v>
      </c>
      <c r="L35" s="160">
        <f>IF(ISNUMBER(_xll.PIArcVal(L$12,$D35, 0,"TPI","AUTO"))=TRUE,_xll.PIArcVal(L$12,$D35, 0,"TPI","AUTO"),"")</f>
        <v>8.6402837187051773E-3</v>
      </c>
      <c r="M35" s="160" t="str">
        <f>IF(ISNUMBER(_xll.PIArcVal(M$12,$C35, 0,"TPI","AUTO"))=TRUE,_xll.PIArcVal(M$12,$C35, 0,"TPI","AUTO"),"")</f>
        <v/>
      </c>
      <c r="N35" s="160" t="str">
        <f>IF(ISNUMBER(_xll.PIArcVal(N$12,$D35, 0,"TPI","AUTO"))=TRUE,_xll.PIArcVal(N$12,$D35, 0,"TPI","AUTO"),"")</f>
        <v/>
      </c>
      <c r="O35" s="160">
        <f>IF(ISNUMBER(_xll.PIArcVal(O$12,$C35, 0,"TPI","AUTO"))=TRUE,_xll.PIArcVal(O$12,$C35, 0,"TPI","AUTO"),"")</f>
        <v>4.8773180693387985E-2</v>
      </c>
      <c r="P35" s="160">
        <f>IF(ISNUMBER(_xll.PIArcVal(P$12,$D35, 0,"TPI","AUTO"))=TRUE,_xll.PIArcVal(P$12,$D35, 0,"TPI","AUTO"),"")</f>
        <v>5.5096399039030075E-2</v>
      </c>
      <c r="Q35" s="160">
        <f>IF(ISNUMBER(_xll.PIArcVal(Q$12,$C35, 0,"TPI","AUTO"))=TRUE,_xll.PIArcVal(Q$12,$C35, 0,"TPI","AUTO"),"")</f>
        <v>4.381291102617979E-3</v>
      </c>
      <c r="R35" s="160">
        <f>IF(ISNUMBER(_xll.PIArcVal(R$12,$D35, 0,"TPI","AUTO"))=TRUE,_xll.PIArcVal(R$12,$D35, 0,"TPI","AUTO"),"")</f>
        <v>4.7700437717139721E-3</v>
      </c>
      <c r="S35" s="160">
        <f>IF(ISNUMBER(_xll.PIArcVal(S$12,$C35, 0,"TPI","AUTO"))=TRUE,_xll.PIArcVal(S$12,$C35, 0,"TPI","AUTO"),"")</f>
        <v>2.018911600112915</v>
      </c>
      <c r="T35" s="160">
        <f>IF(ISNUMBER(_xll.PIArcVal(T$12,$D35, 0,"TPI","AUTO"))=TRUE,_xll.PIArcVal(T$12,$D35, 0,"TPI","AUTO"),"")</f>
        <v>1.786179780960083</v>
      </c>
      <c r="U35" s="47"/>
      <c r="V35" s="47"/>
      <c r="W35" s="160">
        <f>IF(ISNUMBER(_xll.PIArcVal(W$12,$C35, 0,"TPI","AUTO"))=TRUE,_xll.PIArcVal(W$12,$C35, 0,"TPI","AUTO"),"")</f>
        <v>21.977792739868164</v>
      </c>
      <c r="X35" s="160">
        <f>IF(ISNUMBER(_xll.PIArcVal(X$12,$D35, 0,"TPI","AUTO"))=TRUE,_xll.PIArcVal(X$12,$D35, 0,"TPI","AUTO"),"")</f>
        <v>23.486249923706055</v>
      </c>
      <c r="Y35" s="160">
        <f>IF(ISNUMBER(_xll.PIArcVal(Y$12,$C35, 0,"TPI","AUTO"))=TRUE,_xll.PIArcVal(Y$12,$C35, 0,"TPI","AUTO"),"")</f>
        <v>1.8171306848526001</v>
      </c>
      <c r="Z35" s="160">
        <f>IF(ISNUMBER(_xll.PIArcVal(Z$12,$D35, 0,"TPI","AUTO"))=TRUE,_xll.PIArcVal(Z$12,$D35, 0,"TPI","AUTO"),"")</f>
        <v>1.6388206481933594</v>
      </c>
      <c r="AA35" s="160">
        <f>IF(ISNUMBER(_xll.PIArcVal(AA$12,$C35, 0,"TPI","AUTO"))=TRUE,_xll.PIArcVal(AA$12,$C35, 0,"TPI","AUTO"),"")</f>
        <v>25.195009231567383</v>
      </c>
      <c r="AB35" s="160">
        <f>IF(ISNUMBER(_xll.PIArcVal(AB$12,$D35, 0,"TPI","AUTO"))=TRUE,_xll.PIArcVal(AB$12,$D35, 0,"TPI","AUTO"),"")</f>
        <v>28.608669281005859</v>
      </c>
      <c r="AC35" s="47" cm="1">
        <f t="array" ref="AC35">IF(ISNUMBER(_xll.PIAdvCalcVal(Courier!$AC$12,Courier!$D34,Courier!$C35,"average (time-weighted)","time-weighted",0,1,0,"")),_xll.PIAdvCalcVal(Courier!$AC$12,Courier!$D34,Courier!$C35,"average (time-weighted)","time-weighted",0,1,0,""),"")</f>
        <v>1.4765931786707653</v>
      </c>
      <c r="AD35" s="47" cm="1">
        <f t="array" ref="AD35">IF(ISNUMBER(_xll.PIAdvCalcVal(Courier!$AC$12,Courier!$C35,Courier!$D35,"average (time-weighted)","time-weighted",0,1,0,"")),_xll.PIAdvCalcVal(Courier!$AC$12,Courier!$C35,Courier!$D35,"average (time-weighted)","time-weighted",0,1,0,""),"")</f>
        <v>6.2524286098652588</v>
      </c>
    </row>
    <row r="36" spans="2:30" ht="16.5" thickBot="1" x14ac:dyDescent="0.3">
      <c r="B36" s="44">
        <f t="shared" si="2"/>
        <v>46269</v>
      </c>
      <c r="C36" s="45">
        <f t="shared" si="3"/>
        <v>46269.770833333336</v>
      </c>
      <c r="D36" s="158">
        <f t="shared" si="1"/>
        <v>46270.270833333336</v>
      </c>
      <c r="E36" s="160">
        <f>IF(ISNUMBER(_xll.PIArcVal(E$12,$C36, 0,"TPI","AUTO"))=TRUE,_xll.PIArcVal(E$12,$C36, 0,"TPI","AUTO"),"")</f>
        <v>0.37649604678153992</v>
      </c>
      <c r="F36" s="160">
        <f>IF(ISNUMBER(_xll.PIArcVal(F$12,$D36, 0,"TPI","AUTO"))=TRUE,_xll.PIArcVal(F$12,$D36, 0,"TPI","AUTO"),"")</f>
        <v>0.37649604678153992</v>
      </c>
      <c r="G36" s="160">
        <f>IF(ISNUMBER(_xll.PIArcVal(G$12,$C36, 0,"TPI","AUTO"))=TRUE,_xll.PIArcVal(G$12,$C36, 0,"TPI","AUTO"),"")</f>
        <v>2.215956337749958E-2</v>
      </c>
      <c r="H36" s="160">
        <f>IF(ISNUMBER(_xll.PIArcVal(H$12,$D36, 0,"TPI","AUTO"))=TRUE,_xll.PIArcVal(H$12,$D36, 0,"TPI","AUTO"),"")</f>
        <v>2.215956337749958E-2</v>
      </c>
      <c r="I36" s="160">
        <f>IF(ISNUMBER(_xll.PIArcVal(I$12,$C36, 0,"TPI","AUTO"))=TRUE,_xll.PIArcVal(I$12,$C36, 0,"TPI","AUTO"),"")</f>
        <v>3.2246012687683105</v>
      </c>
      <c r="J36" s="160">
        <f>IF(ISNUMBER(_xll.PIArcVal(J$12,$D36, 0,"TPI","AUTO"))=TRUE,_xll.PIArcVal(J$12,$D36, 0,"TPI","AUTO"),"")</f>
        <v>3.2246012687683105</v>
      </c>
      <c r="K36" s="160">
        <f>IF(ISNUMBER(_xll.PIArcVal(K$12,$C36, 0,"TPI","AUTO"))=TRUE,_xll.PIArcVal(K$12,$C36, 0,"TPI","AUTO"),"")</f>
        <v>8.5093574598431587E-3</v>
      </c>
      <c r="L36" s="160">
        <f>IF(ISNUMBER(_xll.PIArcVal(L$12,$D36, 0,"TPI","AUTO"))=TRUE,_xll.PIArcVal(L$12,$D36, 0,"TPI","AUTO"),"")</f>
        <v>8.5093574598431587E-3</v>
      </c>
      <c r="M36" s="160" t="str">
        <f>IF(ISNUMBER(_xll.PIArcVal(M$12,$C36, 0,"TPI","AUTO"))=TRUE,_xll.PIArcVal(M$12,$C36, 0,"TPI","AUTO"),"")</f>
        <v/>
      </c>
      <c r="N36" s="160" t="str">
        <f>IF(ISNUMBER(_xll.PIArcVal(N$12,$D36, 0,"TPI","AUTO"))=TRUE,_xll.PIArcVal(N$12,$D36, 0,"TPI","AUTO"),"")</f>
        <v/>
      </c>
      <c r="O36" s="160">
        <f>IF(ISNUMBER(_xll.PIArcVal(O$12,$C36, 0,"TPI","AUTO"))=TRUE,_xll.PIArcVal(O$12,$C36, 0,"TPI","AUTO"),"")</f>
        <v>4.8279803246259689E-2</v>
      </c>
      <c r="P36" s="160">
        <f>IF(ISNUMBER(_xll.PIArcVal(P$12,$D36, 0,"TPI","AUTO"))=TRUE,_xll.PIArcVal(P$12,$D36, 0,"TPI","AUTO"),"")</f>
        <v>4.8279803246259689E-2</v>
      </c>
      <c r="Q36" s="160">
        <f>IF(ISNUMBER(_xll.PIArcVal(Q$12,$C36, 0,"TPI","AUTO"))=TRUE,_xll.PIArcVal(Q$12,$C36, 0,"TPI","AUTO"),"")</f>
        <v>3.8191855419427156E-3</v>
      </c>
      <c r="R36" s="160">
        <f>IF(ISNUMBER(_xll.PIArcVal(R$12,$D36, 0,"TPI","AUTO"))=TRUE,_xll.PIArcVal(R$12,$D36, 0,"TPI","AUTO"),"")</f>
        <v>3.8191855419427156E-3</v>
      </c>
      <c r="S36" s="160">
        <f>IF(ISNUMBER(_xll.PIArcVal(S$12,$C36, 0,"TPI","AUTO"))=TRUE,_xll.PIArcVal(S$12,$C36, 0,"TPI","AUTO"),"")</f>
        <v>2.1955306529998779</v>
      </c>
      <c r="T36" s="160">
        <f>IF(ISNUMBER(_xll.PIArcVal(T$12,$D36, 0,"TPI","AUTO"))=TRUE,_xll.PIArcVal(T$12,$D36, 0,"TPI","AUTO"),"")</f>
        <v>2.1955306529998779</v>
      </c>
      <c r="U36" s="47"/>
      <c r="V36" s="47"/>
      <c r="W36" s="160">
        <f>IF(ISNUMBER(_xll.PIArcVal(W$12,$C36, 0,"TPI","AUTO"))=TRUE,_xll.PIArcVal(W$12,$C36, 0,"TPI","AUTO"),"")</f>
        <v>20.749732971191406</v>
      </c>
      <c r="X36" s="160">
        <f>IF(ISNUMBER(_xll.PIArcVal(X$12,$D36, 0,"TPI","AUTO"))=TRUE,_xll.PIArcVal(X$12,$D36, 0,"TPI","AUTO"),"")</f>
        <v>20.749732971191406</v>
      </c>
      <c r="Y36" s="160">
        <f>IF(ISNUMBER(_xll.PIArcVal(Y$12,$C36, 0,"TPI","AUTO"))=TRUE,_xll.PIArcVal(Y$12,$C36, 0,"TPI","AUTO"),"")</f>
        <v>1.2933531999588013</v>
      </c>
      <c r="Z36" s="160">
        <f>IF(ISNUMBER(_xll.PIArcVal(Z$12,$D36, 0,"TPI","AUTO"))=TRUE,_xll.PIArcVal(Z$12,$D36, 0,"TPI","AUTO"),"")</f>
        <v>1.2933531999588013</v>
      </c>
      <c r="AA36" s="160">
        <f>IF(ISNUMBER(_xll.PIArcVal(AA$12,$C36, 0,"TPI","AUTO"))=TRUE,_xll.PIArcVal(AA$12,$C36, 0,"TPI","AUTO"),"")</f>
        <v>28.197538375854492</v>
      </c>
      <c r="AB36" s="160">
        <f>IF(ISNUMBER(_xll.PIArcVal(AB$12,$D36, 0,"TPI","AUTO"))=TRUE,_xll.PIArcVal(AB$12,$D36, 0,"TPI","AUTO"),"")</f>
        <v>28.197538375854492</v>
      </c>
      <c r="AC36" s="47" cm="1">
        <f t="array" ref="AC36">IF(ISNUMBER(_xll.PIAdvCalcVal(Courier!$AC$12,Courier!$D35,Courier!$C36,"average (time-weighted)","time-weighted",0,1,0,"")),_xll.PIAdvCalcVal(Courier!$AC$12,Courier!$D35,Courier!$C36,"average (time-weighted)","time-weighted",0,1,0,""),"")</f>
        <v>13.251995987462379</v>
      </c>
      <c r="AD36" s="47" cm="1">
        <f t="array" ref="AD36">IF(ISNUMBER(_xll.PIAdvCalcVal(Courier!$AC$12,Courier!$C36,Courier!$D36,"average (time-weighted)","time-weighted",0,1,0,"")),_xll.PIAdvCalcVal(Courier!$AC$12,Courier!$C36,Courier!$D36,"average (time-weighted)","time-weighted",0,1,0,""),"")</f>
        <v>13.809171136638502</v>
      </c>
    </row>
    <row r="37" spans="2:30" ht="16.5" thickBot="1" x14ac:dyDescent="0.3">
      <c r="B37" s="44">
        <f t="shared" si="2"/>
        <v>46270</v>
      </c>
      <c r="C37" s="45">
        <f t="shared" si="3"/>
        <v>46270.770833333336</v>
      </c>
      <c r="D37" s="158">
        <f t="shared" si="1"/>
        <v>46271.270833333336</v>
      </c>
      <c r="E37" s="160">
        <f>IF(ISNUMBER(_xll.PIArcVal(E$12,$C37, 0,"TPI","AUTO"))=TRUE,_xll.PIArcVal(E$12,$C37, 0,"TPI","AUTO"),"")</f>
        <v>0.39491033554077148</v>
      </c>
      <c r="F37" s="160">
        <f>IF(ISNUMBER(_xll.PIArcVal(F$12,$D37, 0,"TPI","AUTO"))=TRUE,_xll.PIArcVal(F$12,$D37, 0,"TPI","AUTO"),"")</f>
        <v>0.39302888512611389</v>
      </c>
      <c r="G37" s="160">
        <f>IF(ISNUMBER(_xll.PIArcVal(G$12,$C37, 0,"TPI","AUTO"))=TRUE,_xll.PIArcVal(G$12,$C37, 0,"TPI","AUTO"),"")</f>
        <v>2.992715872824192E-2</v>
      </c>
      <c r="H37" s="160">
        <f>IF(ISNUMBER(_xll.PIArcVal(H$12,$D37, 0,"TPI","AUTO"))=TRUE,_xll.PIArcVal(H$12,$D37, 0,"TPI","AUTO"),"")</f>
        <v>2.2792842239141464E-2</v>
      </c>
      <c r="I37" s="160">
        <f>IF(ISNUMBER(_xll.PIArcVal(I$12,$C37, 0,"TPI","AUTO"))=TRUE,_xll.PIArcVal(I$12,$C37, 0,"TPI","AUTO"),"")</f>
        <v>2.9478087425231934</v>
      </c>
      <c r="J37" s="160">
        <f>IF(ISNUMBER(_xll.PIArcVal(J$12,$D37, 0,"TPI","AUTO"))=TRUE,_xll.PIArcVal(J$12,$D37, 0,"TPI","AUTO"),"")</f>
        <v>3.1660964488983154</v>
      </c>
      <c r="K37" s="160">
        <f>IF(ISNUMBER(_xll.PIArcVal(K$12,$C37, 0,"TPI","AUTO"))=TRUE,_xll.PIArcVal(K$12,$C37, 0,"TPI","AUTO"),"")</f>
        <v>8.7617700919508934E-3</v>
      </c>
      <c r="L37" s="160">
        <f>IF(ISNUMBER(_xll.PIArcVal(L$12,$D37, 0,"TPI","AUTO"))=TRUE,_xll.PIArcVal(L$12,$D37, 0,"TPI","AUTO"),"")</f>
        <v>9.3513708561658859E-3</v>
      </c>
      <c r="M37" s="160" t="str">
        <f>IF(ISNUMBER(_xll.PIArcVal(M$12,$C37, 0,"TPI","AUTO"))=TRUE,_xll.PIArcVal(M$12,$C37, 0,"TPI","AUTO"),"")</f>
        <v/>
      </c>
      <c r="N37" s="160" t="str">
        <f>IF(ISNUMBER(_xll.PIArcVal(N$12,$D37, 0,"TPI","AUTO"))=TRUE,_xll.PIArcVal(N$12,$D37, 0,"TPI","AUTO"),"")</f>
        <v/>
      </c>
      <c r="O37" s="160">
        <f>IF(ISNUMBER(_xll.PIArcVal(O$12,$C37, 0,"TPI","AUTO"))=TRUE,_xll.PIArcVal(O$12,$C37, 0,"TPI","AUTO"),"")</f>
        <v>4.9260232597589493E-2</v>
      </c>
      <c r="P37" s="160">
        <f>IF(ISNUMBER(_xll.PIArcVal(P$12,$D37, 0,"TPI","AUTO"))=TRUE,_xll.PIArcVal(P$12,$D37, 0,"TPI","AUTO"),"")</f>
        <v>4.7958869487047195E-2</v>
      </c>
      <c r="Q37" s="160">
        <f>IF(ISNUMBER(_xll.PIArcVal(Q$12,$C37, 0,"TPI","AUTO"))=TRUE,_xll.PIArcVal(Q$12,$C37, 0,"TPI","AUTO"),"")</f>
        <v>4.5977793633937836E-3</v>
      </c>
      <c r="R37" s="160">
        <f>IF(ISNUMBER(_xll.PIArcVal(R$12,$D37, 0,"TPI","AUTO"))=TRUE,_xll.PIArcVal(R$12,$D37, 0,"TPI","AUTO"),"")</f>
        <v>6.5962597727775574E-3</v>
      </c>
      <c r="S37" s="160">
        <f>IF(ISNUMBER(_xll.PIArcVal(S$12,$C37, 0,"TPI","AUTO"))=TRUE,_xll.PIArcVal(S$12,$C37, 0,"TPI","AUTO"),"")</f>
        <v>2.0325229167938232</v>
      </c>
      <c r="T37" s="160">
        <f>IF(ISNUMBER(_xll.PIArcVal(T$12,$D37, 0,"TPI","AUTO"))=TRUE,_xll.PIArcVal(T$12,$D37, 0,"TPI","AUTO"),"")</f>
        <v>2.4309391975402832</v>
      </c>
      <c r="U37" s="47"/>
      <c r="V37" s="47"/>
      <c r="W37" s="160">
        <f>IF(ISNUMBER(_xll.PIArcVal(W$12,$C37, 0,"TPI","AUTO"))=TRUE,_xll.PIArcVal(W$12,$C37, 0,"TPI","AUTO"),"")</f>
        <v>19.81092643737793</v>
      </c>
      <c r="X37" s="160">
        <f>IF(ISNUMBER(_xll.PIArcVal(X$12,$D37, 0,"TPI","AUTO"))=TRUE,_xll.PIArcVal(X$12,$D37, 0,"TPI","AUTO"),"")</f>
        <v>22.557380676269531</v>
      </c>
      <c r="Y37" s="160">
        <f>IF(ISNUMBER(_xll.PIArcVal(Y$12,$C37, 0,"TPI","AUTO"))=TRUE,_xll.PIArcVal(Y$12,$C37, 0,"TPI","AUTO"),"")</f>
        <v>1.9880478382110596</v>
      </c>
      <c r="Z37" s="160">
        <f>IF(ISNUMBER(_xll.PIArcVal(Z$12,$D37, 0,"TPI","AUTO"))=TRUE,_xll.PIArcVal(Z$12,$D37, 0,"TPI","AUTO"),"")</f>
        <v>1.7497682571411133</v>
      </c>
      <c r="AA37" s="160">
        <f>IF(ISNUMBER(_xll.PIArcVal(AA$12,$C37, 0,"TPI","AUTO"))=TRUE,_xll.PIArcVal(AA$12,$C37, 0,"TPI","AUTO"),"")</f>
        <v>27.451713562011719</v>
      </c>
      <c r="AB37" s="160">
        <f>IF(ISNUMBER(_xll.PIArcVal(AB$12,$D37, 0,"TPI","AUTO"))=TRUE,_xll.PIArcVal(AB$12,$D37, 0,"TPI","AUTO"),"")</f>
        <v>27.47108268737793</v>
      </c>
      <c r="AC37" s="47" cm="1">
        <f t="array" ref="AC37">IF(ISNUMBER(_xll.PIAdvCalcVal(Courier!$AC$12,Courier!$D36,Courier!$C37,"average (time-weighted)","time-weighted",0,1,0,"")),_xll.PIAdvCalcVal(Courier!$AC$12,Courier!$D36,Courier!$C37,"average (time-weighted)","time-weighted",0,1,0,""),"")</f>
        <v>15.252508018099373</v>
      </c>
      <c r="AD37" s="47" cm="1">
        <f t="array" ref="AD37">IF(ISNUMBER(_xll.PIAdvCalcVal(Courier!$AC$12,Courier!$C37,Courier!$D37,"average (time-weighted)","time-weighted",0,1,0,"")),_xll.PIAdvCalcVal(Courier!$AC$12,Courier!$C37,Courier!$D37,"average (time-weighted)","time-weighted",0,1,0,""),"")</f>
        <v>12.594371979900355</v>
      </c>
    </row>
    <row r="38" spans="2:30" ht="16.5" thickBot="1" x14ac:dyDescent="0.3">
      <c r="B38" s="44">
        <f t="shared" si="2"/>
        <v>46271</v>
      </c>
      <c r="C38" s="45">
        <f t="shared" si="3"/>
        <v>46271.770833333336</v>
      </c>
      <c r="D38" s="158">
        <f t="shared" si="1"/>
        <v>46272.270833333336</v>
      </c>
      <c r="E38" s="160">
        <f>IF(ISNUMBER(_xll.PIArcVal(E$12,$C38, 0,"TPI","AUTO"))=TRUE,_xll.PIArcVal(E$12,$C38, 0,"TPI","AUTO"),"")</f>
        <v>0.47926869988441467</v>
      </c>
      <c r="F38" s="160">
        <f>IF(ISNUMBER(_xll.PIArcVal(F$12,$D38, 0,"TPI","AUTO"))=TRUE,_xll.PIArcVal(F$12,$D38, 0,"TPI","AUTO"),"")</f>
        <v>0.44328445196151733</v>
      </c>
      <c r="G38" s="160">
        <f>IF(ISNUMBER(_xll.PIArcVal(G$12,$C38, 0,"TPI","AUTO"))=TRUE,_xll.PIArcVal(G$12,$C38, 0,"TPI","AUTO"),"")</f>
        <v>5.4245349019765854E-2</v>
      </c>
      <c r="H38" s="160">
        <f>IF(ISNUMBER(_xll.PIArcVal(H$12,$D38, 0,"TPI","AUTO"))=TRUE,_xll.PIArcVal(H$12,$D38, 0,"TPI","AUTO"),"")</f>
        <v>4.9659151583909988E-2</v>
      </c>
      <c r="I38" s="160">
        <f>IF(ISNUMBER(_xll.PIArcVal(I$12,$C38, 0,"TPI","AUTO"))=TRUE,_xll.PIArcVal(I$12,$C38, 0,"TPI","AUTO"),"")</f>
        <v>2.6882262229919434</v>
      </c>
      <c r="J38" s="160">
        <f>IF(ISNUMBER(_xll.PIArcVal(J$12,$D38, 0,"TPI","AUTO"))=TRUE,_xll.PIArcVal(J$12,$D38, 0,"TPI","AUTO"),"")</f>
        <v>2.5827183723449707</v>
      </c>
      <c r="K38" s="160">
        <f>IF(ISNUMBER(_xll.PIArcVal(K$12,$C38, 0,"TPI","AUTO"))=TRUE,_xll.PIArcVal(K$12,$C38, 0,"TPI","AUTO"),"")</f>
        <v>9.615710936486721E-3</v>
      </c>
      <c r="L38" s="160">
        <f>IF(ISNUMBER(_xll.PIArcVal(L$12,$D38, 0,"TPI","AUTO"))=TRUE,_xll.PIArcVal(L$12,$D38, 0,"TPI","AUTO"),"")</f>
        <v>8.6873816326260567E-3</v>
      </c>
      <c r="M38" s="160" t="str">
        <f>IF(ISNUMBER(_xll.PIArcVal(M$12,$C38, 0,"TPI","AUTO"))=TRUE,_xll.PIArcVal(M$12,$C38, 0,"TPI","AUTO"),"")</f>
        <v/>
      </c>
      <c r="N38" s="160" t="str">
        <f>IF(ISNUMBER(_xll.PIArcVal(N$12,$D38, 0,"TPI","AUTO"))=TRUE,_xll.PIArcVal(N$12,$D38, 0,"TPI","AUTO"),"")</f>
        <v/>
      </c>
      <c r="O38" s="160">
        <f>IF(ISNUMBER(_xll.PIArcVal(O$12,$C38, 0,"TPI","AUTO"))=TRUE,_xll.PIArcVal(O$12,$C38, 0,"TPI","AUTO"),"")</f>
        <v>5.2695110440254211E-2</v>
      </c>
      <c r="P38" s="160">
        <f>IF(ISNUMBER(_xll.PIArcVal(P$12,$D38, 0,"TPI","AUTO"))=TRUE,_xll.PIArcVal(P$12,$D38, 0,"TPI","AUTO"),"")</f>
        <v>5.2739962935447693E-2</v>
      </c>
      <c r="Q38" s="160">
        <f>IF(ISNUMBER(_xll.PIArcVal(Q$12,$C38, 0,"TPI","AUTO"))=TRUE,_xll.PIArcVal(Q$12,$C38, 0,"TPI","AUTO"),"")</f>
        <v>7.822331041097641E-3</v>
      </c>
      <c r="R38" s="160">
        <f>IF(ISNUMBER(_xll.PIArcVal(R$12,$D38, 0,"TPI","AUTO"))=TRUE,_xll.PIArcVal(R$12,$D38, 0,"TPI","AUTO"),"")</f>
        <v>7.6515157707035542E-3</v>
      </c>
      <c r="S38" s="160">
        <f>IF(ISNUMBER(_xll.PIArcVal(S$12,$C38, 0,"TPI","AUTO"))=TRUE,_xll.PIArcVal(S$12,$C38, 0,"TPI","AUTO"),"")</f>
        <v>2.057365894317627</v>
      </c>
      <c r="T38" s="160">
        <f>IF(ISNUMBER(_xll.PIArcVal(T$12,$D38, 0,"TPI","AUTO"))=TRUE,_xll.PIArcVal(T$12,$D38, 0,"TPI","AUTO"),"")</f>
        <v>2.0642762184143066</v>
      </c>
      <c r="U38" s="47"/>
      <c r="V38" s="47"/>
      <c r="W38" s="160">
        <f>IF(ISNUMBER(_xll.PIArcVal(W$12,$C38, 0,"TPI","AUTO"))=TRUE,_xll.PIArcVal(W$12,$C38, 0,"TPI","AUTO"),"")</f>
        <v>20.495904922485352</v>
      </c>
      <c r="X38" s="160">
        <f>IF(ISNUMBER(_xll.PIArcVal(X$12,$D38, 0,"TPI","AUTO"))=TRUE,_xll.PIArcVal(X$12,$D38, 0,"TPI","AUTO"),"")</f>
        <v>21.923906326293945</v>
      </c>
      <c r="Y38" s="160">
        <f>IF(ISNUMBER(_xll.PIArcVal(Y$12,$C38, 0,"TPI","AUTO"))=TRUE,_xll.PIArcVal(Y$12,$C38, 0,"TPI","AUTO"),"")</f>
        <v>3.0950853824615479</v>
      </c>
      <c r="Z38" s="160">
        <f>IF(ISNUMBER(_xll.PIArcVal(Z$12,$D38, 0,"TPI","AUTO"))=TRUE,_xll.PIArcVal(Z$12,$D38, 0,"TPI","AUTO"),"")</f>
        <v>2.9916768074035645</v>
      </c>
      <c r="AA38" s="160">
        <f>IF(ISNUMBER(_xll.PIArcVal(AA$12,$C38, 0,"TPI","AUTO"))=TRUE,_xll.PIArcVal(AA$12,$C38, 0,"TPI","AUTO"),"")</f>
        <v>27.083105087280273</v>
      </c>
      <c r="AB38" s="160">
        <f>IF(ISNUMBER(_xll.PIArcVal(AB$12,$D38, 0,"TPI","AUTO"))=TRUE,_xll.PIArcVal(AB$12,$D38, 0,"TPI","AUTO"),"")</f>
        <v>27.242895126342773</v>
      </c>
      <c r="AC38" s="47" cm="1">
        <f t="array" ref="AC38">IF(ISNUMBER(_xll.PIAdvCalcVal(Courier!$AC$12,Courier!$D37,Courier!$C38,"average (time-weighted)","time-weighted",0,1,0,"")),_xll.PIAdvCalcVal(Courier!$AC$12,Courier!$D37,Courier!$C38,"average (time-weighted)","time-weighted",0,1,0,""),"")</f>
        <v>13.886858750036149</v>
      </c>
      <c r="AD38" s="47" cm="1">
        <f t="array" ref="AD38">IF(ISNUMBER(_xll.PIAdvCalcVal(Courier!$AC$12,Courier!$C38,Courier!$D38,"average (time-weighted)","time-weighted",0,1,0,"")),_xll.PIAdvCalcVal(Courier!$AC$12,Courier!$C38,Courier!$D38,"average (time-weighted)","time-weighted",0,1,0,""),"")</f>
        <v>11.910853339582541</v>
      </c>
    </row>
    <row r="39" spans="2:30" ht="16.5" thickBot="1" x14ac:dyDescent="0.3">
      <c r="B39" s="44">
        <f t="shared" si="2"/>
        <v>46272</v>
      </c>
      <c r="C39" s="45">
        <f t="shared" si="3"/>
        <v>46272.770833333336</v>
      </c>
      <c r="D39" s="158">
        <f t="shared" si="1"/>
        <v>46273.270833333336</v>
      </c>
      <c r="E39" s="160">
        <f>IF(ISNUMBER(_xll.PIArcVal(E$12,$C39, 0,"TPI","AUTO"))=TRUE,_xll.PIArcVal(E$12,$C39, 0,"TPI","AUTO"),"")</f>
        <v>0.58981031179428101</v>
      </c>
      <c r="F39" s="160">
        <f>IF(ISNUMBER(_xll.PIArcVal(F$12,$D39, 0,"TPI","AUTO"))=TRUE,_xll.PIArcVal(F$12,$D39, 0,"TPI","AUTO"),"")</f>
        <v>0.49795740842819214</v>
      </c>
      <c r="G39" s="160">
        <f>IF(ISNUMBER(_xll.PIArcVal(G$12,$C39, 0,"TPI","AUTO"))=TRUE,_xll.PIArcVal(G$12,$C39, 0,"TPI","AUTO"),"")</f>
        <v>6.5878219902515411E-2</v>
      </c>
      <c r="H39" s="160">
        <f>IF(ISNUMBER(_xll.PIArcVal(H$12,$D39, 0,"TPI","AUTO"))=TRUE,_xll.PIArcVal(H$12,$D39, 0,"TPI","AUTO"),"")</f>
        <v>4.901445284485817E-2</v>
      </c>
      <c r="I39" s="160">
        <f>IF(ISNUMBER(_xll.PIArcVal(I$12,$C39, 0,"TPI","AUTO"))=TRUE,_xll.PIArcVal(I$12,$C39, 0,"TPI","AUTO"),"")</f>
        <v>2.1223628520965576</v>
      </c>
      <c r="J39" s="160">
        <f>IF(ISNUMBER(_xll.PIArcVal(J$12,$D39, 0,"TPI","AUTO"))=TRUE,_xll.PIArcVal(J$12,$D39, 0,"TPI","AUTO"),"")</f>
        <v>2.074695348739624</v>
      </c>
      <c r="K39" s="160">
        <f>IF(ISNUMBER(_xll.PIArcVal(K$12,$C39, 0,"TPI","AUTO"))=TRUE,_xll.PIArcVal(K$12,$C39, 0,"TPI","AUTO"),"")</f>
        <v>6.7641460336744785E-3</v>
      </c>
      <c r="L39" s="160">
        <f>IF(ISNUMBER(_xll.PIArcVal(L$12,$D39, 0,"TPI","AUTO"))=TRUE,_xll.PIArcVal(L$12,$D39, 0,"TPI","AUTO"),"")</f>
        <v>7.3444037698209286E-3</v>
      </c>
      <c r="M39" s="160" t="str">
        <f>IF(ISNUMBER(_xll.PIArcVal(M$12,$C39, 0,"TPI","AUTO"))=TRUE,_xll.PIArcVal(M$12,$C39, 0,"TPI","AUTO"),"")</f>
        <v/>
      </c>
      <c r="N39" s="160" t="str">
        <f>IF(ISNUMBER(_xll.PIArcVal(N$12,$D39, 0,"TPI","AUTO"))=TRUE,_xll.PIArcVal(N$12,$D39, 0,"TPI","AUTO"),"")</f>
        <v/>
      </c>
      <c r="O39" s="160">
        <f>IF(ISNUMBER(_xll.PIArcVal(O$12,$C39, 0,"TPI","AUTO"))=TRUE,_xll.PIArcVal(O$12,$C39, 0,"TPI","AUTO"),"")</f>
        <v>5.8412514626979828E-2</v>
      </c>
      <c r="P39" s="160">
        <f>IF(ISNUMBER(_xll.PIArcVal(P$12,$D39, 0,"TPI","AUTO"))=TRUE,_xll.PIArcVal(P$12,$D39, 0,"TPI","AUTO"),"")</f>
        <v>6.5444730222225189E-2</v>
      </c>
      <c r="Q39" s="160">
        <f>IF(ISNUMBER(_xll.PIArcVal(Q$12,$C39, 0,"TPI","AUTO"))=TRUE,_xll.PIArcVal(Q$12,$C39, 0,"TPI","AUTO"),"")</f>
        <v>8.9856330305337906E-3</v>
      </c>
      <c r="R39" s="160">
        <f>IF(ISNUMBER(_xll.PIArcVal(R$12,$D39, 0,"TPI","AUTO"))=TRUE,_xll.PIArcVal(R$12,$D39, 0,"TPI","AUTO"),"")</f>
        <v>1.1116042733192444E-2</v>
      </c>
      <c r="S39" s="160">
        <f>IF(ISNUMBER(_xll.PIArcVal(S$12,$C39, 0,"TPI","AUTO"))=TRUE,_xll.PIArcVal(S$12,$C39, 0,"TPI","AUTO"),"")</f>
        <v>1.6705179214477539</v>
      </c>
      <c r="T39" s="160">
        <f>IF(ISNUMBER(_xll.PIArcVal(T$12,$D39, 0,"TPI","AUTO"))=TRUE,_xll.PIArcVal(T$12,$D39, 0,"TPI","AUTO"),"")</f>
        <v>1.3353372812271118</v>
      </c>
      <c r="U39" s="47"/>
      <c r="V39" s="47"/>
      <c r="W39" s="160">
        <f>IF(ISNUMBER(_xll.PIArcVal(W$12,$C39, 0,"TPI","AUTO"))=TRUE,_xll.PIArcVal(W$12,$C39, 0,"TPI","AUTO"),"")</f>
        <v>25.237625122070313</v>
      </c>
      <c r="X39" s="160">
        <f>IF(ISNUMBER(_xll.PIArcVal(X$12,$D39, 0,"TPI","AUTO"))=TRUE,_xll.PIArcVal(X$12,$D39, 0,"TPI","AUTO"),"")</f>
        <v>24.58636474609375</v>
      </c>
      <c r="Y39" s="160">
        <f>IF(ISNUMBER(_xll.PIArcVal(Y$12,$C39, 0,"TPI","AUTO"))=TRUE,_xll.PIArcVal(Y$12,$C39, 0,"TPI","AUTO"),"")</f>
        <v>3.0219612121582031</v>
      </c>
      <c r="Z39" s="160">
        <f>IF(ISNUMBER(_xll.PIArcVal(Z$12,$D39, 0,"TPI","AUTO"))=TRUE,_xll.PIArcVal(Z$12,$D39, 0,"TPI","AUTO"),"")</f>
        <v>2.3146829605102539</v>
      </c>
      <c r="AA39" s="160">
        <f>IF(ISNUMBER(_xll.PIArcVal(AA$12,$C39, 0,"TPI","AUTO"))=TRUE,_xll.PIArcVal(AA$12,$C39, 0,"TPI","AUTO"),"")</f>
        <v>27.622539520263672</v>
      </c>
      <c r="AB39" s="160">
        <f>IF(ISNUMBER(_xll.PIArcVal(AB$12,$D39, 0,"TPI","AUTO"))=TRUE,_xll.PIArcVal(AB$12,$D39, 0,"TPI","AUTO"),"")</f>
        <v>26.88499641418457</v>
      </c>
      <c r="AC39" s="47" cm="1">
        <f t="array" ref="AC39">IF(ISNUMBER(_xll.PIAdvCalcVal(Courier!$AC$12,Courier!$D38,Courier!$C39,"average (time-weighted)","time-weighted",0,1,0,"")),_xll.PIAdvCalcVal(Courier!$AC$12,Courier!$D38,Courier!$C39,"average (time-weighted)","time-weighted",0,1,0,""),"")</f>
        <v>9.263468503563935</v>
      </c>
      <c r="AD39" s="47" cm="1">
        <f t="array" ref="AD39">IF(ISNUMBER(_xll.PIAdvCalcVal(Courier!$AC$12,Courier!$C39,Courier!$D39,"average (time-weighted)","time-weighted",0,1,0,"")),_xll.PIAdvCalcVal(Courier!$AC$12,Courier!$C39,Courier!$D39,"average (time-weighted)","time-weighted",0,1,0,""),"")</f>
        <v>9.7604656823666094</v>
      </c>
    </row>
    <row r="40" spans="2:30" ht="16.5" thickBot="1" x14ac:dyDescent="0.3">
      <c r="B40" s="44">
        <f t="shared" si="2"/>
        <v>46273</v>
      </c>
      <c r="C40" s="45">
        <f t="shared" si="3"/>
        <v>46273.770833333336</v>
      </c>
      <c r="D40" s="158">
        <f t="shared" si="1"/>
        <v>46274.270833333336</v>
      </c>
      <c r="E40" s="160">
        <f>IF(ISNUMBER(_xll.PIArcVal(E$12,$C40, 0,"TPI","AUTO"))=TRUE,_xll.PIArcVal(E$12,$C40, 0,"TPI","AUTO"),"")</f>
        <v>0.49200034141540527</v>
      </c>
      <c r="F40" s="160">
        <f>IF(ISNUMBER(_xll.PIArcVal(F$12,$D40, 0,"TPI","AUTO"))=TRUE,_xll.PIArcVal(F$12,$D40, 0,"TPI","AUTO"),"")</f>
        <v>0.49363160133361816</v>
      </c>
      <c r="G40" s="160">
        <f>IF(ISNUMBER(_xll.PIArcVal(G$12,$C40, 0,"TPI","AUTO"))=TRUE,_xll.PIArcVal(G$12,$C40, 0,"TPI","AUTO"),"")</f>
        <v>6.7074969410896301E-2</v>
      </c>
      <c r="H40" s="160">
        <f>IF(ISNUMBER(_xll.PIArcVal(H$12,$D40, 0,"TPI","AUTO"))=TRUE,_xll.PIArcVal(H$12,$D40, 0,"TPI","AUTO"),"")</f>
        <v>6.4989484846591949E-2</v>
      </c>
      <c r="I40" s="160">
        <f>IF(ISNUMBER(_xll.PIArcVal(I$12,$C40, 0,"TPI","AUTO"))=TRUE,_xll.PIArcVal(I$12,$C40, 0,"TPI","AUTO"),"")</f>
        <v>2.061875581741333</v>
      </c>
      <c r="J40" s="160">
        <f>IF(ISNUMBER(_xll.PIArcVal(J$12,$D40, 0,"TPI","AUTO"))=TRUE,_xll.PIArcVal(J$12,$D40, 0,"TPI","AUTO"),"")</f>
        <v>1.8942028284072876</v>
      </c>
      <c r="K40" s="160">
        <f>IF(ISNUMBER(_xll.PIArcVal(K$12,$C40, 0,"TPI","AUTO"))=TRUE,_xll.PIArcVal(K$12,$C40, 0,"TPI","AUTO"),"")</f>
        <v>7.315794937312603E-3</v>
      </c>
      <c r="L40" s="160">
        <f>IF(ISNUMBER(_xll.PIArcVal(L$12,$D40, 0,"TPI","AUTO"))=TRUE,_xll.PIArcVal(L$12,$D40, 0,"TPI","AUTO"),"")</f>
        <v>6.9347294047474861E-3</v>
      </c>
      <c r="M40" s="160" t="str">
        <f>IF(ISNUMBER(_xll.PIArcVal(M$12,$C40, 0,"TPI","AUTO"))=TRUE,_xll.PIArcVal(M$12,$C40, 0,"TPI","AUTO"),"")</f>
        <v/>
      </c>
      <c r="N40" s="160" t="str">
        <f>IF(ISNUMBER(_xll.PIArcVal(N$12,$D40, 0,"TPI","AUTO"))=TRUE,_xll.PIArcVal(N$12,$D40, 0,"TPI","AUTO"),"")</f>
        <v/>
      </c>
      <c r="O40" s="160">
        <f>IF(ISNUMBER(_xll.PIArcVal(O$12,$C40, 0,"TPI","AUTO"))=TRUE,_xll.PIArcVal(O$12,$C40, 0,"TPI","AUTO"),"")</f>
        <v>6.17174431681633E-2</v>
      </c>
      <c r="P40" s="160">
        <f>IF(ISNUMBER(_xll.PIArcVal(P$12,$D40, 0,"TPI","AUTO"))=TRUE,_xll.PIArcVal(P$12,$D40, 0,"TPI","AUTO"),"")</f>
        <v>6.17174431681633E-2</v>
      </c>
      <c r="Q40" s="160">
        <f>IF(ISNUMBER(_xll.PIArcVal(Q$12,$C40, 0,"TPI","AUTO"))=TRUE,_xll.PIArcVal(Q$12,$C40, 0,"TPI","AUTO"),"")</f>
        <v>1.0092724114656448E-2</v>
      </c>
      <c r="R40" s="160">
        <f>IF(ISNUMBER(_xll.PIArcVal(R$12,$D40, 0,"TPI","AUTO"))=TRUE,_xll.PIArcVal(R$12,$D40, 0,"TPI","AUTO"),"")</f>
        <v>1.0092724114656448E-2</v>
      </c>
      <c r="S40" s="160">
        <f>IF(ISNUMBER(_xll.PIArcVal(S$12,$C40, 0,"TPI","AUTO"))=TRUE,_xll.PIArcVal(S$12,$C40, 0,"TPI","AUTO"),"")</f>
        <v>1.4547910690307617</v>
      </c>
      <c r="T40" s="160">
        <f>IF(ISNUMBER(_xll.PIArcVal(T$12,$D40, 0,"TPI","AUTO"))=TRUE,_xll.PIArcVal(T$12,$D40, 0,"TPI","AUTO"),"")</f>
        <v>1.4547910690307617</v>
      </c>
      <c r="U40" s="47"/>
      <c r="V40" s="47"/>
      <c r="W40" s="160">
        <f>IF(ISNUMBER(_xll.PIArcVal(W$12,$C40, 0,"TPI","AUTO"))=TRUE,_xll.PIArcVal(W$12,$C40, 0,"TPI","AUTO"),"")</f>
        <v>22.322566986083984</v>
      </c>
      <c r="X40" s="160">
        <f>IF(ISNUMBER(_xll.PIArcVal(X$12,$D40, 0,"TPI","AUTO"))=TRUE,_xll.PIArcVal(X$12,$D40, 0,"TPI","AUTO"),"")</f>
        <v>23.369316101074219</v>
      </c>
      <c r="Y40" s="160">
        <f>IF(ISNUMBER(_xll.PIArcVal(Y$12,$C40, 0,"TPI","AUTO"))=TRUE,_xll.PIArcVal(Y$12,$C40, 0,"TPI","AUTO"),"")</f>
        <v>3.0827581882476807</v>
      </c>
      <c r="Z40" s="160">
        <f>IF(ISNUMBER(_xll.PIArcVal(Z$12,$D40, 0,"TPI","AUTO"))=TRUE,_xll.PIArcVal(Z$12,$D40, 0,"TPI","AUTO"),"")</f>
        <v>3.2293510437011719</v>
      </c>
      <c r="AA40" s="160">
        <f>IF(ISNUMBER(_xll.PIArcVal(AA$12,$C40, 0,"TPI","AUTO"))=TRUE,_xll.PIArcVal(AA$12,$C40, 0,"TPI","AUTO"),"")</f>
        <v>27.057113647460938</v>
      </c>
      <c r="AB40" s="160">
        <f>IF(ISNUMBER(_xll.PIArcVal(AB$12,$D40, 0,"TPI","AUTO"))=TRUE,_xll.PIArcVal(AB$12,$D40, 0,"TPI","AUTO"),"")</f>
        <v>26.96209716796875</v>
      </c>
      <c r="AC40" s="47" cm="1">
        <f t="array" ref="AC40">IF(ISNUMBER(_xll.PIAdvCalcVal(Courier!$AC$12,Courier!$D39,Courier!$C40,"average (time-weighted)","time-weighted",0,1,0,"")),_xll.PIAdvCalcVal(Courier!$AC$12,Courier!$D39,Courier!$C40,"average (time-weighted)","time-weighted",0,1,0,""),"")</f>
        <v>13.164426495467861</v>
      </c>
      <c r="AD40" s="47" cm="1">
        <f t="array" ref="AD40">IF(ISNUMBER(_xll.PIAdvCalcVal(Courier!$AC$12,Courier!$C40,Courier!$D40,"average (time-weighted)","time-weighted",0,1,0,"")),_xll.PIAdvCalcVal(Courier!$AC$12,Courier!$C40,Courier!$D40,"average (time-weighted)","time-weighted",0,1,0,""),"")</f>
        <v>8.093370480809563</v>
      </c>
    </row>
    <row r="41" spans="2:30" ht="16.5" thickBot="1" x14ac:dyDescent="0.3">
      <c r="B41" s="44">
        <f t="shared" si="2"/>
        <v>46274</v>
      </c>
      <c r="C41" s="45">
        <f t="shared" si="3"/>
        <v>46274.770833333336</v>
      </c>
      <c r="D41" s="158">
        <f t="shared" si="1"/>
        <v>46275.270833333336</v>
      </c>
      <c r="E41" s="160">
        <f>IF(ISNUMBER(_xll.PIArcVal(E$12,$C41, 0,"TPI","AUTO"))=TRUE,_xll.PIArcVal(E$12,$C41, 0,"TPI","AUTO"),"")</f>
        <v>0.50143665075302124</v>
      </c>
      <c r="F41" s="160">
        <f>IF(ISNUMBER(_xll.PIArcVal(F$12,$D41, 0,"TPI","AUTO"))=TRUE,_xll.PIArcVal(F$12,$D41, 0,"TPI","AUTO"),"")</f>
        <v>0.48742231726646423</v>
      </c>
      <c r="G41" s="160">
        <f>IF(ISNUMBER(_xll.PIArcVal(G$12,$C41, 0,"TPI","AUTO"))=TRUE,_xll.PIArcVal(G$12,$C41, 0,"TPI","AUTO"),"")</f>
        <v>8.5331402719020844E-2</v>
      </c>
      <c r="H41" s="160">
        <f>IF(ISNUMBER(_xll.PIArcVal(H$12,$D41, 0,"TPI","AUTO"))=TRUE,_xll.PIArcVal(H$12,$D41, 0,"TPI","AUTO"),"")</f>
        <v>6.0495689511299133E-2</v>
      </c>
      <c r="I41" s="160">
        <f>IF(ISNUMBER(_xll.PIArcVal(I$12,$C41, 0,"TPI","AUTO"))=TRUE,_xll.PIArcVal(I$12,$C41, 0,"TPI","AUTO"),"")</f>
        <v>1.671797513961792</v>
      </c>
      <c r="J41" s="160">
        <f>IF(ISNUMBER(_xll.PIArcVal(J$12,$D41, 0,"TPI","AUTO"))=TRUE,_xll.PIArcVal(J$12,$D41, 0,"TPI","AUTO"),"")</f>
        <v>1.6115454435348511</v>
      </c>
      <c r="K41" s="160">
        <f>IF(ISNUMBER(_xll.PIArcVal(K$12,$C41, 0,"TPI","AUTO"))=TRUE,_xll.PIArcVal(K$12,$C41, 0,"TPI","AUTO"),"")</f>
        <v>6.834651343524456E-3</v>
      </c>
      <c r="L41" s="160">
        <f>IF(ISNUMBER(_xll.PIArcVal(L$12,$D41, 0,"TPI","AUTO"))=TRUE,_xll.PIArcVal(L$12,$D41, 0,"TPI","AUTO"),"")</f>
        <v>6.7706587724387646E-3</v>
      </c>
      <c r="M41" s="160" t="str">
        <f>IF(ISNUMBER(_xll.PIArcVal(M$12,$C41, 0,"TPI","AUTO"))=TRUE,_xll.PIArcVal(M$12,$C41, 0,"TPI","AUTO"),"")</f>
        <v/>
      </c>
      <c r="N41" s="160" t="str">
        <f>IF(ISNUMBER(_xll.PIArcVal(N$12,$D41, 0,"TPI","AUTO"))=TRUE,_xll.PIArcVal(N$12,$D41, 0,"TPI","AUTO"),"")</f>
        <v/>
      </c>
      <c r="O41" s="160">
        <f>IF(ISNUMBER(_xll.PIArcVal(O$12,$C41, 0,"TPI","AUTO"))=TRUE,_xll.PIArcVal(O$12,$C41, 0,"TPI","AUTO"),"")</f>
        <v>6.17174431681633E-2</v>
      </c>
      <c r="P41" s="160">
        <f>IF(ISNUMBER(_xll.PIArcVal(P$12,$D41, 0,"TPI","AUTO"))=TRUE,_xll.PIArcVal(P$12,$D41, 0,"TPI","AUTO"),"")</f>
        <v>6.17174431681633E-2</v>
      </c>
      <c r="Q41" s="160">
        <f>IF(ISNUMBER(_xll.PIArcVal(Q$12,$C41, 0,"TPI","AUTO"))=TRUE,_xll.PIArcVal(Q$12,$C41, 0,"TPI","AUTO"),"")</f>
        <v>1.0092724114656448E-2</v>
      </c>
      <c r="R41" s="160">
        <f>IF(ISNUMBER(_xll.PIArcVal(R$12,$D41, 0,"TPI","AUTO"))=TRUE,_xll.PIArcVal(R$12,$D41, 0,"TPI","AUTO"),"")</f>
        <v>1.0092724114656448E-2</v>
      </c>
      <c r="S41" s="160">
        <f>IF(ISNUMBER(_xll.PIArcVal(S$12,$C41, 0,"TPI","AUTO"))=TRUE,_xll.PIArcVal(S$12,$C41, 0,"TPI","AUTO"),"")</f>
        <v>1.4547910690307617</v>
      </c>
      <c r="T41" s="160">
        <f>IF(ISNUMBER(_xll.PIArcVal(T$12,$D41, 0,"TPI","AUTO"))=TRUE,_xll.PIArcVal(T$12,$D41, 0,"TPI","AUTO"),"")</f>
        <v>1.4547910690307617</v>
      </c>
      <c r="U41" s="47"/>
      <c r="V41" s="47"/>
      <c r="W41" s="160">
        <f>IF(ISNUMBER(_xll.PIArcVal(W$12,$C41, 0,"TPI","AUTO"))=TRUE,_xll.PIArcVal(W$12,$C41, 0,"TPI","AUTO"),"")</f>
        <v>23.859102249145508</v>
      </c>
      <c r="X41" s="160">
        <f>IF(ISNUMBER(_xll.PIArcVal(X$12,$D41, 0,"TPI","AUTO"))=TRUE,_xll.PIArcVal(X$12,$D41, 0,"TPI","AUTO"),"")</f>
        <v>24.94134521484375</v>
      </c>
      <c r="Y41" s="160">
        <f>IF(ISNUMBER(_xll.PIArcVal(Y$12,$C41, 0,"TPI","AUTO"))=TRUE,_xll.PIArcVal(Y$12,$C41, 0,"TPI","AUTO"),"")</f>
        <v>4.3261613845825195</v>
      </c>
      <c r="Z41" s="160">
        <f>IF(ISNUMBER(_xll.PIArcVal(Z$12,$D41, 0,"TPI","AUTO"))=TRUE,_xll.PIArcVal(Z$12,$D41, 0,"TPI","AUTO"),"")</f>
        <v>2.7876472473144531</v>
      </c>
      <c r="AA41" s="160">
        <f>IF(ISNUMBER(_xll.PIArcVal(AA$12,$C41, 0,"TPI","AUTO"))=TRUE,_xll.PIArcVal(AA$12,$C41, 0,"TPI","AUTO"),"")</f>
        <v>27.119331359863281</v>
      </c>
      <c r="AB41" s="160">
        <f>IF(ISNUMBER(_xll.PIArcVal(AB$12,$D41, 0,"TPI","AUTO"))=TRUE,_xll.PIArcVal(AB$12,$D41, 0,"TPI","AUTO"),"")</f>
        <v>26.521215438842773</v>
      </c>
      <c r="AC41" s="47" cm="1">
        <f t="array" ref="AC41">IF(ISNUMBER(_xll.PIAdvCalcVal(Courier!$AC$12,Courier!$D40,Courier!$C41,"average (time-weighted)","time-weighted",0,1,0,"")),_xll.PIAdvCalcVal(Courier!$AC$12,Courier!$D40,Courier!$C41,"average (time-weighted)","time-weighted",0,1,0,""),"")</f>
        <v>10.493285577544395</v>
      </c>
      <c r="AD41" s="47" cm="1">
        <f t="array" ref="AD41">IF(ISNUMBER(_xll.PIAdvCalcVal(Courier!$AC$12,Courier!$C41,Courier!$D41,"average (time-weighted)","time-weighted",0,1,0,"")),_xll.PIAdvCalcVal(Courier!$AC$12,Courier!$C41,Courier!$D41,"average (time-weighted)","time-weighted",0,1,0,""),"")</f>
        <v>10.417558286765841</v>
      </c>
    </row>
    <row r="42" spans="2:30" ht="16.5" thickBot="1" x14ac:dyDescent="0.3">
      <c r="B42" s="44">
        <f t="shared" si="2"/>
        <v>46275</v>
      </c>
      <c r="C42" s="45">
        <f t="shared" si="3"/>
        <v>46275.770833333336</v>
      </c>
      <c r="D42" s="158">
        <f t="shared" si="1"/>
        <v>46276.270833333336</v>
      </c>
      <c r="E42" s="160">
        <f>IF(ISNUMBER(_xll.PIArcVal(E$12,$C42, 0,"TPI","AUTO"))=TRUE,_xll.PIArcVal(E$12,$C42, 0,"TPI","AUTO"),"")</f>
        <v>0.52187442779541016</v>
      </c>
      <c r="F42" s="160">
        <f>IF(ISNUMBER(_xll.PIArcVal(F$12,$D42, 0,"TPI","AUTO"))=TRUE,_xll.PIArcVal(F$12,$D42, 0,"TPI","AUTO"),"")</f>
        <v>4.8636035919189453</v>
      </c>
      <c r="G42" s="160">
        <f>IF(ISNUMBER(_xll.PIArcVal(G$12,$C42, 0,"TPI","AUTO"))=TRUE,_xll.PIArcVal(G$12,$C42, 0,"TPI","AUTO"),"")</f>
        <v>4.7902833670377731E-2</v>
      </c>
      <c r="H42" s="160">
        <f>IF(ISNUMBER(_xll.PIArcVal(H$12,$D42, 0,"TPI","AUTO"))=TRUE,_xll.PIArcVal(H$12,$D42, 0,"TPI","AUTO"),"")</f>
        <v>0.10000000149011612</v>
      </c>
      <c r="I42" s="160">
        <f>IF(ISNUMBER(_xll.PIArcVal(I$12,$C42, 0,"TPI","AUTO"))=TRUE,_xll.PIArcVal(I$12,$C42, 0,"TPI","AUTO"),"")</f>
        <v>2.0212831497192383</v>
      </c>
      <c r="J42" s="160">
        <f>IF(ISNUMBER(_xll.PIArcVal(J$12,$D42, 0,"TPI","AUTO"))=TRUE,_xll.PIArcVal(J$12,$D42, 0,"TPI","AUTO"),"")</f>
        <v>3.2616772651672363</v>
      </c>
      <c r="K42" s="160">
        <f>IF(ISNUMBER(_xll.PIArcVal(K$12,$C42, 0,"TPI","AUTO"))=TRUE,_xll.PIArcVal(K$12,$C42, 0,"TPI","AUTO"),"")</f>
        <v>7.3374165222048759E-3</v>
      </c>
      <c r="L42" s="160">
        <f>IF(ISNUMBER(_xll.PIArcVal(L$12,$D42, 0,"TPI","AUTO"))=TRUE,_xll.PIArcVal(L$12,$D42, 0,"TPI","AUTO"),"")</f>
        <v>4.1019417345523834E-2</v>
      </c>
      <c r="M42" s="160" t="str">
        <f>IF(ISNUMBER(_xll.PIArcVal(M$12,$C42, 0,"TPI","AUTO"))=TRUE,_xll.PIArcVal(M$12,$C42, 0,"TPI","AUTO"),"")</f>
        <v/>
      </c>
      <c r="N42" s="160" t="str">
        <f>IF(ISNUMBER(_xll.PIArcVal(N$12,$D42, 0,"TPI","AUTO"))=TRUE,_xll.PIArcVal(N$12,$D42, 0,"TPI","AUTO"),"")</f>
        <v/>
      </c>
      <c r="O42" s="160">
        <f>IF(ISNUMBER(_xll.PIArcVal(O$12,$C42, 0,"TPI","AUTO"))=TRUE,_xll.PIArcVal(O$12,$C42, 0,"TPI","AUTO"),"")</f>
        <v>6.17174431681633E-2</v>
      </c>
      <c r="P42" s="160">
        <f>IF(ISNUMBER(_xll.PIArcVal(P$12,$D42, 0,"TPI","AUTO"))=TRUE,_xll.PIArcVal(P$12,$D42, 0,"TPI","AUTO"),"")</f>
        <v>6.17174431681633E-2</v>
      </c>
      <c r="Q42" s="160">
        <f>IF(ISNUMBER(_xll.PIArcVal(Q$12,$C42, 0,"TPI","AUTO"))=TRUE,_xll.PIArcVal(Q$12,$C42, 0,"TPI","AUTO"),"")</f>
        <v>1.0092724114656448E-2</v>
      </c>
      <c r="R42" s="160">
        <f>IF(ISNUMBER(_xll.PIArcVal(R$12,$D42, 0,"TPI","AUTO"))=TRUE,_xll.PIArcVal(R$12,$D42, 0,"TPI","AUTO"),"")</f>
        <v>1.0092724114656448E-2</v>
      </c>
      <c r="S42" s="160">
        <f>IF(ISNUMBER(_xll.PIArcVal(S$12,$C42, 0,"TPI","AUTO"))=TRUE,_xll.PIArcVal(S$12,$C42, 0,"TPI","AUTO"),"")</f>
        <v>1.4547910690307617</v>
      </c>
      <c r="T42" s="160">
        <f>IF(ISNUMBER(_xll.PIArcVal(T$12,$D42, 0,"TPI","AUTO"))=TRUE,_xll.PIArcVal(T$12,$D42, 0,"TPI","AUTO"),"")</f>
        <v>1.4547910690307617</v>
      </c>
      <c r="U42" s="47"/>
      <c r="V42" s="47"/>
      <c r="W42" s="160">
        <f>IF(ISNUMBER(_xll.PIArcVal(W$12,$C42, 0,"TPI","AUTO"))=TRUE,_xll.PIArcVal(W$12,$C42, 0,"TPI","AUTO"),"")</f>
        <v>27.135526657104492</v>
      </c>
      <c r="X42" s="160">
        <f>IF(ISNUMBER(_xll.PIArcVal(X$12,$D42, 0,"TPI","AUTO"))=TRUE,_xll.PIArcVal(X$12,$D42, 0,"TPI","AUTO"),"")</f>
        <v>26.558300018310547</v>
      </c>
      <c r="Y42" s="160">
        <f>IF(ISNUMBER(_xll.PIArcVal(Y$12,$C42, 0,"TPI","AUTO"))=TRUE,_xll.PIArcVal(Y$12,$C42, 0,"TPI","AUTO"),"")</f>
        <v>2.0547170639038086</v>
      </c>
      <c r="Z42" s="160">
        <f>IF(ISNUMBER(_xll.PIArcVal(Z$12,$D42, 0,"TPI","AUTO"))=TRUE,_xll.PIArcVal(Z$12,$D42, 0,"TPI","AUTO"),"")</f>
        <v>1.9102345705032349</v>
      </c>
      <c r="AA42" s="160">
        <f>IF(ISNUMBER(_xll.PIArcVal(AA$12,$C42, 0,"TPI","AUTO"))=TRUE,_xll.PIArcVal(AA$12,$C42, 0,"TPI","AUTO"),"")</f>
        <v>28.496423721313477</v>
      </c>
      <c r="AB42" s="160">
        <f>IF(ISNUMBER(_xll.PIArcVal(AB$12,$D42, 0,"TPI","AUTO"))=TRUE,_xll.PIArcVal(AB$12,$D42, 0,"TPI","AUTO"),"")</f>
        <v>27.689056396484375</v>
      </c>
      <c r="AC42" s="47" cm="1">
        <f t="array" ref="AC42">IF(ISNUMBER(_xll.PIAdvCalcVal(Courier!$AC$12,Courier!$D41,Courier!$C42,"average (time-weighted)","time-weighted",0,1,0,"")),_xll.PIAdvCalcVal(Courier!$AC$12,Courier!$D41,Courier!$C42,"average (time-weighted)","time-weighted",0,1,0,""),"")</f>
        <v>8.84254025645218</v>
      </c>
      <c r="AD42" s="47" cm="1">
        <f t="array" ref="AD42">IF(ISNUMBER(_xll.PIAdvCalcVal(Courier!$AC$12,Courier!$C42,Courier!$D42,"average (time-weighted)","time-weighted",0,1,0,"")),_xll.PIAdvCalcVal(Courier!$AC$12,Courier!$C42,Courier!$D42,"average (time-weighted)","time-weighted",0,1,0,""),"")</f>
        <v>9.5605014654107343</v>
      </c>
    </row>
    <row r="43" spans="2:30" ht="16.5" thickBot="1" x14ac:dyDescent="0.3">
      <c r="B43" s="44">
        <f t="shared" si="2"/>
        <v>46276</v>
      </c>
      <c r="C43" s="45">
        <f t="shared" si="3"/>
        <v>46276.770833333336</v>
      </c>
      <c r="D43" s="158">
        <f t="shared" si="1"/>
        <v>46277.270833333336</v>
      </c>
      <c r="E43" s="160">
        <f>IF(ISNUMBER(_xll.PIArcVal(E$12,$C43, 0,"TPI","AUTO"))=TRUE,_xll.PIArcVal(E$12,$C43, 0,"TPI","AUTO"),"")</f>
        <v>0.40904650092124939</v>
      </c>
      <c r="F43" s="160">
        <f>IF(ISNUMBER(_xll.PIArcVal(F$12,$D43, 0,"TPI","AUTO"))=TRUE,_xll.PIArcVal(F$12,$D43, 0,"TPI","AUTO"),"")</f>
        <v>0.41063079237937927</v>
      </c>
      <c r="G43" s="160">
        <f>IF(ISNUMBER(_xll.PIArcVal(G$12,$C43, 0,"TPI","AUTO"))=TRUE,_xll.PIArcVal(G$12,$C43, 0,"TPI","AUTO"),"")</f>
        <v>4.8910781741142273E-2</v>
      </c>
      <c r="H43" s="160">
        <f>IF(ISNUMBER(_xll.PIArcVal(H$12,$D43, 0,"TPI","AUTO"))=TRUE,_xll.PIArcVal(H$12,$D43, 0,"TPI","AUTO"),"")</f>
        <v>4.5976787805557251E-2</v>
      </c>
      <c r="I43" s="160">
        <f>IF(ISNUMBER(_xll.PIArcVal(I$12,$C43, 0,"TPI","AUTO"))=TRUE,_xll.PIArcVal(I$12,$C43, 0,"TPI","AUTO"),"")</f>
        <v>1.668205738067627</v>
      </c>
      <c r="J43" s="160">
        <f>IF(ISNUMBER(_xll.PIArcVal(J$12,$D43, 0,"TPI","AUTO"))=TRUE,_xll.PIArcVal(J$12,$D43, 0,"TPI","AUTO"),"")</f>
        <v>1.7673033475875854</v>
      </c>
      <c r="K43" s="160">
        <f>IF(ISNUMBER(_xll.PIArcVal(K$12,$C43, 0,"TPI","AUTO"))=TRUE,_xll.PIArcVal(K$12,$C43, 0,"TPI","AUTO"),"")</f>
        <v>6.2469076365232468E-3</v>
      </c>
      <c r="L43" s="160">
        <f>IF(ISNUMBER(_xll.PIArcVal(L$12,$D43, 0,"TPI","AUTO"))=TRUE,_xll.PIArcVal(L$12,$D43, 0,"TPI","AUTO"),"")</f>
        <v>6.7604230716824532E-3</v>
      </c>
      <c r="M43" s="160" t="str">
        <f>IF(ISNUMBER(_xll.PIArcVal(M$12,$C43, 0,"TPI","AUTO"))=TRUE,_xll.PIArcVal(M$12,$C43, 0,"TPI","AUTO"),"")</f>
        <v/>
      </c>
      <c r="N43" s="160" t="str">
        <f>IF(ISNUMBER(_xll.PIArcVal(N$12,$D43, 0,"TPI","AUTO"))=TRUE,_xll.PIArcVal(N$12,$D43, 0,"TPI","AUTO"),"")</f>
        <v/>
      </c>
      <c r="O43" s="160">
        <f>IF(ISNUMBER(_xll.PIArcVal(O$12,$C43, 0,"TPI","AUTO"))=TRUE,_xll.PIArcVal(O$12,$C43, 0,"TPI","AUTO"),"")</f>
        <v>6.17174431681633E-2</v>
      </c>
      <c r="P43" s="160">
        <f>IF(ISNUMBER(_xll.PIArcVal(P$12,$D43, 0,"TPI","AUTO"))=TRUE,_xll.PIArcVal(P$12,$D43, 0,"TPI","AUTO"),"")</f>
        <v>6.17174431681633E-2</v>
      </c>
      <c r="Q43" s="160">
        <f>IF(ISNUMBER(_xll.PIArcVal(Q$12,$C43, 0,"TPI","AUTO"))=TRUE,_xll.PIArcVal(Q$12,$C43, 0,"TPI","AUTO"),"")</f>
        <v>1.0092724114656448E-2</v>
      </c>
      <c r="R43" s="160">
        <f>IF(ISNUMBER(_xll.PIArcVal(R$12,$D43, 0,"TPI","AUTO"))=TRUE,_xll.PIArcVal(R$12,$D43, 0,"TPI","AUTO"),"")</f>
        <v>1.0092724114656448E-2</v>
      </c>
      <c r="S43" s="160">
        <f>IF(ISNUMBER(_xll.PIArcVal(S$12,$C43, 0,"TPI","AUTO"))=TRUE,_xll.PIArcVal(S$12,$C43, 0,"TPI","AUTO"),"")</f>
        <v>1.4547910690307617</v>
      </c>
      <c r="T43" s="160">
        <f>IF(ISNUMBER(_xll.PIArcVal(T$12,$D43, 0,"TPI","AUTO"))=TRUE,_xll.PIArcVal(T$12,$D43, 0,"TPI","AUTO"),"")</f>
        <v>1.4547910690307617</v>
      </c>
      <c r="U43" s="47"/>
      <c r="V43" s="47"/>
      <c r="W43" s="160">
        <f>IF(ISNUMBER(_xll.PIArcVal(W$12,$C43, 0,"TPI","AUTO"))=TRUE,_xll.PIArcVal(W$12,$C43, 0,"TPI","AUTO"),"")</f>
        <v>25.224943161010742</v>
      </c>
      <c r="X43" s="160">
        <f>IF(ISNUMBER(_xll.PIArcVal(X$12,$D43, 0,"TPI","AUTO"))=TRUE,_xll.PIArcVal(X$12,$D43, 0,"TPI","AUTO"),"")</f>
        <v>24.710926055908203</v>
      </c>
      <c r="Y43" s="160">
        <f>IF(ISNUMBER(_xll.PIArcVal(Y$12,$C43, 0,"TPI","AUTO"))=TRUE,_xll.PIArcVal(Y$12,$C43, 0,"TPI","AUTO"),"")</f>
        <v>1.9583030939102173</v>
      </c>
      <c r="Z43" s="160">
        <f>IF(ISNUMBER(_xll.PIArcVal(Z$12,$D43, 0,"TPI","AUTO"))=TRUE,_xll.PIArcVal(Z$12,$D43, 0,"TPI","AUTO"),"")</f>
        <v>2.5906531810760498</v>
      </c>
      <c r="AA43" s="160">
        <f>IF(ISNUMBER(_xll.PIArcVal(AA$12,$C43, 0,"TPI","AUTO"))=TRUE,_xll.PIArcVal(AA$12,$C43, 0,"TPI","AUTO"),"")</f>
        <v>27.300628662109375</v>
      </c>
      <c r="AB43" s="160">
        <f>IF(ISNUMBER(_xll.PIArcVal(AB$12,$D43, 0,"TPI","AUTO"))=TRUE,_xll.PIArcVal(AB$12,$D43, 0,"TPI","AUTO"),"")</f>
        <v>27.345563888549805</v>
      </c>
      <c r="AC43" s="47" cm="1">
        <f t="array" ref="AC43">IF(ISNUMBER(_xll.PIAdvCalcVal(Courier!$AC$12,Courier!$D42,Courier!$C43,"average (time-weighted)","time-weighted",0,1,0,"")),_xll.PIAdvCalcVal(Courier!$AC$12,Courier!$D42,Courier!$C43,"average (time-weighted)","time-weighted",0,1,0,""),"")</f>
        <v>11.33809357278165</v>
      </c>
      <c r="AD43" s="47" cm="1">
        <f t="array" ref="AD43">IF(ISNUMBER(_xll.PIAdvCalcVal(Courier!$AC$12,Courier!$C43,Courier!$D43,"average (time-weighted)","time-weighted",0,1,0,"")),_xll.PIAdvCalcVal(Courier!$AC$12,Courier!$C43,Courier!$D43,"average (time-weighted)","time-weighted",0,1,0,""),"")</f>
        <v>11.045682216711823</v>
      </c>
    </row>
    <row r="44" spans="2:30" ht="16.5" thickBot="1" x14ac:dyDescent="0.3">
      <c r="B44" s="44">
        <f t="shared" si="2"/>
        <v>46277</v>
      </c>
      <c r="C44" s="45">
        <f t="shared" si="3"/>
        <v>46277.770833333336</v>
      </c>
      <c r="D44" s="158">
        <f t="shared" si="1"/>
        <v>46278.270833333336</v>
      </c>
      <c r="E44" s="160">
        <f>IF(ISNUMBER(_xll.PIArcVal(E$12,$C44, 0,"TPI","AUTO"))=TRUE,_xll.PIArcVal(E$12,$C44, 0,"TPI","AUTO"),"")</f>
        <v>0.4107077419757843</v>
      </c>
      <c r="F44" s="241">
        <f>IF(ISNUMBER(_xll.PIArcVal(F$12,$D44, 0,"TPI","AUTO"))=TRUE,_xll.PIArcVal(F$12,$D44, 0,"TPI","AUTO"),"")</f>
        <v>0.44501632452011108</v>
      </c>
      <c r="G44" s="160">
        <f>IF(ISNUMBER(_xll.PIArcVal(G$12,$C44, 0,"TPI","AUTO"))=TRUE,_xll.PIArcVal(G$12,$C44, 0,"TPI","AUTO"),"")</f>
        <v>5.1853619515895844E-2</v>
      </c>
      <c r="H44" s="160">
        <f>IF(ISNUMBER(_xll.PIArcVal(H$12,$D44, 0,"TPI","AUTO"))=TRUE,_xll.PIArcVal(H$12,$D44, 0,"TPI","AUTO"),"")</f>
        <v>3.6647330969572067E-2</v>
      </c>
      <c r="I44" s="160">
        <f>IF(ISNUMBER(_xll.PIArcVal(I$12,$C44, 0,"TPI","AUTO"))=TRUE,_xll.PIArcVal(I$12,$C44, 0,"TPI","AUTO"),"")</f>
        <v>1.668297290802002</v>
      </c>
      <c r="J44" s="160">
        <f>IF(ISNUMBER(_xll.PIArcVal(J$12,$D44, 0,"TPI","AUTO"))=TRUE,_xll.PIArcVal(J$12,$D44, 0,"TPI","AUTO"),"")</f>
        <v>2.0039591789245605</v>
      </c>
      <c r="K44" s="160">
        <f>IF(ISNUMBER(_xll.PIArcVal(K$12,$C44, 0,"TPI","AUTO"))=TRUE,_xll.PIArcVal(K$12,$C44, 0,"TPI","AUTO"),"")</f>
        <v>6.9596525281667709E-3</v>
      </c>
      <c r="L44" s="160">
        <f>IF(ISNUMBER(_xll.PIArcVal(L$12,$D44, 0,"TPI","AUTO"))=TRUE,_xll.PIArcVal(L$12,$D44, 0,"TPI","AUTO"),"")</f>
        <v>7.498864084482193E-3</v>
      </c>
      <c r="M44" s="160" t="str">
        <f>IF(ISNUMBER(_xll.PIArcVal(M$12,$C44, 0,"TPI","AUTO"))=TRUE,_xll.PIArcVal(M$12,$C44, 0,"TPI","AUTO"),"")</f>
        <v/>
      </c>
      <c r="N44" s="160" t="str">
        <f>IF(ISNUMBER(_xll.PIArcVal(N$12,$D44, 0,"TPI","AUTO"))=TRUE,_xll.PIArcVal(N$12,$D44, 0,"TPI","AUTO"),"")</f>
        <v/>
      </c>
      <c r="O44" s="160">
        <f>IF(ISNUMBER(_xll.PIArcVal(O$12,$C44, 0,"TPI","AUTO"))=TRUE,_xll.PIArcVal(O$12,$C44, 0,"TPI","AUTO"),"")</f>
        <v>6.17174431681633E-2</v>
      </c>
      <c r="P44" s="160">
        <f>IF(ISNUMBER(_xll.PIArcVal(P$12,$D44, 0,"TPI","AUTO"))=TRUE,_xll.PIArcVal(P$12,$D44, 0,"TPI","AUTO"),"")</f>
        <v>4.5126523822546005E-2</v>
      </c>
      <c r="Q44" s="160">
        <f>IF(ISNUMBER(_xll.PIArcVal(Q$12,$C44, 0,"TPI","AUTO"))=TRUE,_xll.PIArcVal(Q$12,$C44, 0,"TPI","AUTO"),"")</f>
        <v>1.0092724114656448E-2</v>
      </c>
      <c r="R44" s="160">
        <f>IF(ISNUMBER(_xll.PIArcVal(R$12,$D44, 0,"TPI","AUTO"))=TRUE,_xll.PIArcVal(R$12,$D44, 0,"TPI","AUTO"),"")</f>
        <v>1.0805998928844929E-2</v>
      </c>
      <c r="S44" s="160">
        <f>IF(ISNUMBER(_xll.PIArcVal(S$12,$C44, 0,"TPI","AUTO"))=TRUE,_xll.PIArcVal(S$12,$C44, 0,"TPI","AUTO"),"")</f>
        <v>1.4547910690307617</v>
      </c>
      <c r="T44" s="160">
        <f>IF(ISNUMBER(_xll.PIArcVal(T$12,$D44, 0,"TPI","AUTO"))=TRUE,_xll.PIArcVal(T$12,$D44, 0,"TPI","AUTO"),"")</f>
        <v>1.4369500875473022</v>
      </c>
      <c r="U44" s="47"/>
      <c r="V44" s="47"/>
      <c r="W44" s="160">
        <f>IF(ISNUMBER(_xll.PIArcVal(W$12,$C44, 0,"TPI","AUTO"))=TRUE,_xll.PIArcVal(W$12,$C44, 0,"TPI","AUTO"),"")</f>
        <v>23.989170074462891</v>
      </c>
      <c r="X44" s="160">
        <f>IF(ISNUMBER(_xll.PIArcVal(X$12,$D44, 0,"TPI","AUTO"))=TRUE,_xll.PIArcVal(X$12,$D44, 0,"TPI","AUTO"),"")</f>
        <v>24.021186828613281</v>
      </c>
      <c r="Y44" s="160">
        <f>IF(ISNUMBER(_xll.PIArcVal(Y$12,$C44, 0,"TPI","AUTO"))=TRUE,_xll.PIArcVal(Y$12,$C44, 0,"TPI","AUTO"),"")</f>
        <v>3.0815331935882568</v>
      </c>
      <c r="Z44" s="160">
        <f>IF(ISNUMBER(_xll.PIArcVal(Z$12,$D44, 0,"TPI","AUTO"))=TRUE,_xll.PIArcVal(Z$12,$D44, 0,"TPI","AUTO"),"")</f>
        <v>2.2631101608276367</v>
      </c>
      <c r="AA44" s="160">
        <f>IF(ISNUMBER(_xll.PIArcVal(AA$12,$C44, 0,"TPI","AUTO"))=TRUE,_xll.PIArcVal(AA$12,$C44, 0,"TPI","AUTO"),"")</f>
        <v>27.211479187011719</v>
      </c>
      <c r="AB44" s="160">
        <f>IF(ISNUMBER(_xll.PIArcVal(AB$12,$D44, 0,"TPI","AUTO"))=TRUE,_xll.PIArcVal(AB$12,$D44, 0,"TPI","AUTO"),"")</f>
        <v>27.497737884521484</v>
      </c>
      <c r="AC44" s="47" cm="1">
        <f t="array" ref="AC44">IF(ISNUMBER(_xll.PIAdvCalcVal(Courier!$AC$12,Courier!$D43,Courier!$C44,"average (time-weighted)","time-weighted",0,1,0,"")),_xll.PIAdvCalcVal(Courier!$AC$12,Courier!$D43,Courier!$C44,"average (time-weighted)","time-weighted",0,1,0,""),"")</f>
        <v>11.642344480181739</v>
      </c>
      <c r="AD44" s="47" cm="1">
        <f t="array" ref="AD44">IF(ISNUMBER(_xll.PIAdvCalcVal(Courier!$AC$12,Courier!$C44,Courier!$D44,"average (time-weighted)","time-weighted",0,1,0,"")),_xll.PIAdvCalcVal(Courier!$AC$12,Courier!$C44,Courier!$D44,"average (time-weighted)","time-weighted",0,1,0,""),"")</f>
        <v>12.936302647855019</v>
      </c>
    </row>
    <row r="45" spans="2:30" ht="16.5" thickBot="1" x14ac:dyDescent="0.3">
      <c r="B45" s="44">
        <f>+B44+1</f>
        <v>46278</v>
      </c>
      <c r="C45" s="45">
        <f t="shared" si="3"/>
        <v>46278.770833333336</v>
      </c>
      <c r="D45" s="158">
        <f t="shared" si="1"/>
        <v>46279.270833333336</v>
      </c>
      <c r="E45" s="160">
        <f>IF(ISNUMBER(_xll.PIArcVal(E$12,$C45, 0,"TPI","AUTO"))=TRUE,_xll.PIArcVal(E$12,$C45, 0,"TPI","AUTO"),"")</f>
        <v>0.4757004976272583</v>
      </c>
      <c r="F45" s="160" t="str">
        <f>IF(ISNUMBER(_xll.PIArcVal(F$12,$D45, 0,"TPI","AUTO"))=TRUE,_xll.PIArcVal(F$12,$D45, 0,"TPI","AUTO"),"")</f>
        <v/>
      </c>
      <c r="G45" s="160">
        <f>IF(ISNUMBER(_xll.PIArcVal(G$12,$C45, 0,"TPI","AUTO"))=TRUE,_xll.PIArcVal(G$12,$C45, 0,"TPI","AUTO"),"")</f>
        <v>2.761489525437355E-2</v>
      </c>
      <c r="H45" s="160" t="str">
        <f>IF(ISNUMBER(_xll.PIArcVal(H$12,$D45, 0,"TPI","AUTO"))=TRUE,_xll.PIArcVal(H$12,$D45, 0,"TPI","AUTO"),"")</f>
        <v/>
      </c>
      <c r="I45" s="160">
        <f>IF(ISNUMBER(_xll.PIArcVal(I$12,$C45, 0,"TPI","AUTO"))=TRUE,_xll.PIArcVal(I$12,$C45, 0,"TPI","AUTO"),"")</f>
        <v>1.8959189653396606</v>
      </c>
      <c r="J45" s="160" t="str">
        <f>IF(ISNUMBER(_xll.PIArcVal(J$12,$D45, 0,"TPI","AUTO"))=TRUE,_xll.PIArcVal(J$12,$D45, 0,"TPI","AUTO"),"")</f>
        <v/>
      </c>
      <c r="K45" s="160">
        <f>IF(ISNUMBER(_xll.PIArcVal(K$12,$C45, 0,"TPI","AUTO"))=TRUE,_xll.PIArcVal(K$12,$C45, 0,"TPI","AUTO"),"")</f>
        <v>7.9368008300662041E-3</v>
      </c>
      <c r="L45" s="160" t="str">
        <f>IF(ISNUMBER(_xll.PIArcVal(L$12,$D45, 0,"TPI","AUTO"))=TRUE,_xll.PIArcVal(L$12,$D45, 0,"TPI","AUTO"),"")</f>
        <v/>
      </c>
      <c r="M45" s="160" t="str">
        <f>IF(ISNUMBER(_xll.PIArcVal(M$12,$C45, 0,"TPI","AUTO"))=TRUE,_xll.PIArcVal(M$12,$C45, 0,"TPI","AUTO"),"")</f>
        <v/>
      </c>
      <c r="N45" s="160" t="str">
        <f>IF(ISNUMBER(_xll.PIArcVal(N$12,$D45, 0,"TPI","AUTO"))=TRUE,_xll.PIArcVal(N$12,$D45, 0,"TPI","AUTO"),"")</f>
        <v/>
      </c>
      <c r="O45" s="160">
        <f>IF(ISNUMBER(_xll.PIArcVal(O$12,$C45, 0,"TPI","AUTO"))=TRUE,_xll.PIArcVal(O$12,$C45, 0,"TPI","AUTO"),"")</f>
        <v>4.7551747411489487E-2</v>
      </c>
      <c r="P45" s="160" t="str">
        <f>IF(ISNUMBER(_xll.PIArcVal(P$12,$D45, 0,"TPI","AUTO"))=TRUE,_xll.PIArcVal(P$12,$D45, 0,"TPI","AUTO"),"")</f>
        <v/>
      </c>
      <c r="Q45" s="160">
        <f>IF(ISNUMBER(_xll.PIArcVal(Q$12,$C45, 0,"TPI","AUTO"))=TRUE,_xll.PIArcVal(Q$12,$C45, 0,"TPI","AUTO"),"")</f>
        <v>1.1307978071272373E-2</v>
      </c>
      <c r="R45" s="160" t="str">
        <f>IF(ISNUMBER(_xll.PIArcVal(R$12,$D45, 0,"TPI","AUTO"))=TRUE,_xll.PIArcVal(R$12,$D45, 0,"TPI","AUTO"),"")</f>
        <v/>
      </c>
      <c r="S45" s="160">
        <f>IF(ISNUMBER(_xll.PIArcVal(S$12,$C45, 0,"TPI","AUTO"))=TRUE,_xll.PIArcVal(S$12,$C45, 0,"TPI","AUTO"),"")</f>
        <v>1.1370348930358887</v>
      </c>
      <c r="T45" s="160" t="str">
        <f>IF(ISNUMBER(_xll.PIArcVal(T$12,$D45, 0,"TPI","AUTO"))=TRUE,_xll.PIArcVal(T$12,$D45, 0,"TPI","AUTO"),"")</f>
        <v/>
      </c>
      <c r="U45" s="47"/>
      <c r="V45" s="47"/>
      <c r="W45" s="160">
        <f>IF(ISNUMBER(_xll.PIArcVal(W$12,$C45, 0,"TPI","AUTO"))=TRUE,_xll.PIArcVal(W$12,$C45, 0,"TPI","AUTO"),"")</f>
        <v>22.85106086730957</v>
      </c>
      <c r="X45" s="160" t="str">
        <f>IF(ISNUMBER(_xll.PIArcVal(X$12,$D45, 0,"TPI","AUTO"))=TRUE,_xll.PIArcVal(X$12,$D45, 0,"TPI","AUTO"),"")</f>
        <v/>
      </c>
      <c r="Y45" s="160">
        <f>IF(ISNUMBER(_xll.PIArcVal(Y$12,$C45, 0,"TPI","AUTO"))=TRUE,_xll.PIArcVal(Y$12,$C45, 0,"TPI","AUTO"),"")</f>
        <v>1.6234313249588013</v>
      </c>
      <c r="Z45" s="160" t="str">
        <f>IF(ISNUMBER(_xll.PIArcVal(Z$12,$D45, 0,"TPI","AUTO"))=TRUE,_xll.PIArcVal(Z$12,$D45, 0,"TPI","AUTO"),"")</f>
        <v/>
      </c>
      <c r="AA45" s="160">
        <f>IF(ISNUMBER(_xll.PIArcVal(AA$12,$C45, 0,"TPI","AUTO"))=TRUE,_xll.PIArcVal(AA$12,$C45, 0,"TPI","AUTO"),"")</f>
        <v>28.092273712158203</v>
      </c>
      <c r="AB45" s="160" t="str">
        <f>IF(ISNUMBER(_xll.PIArcVal(AB$12,$D45, 0,"TPI","AUTO"))=TRUE,_xll.PIArcVal(AB$12,$D45, 0,"TPI","AUTO"),"")</f>
        <v/>
      </c>
      <c r="AC45" s="47" cm="1">
        <f t="array" ref="AC45">IF(ISNUMBER(_xll.PIAdvCalcVal(Courier!$AC$12,Courier!$D44,Courier!$C45,"average (time-weighted)","time-weighted",0,1,0,"")),_xll.PIAdvCalcVal(Courier!$AC$12,Courier!$D44,Courier!$C45,"average (time-weighted)","time-weighted",0,1,0,""),"")</f>
        <v>12.394271632420351</v>
      </c>
      <c r="AD45" s="47" cm="1">
        <f t="array" ref="AD45">IF(ISNUMBER(_xll.PIAdvCalcVal(Courier!$AC$12,Courier!$C45,Courier!$D45,"average (time-weighted)","time-weighted",0,1,0,"")),_xll.PIAdvCalcVal(Courier!$AC$12,Courier!$C45,Courier!$D45,"average (time-weighted)","time-weighted",0,1,0,""),"")</f>
        <v>14.388977212425793</v>
      </c>
    </row>
    <row r="46" spans="2:30" ht="16.5" customHeight="1" thickBot="1" x14ac:dyDescent="0.25">
      <c r="C46" s="45">
        <f>+C45+1</f>
        <v>46279.770833333336</v>
      </c>
      <c r="D46" s="45"/>
    </row>
    <row r="47" spans="2:30" ht="20.25" x14ac:dyDescent="0.3">
      <c r="C47" s="7"/>
      <c r="D47" s="7"/>
      <c r="E47" s="56"/>
      <c r="O47" s="157"/>
      <c r="P47" s="157"/>
    </row>
    <row r="48" spans="2:30" x14ac:dyDescent="0.2">
      <c r="C48" s="155"/>
      <c r="D48" s="155"/>
      <c r="E48" s="156"/>
      <c r="F48" s="156"/>
      <c r="G48" s="84"/>
      <c r="H48" s="84"/>
      <c r="O48" s="157"/>
      <c r="P48" s="157"/>
    </row>
    <row r="49" spans="3:16" x14ac:dyDescent="0.2">
      <c r="C49" s="155"/>
      <c r="D49" s="155"/>
      <c r="E49" s="156"/>
      <c r="F49" s="156"/>
      <c r="G49" s="84"/>
      <c r="H49" s="84"/>
      <c r="O49" s="157"/>
      <c r="P49" s="157"/>
    </row>
    <row r="50" spans="3:16" x14ac:dyDescent="0.2">
      <c r="C50" s="155"/>
      <c r="D50" s="155"/>
      <c r="E50" s="156"/>
      <c r="F50" s="156"/>
      <c r="G50" s="84"/>
      <c r="H50" s="84"/>
      <c r="O50" s="157"/>
      <c r="P50" s="157"/>
    </row>
    <row r="51" spans="3:16" x14ac:dyDescent="0.2">
      <c r="C51" s="155"/>
      <c r="D51" s="155"/>
      <c r="E51" s="156"/>
      <c r="F51" s="156"/>
      <c r="G51" s="84"/>
      <c r="H51" s="84"/>
      <c r="O51" s="157"/>
      <c r="P51" s="157"/>
    </row>
    <row r="52" spans="3:16" x14ac:dyDescent="0.2">
      <c r="C52" s="155"/>
      <c r="D52" s="155"/>
      <c r="E52" s="156"/>
      <c r="F52" s="156"/>
      <c r="G52" s="84"/>
      <c r="H52" s="84"/>
      <c r="O52" s="157"/>
      <c r="P52" s="157"/>
    </row>
    <row r="53" spans="3:16" x14ac:dyDescent="0.2">
      <c r="C53" s="155"/>
      <c r="D53" s="155"/>
      <c r="E53" s="156"/>
      <c r="F53" s="156"/>
      <c r="G53" s="84"/>
      <c r="H53" s="84"/>
      <c r="O53" s="157"/>
      <c r="P53" s="157"/>
    </row>
    <row r="54" spans="3:16" x14ac:dyDescent="0.2">
      <c r="C54" s="155"/>
      <c r="D54" s="155"/>
      <c r="E54" s="156"/>
      <c r="F54" s="156"/>
      <c r="G54" s="84"/>
      <c r="H54" s="84"/>
      <c r="O54" s="157"/>
      <c r="P54" s="157"/>
    </row>
    <row r="55" spans="3:16" x14ac:dyDescent="0.2">
      <c r="C55" s="155"/>
      <c r="D55" s="155"/>
      <c r="E55" s="156"/>
      <c r="F55" s="156"/>
      <c r="G55" s="84"/>
      <c r="H55" s="84"/>
      <c r="O55" s="157"/>
      <c r="P55" s="157"/>
    </row>
    <row r="56" spans="3:16" x14ac:dyDescent="0.2">
      <c r="C56" s="155"/>
      <c r="D56" s="155"/>
      <c r="E56" s="156"/>
      <c r="F56" s="156"/>
      <c r="G56" s="84"/>
      <c r="H56" s="84"/>
      <c r="O56" s="157"/>
      <c r="P56" s="157"/>
    </row>
    <row r="57" spans="3:16" x14ac:dyDescent="0.2">
      <c r="C57" s="155"/>
      <c r="D57" s="155"/>
      <c r="E57" s="156"/>
      <c r="F57" s="156"/>
      <c r="G57" s="84"/>
      <c r="H57" s="84"/>
      <c r="O57" s="157"/>
      <c r="P57" s="157"/>
    </row>
    <row r="58" spans="3:16" x14ac:dyDescent="0.2">
      <c r="C58" s="155"/>
      <c r="D58" s="155"/>
      <c r="E58" s="156"/>
      <c r="F58" s="156"/>
      <c r="G58" s="84"/>
      <c r="H58" s="84"/>
      <c r="O58" s="157"/>
      <c r="P58" s="157"/>
    </row>
    <row r="59" spans="3:16" x14ac:dyDescent="0.2">
      <c r="C59" s="155"/>
      <c r="D59" s="155"/>
      <c r="E59" s="156"/>
      <c r="F59" s="156"/>
      <c r="G59" s="84"/>
      <c r="H59" s="84"/>
      <c r="O59" s="157"/>
      <c r="P59" s="157"/>
    </row>
    <row r="60" spans="3:16" x14ac:dyDescent="0.2">
      <c r="C60" s="155"/>
      <c r="D60" s="155"/>
      <c r="E60" s="156"/>
      <c r="F60" s="156"/>
      <c r="G60" s="84"/>
      <c r="H60" s="84"/>
      <c r="O60" s="157"/>
      <c r="P60" s="157"/>
    </row>
    <row r="61" spans="3:16" x14ac:dyDescent="0.2">
      <c r="C61" s="155"/>
      <c r="D61" s="155"/>
      <c r="E61" s="156"/>
      <c r="F61" s="156"/>
      <c r="G61" s="84"/>
      <c r="H61" s="84"/>
      <c r="O61" s="157"/>
      <c r="P61" s="157"/>
    </row>
    <row r="62" spans="3:16" x14ac:dyDescent="0.2">
      <c r="C62" s="155"/>
      <c r="D62" s="155"/>
      <c r="E62" s="156"/>
      <c r="F62" s="156"/>
      <c r="G62" s="84"/>
      <c r="H62" s="84"/>
      <c r="O62" s="157"/>
      <c r="P62" s="157"/>
    </row>
    <row r="63" spans="3:16" x14ac:dyDescent="0.2">
      <c r="C63" s="155"/>
      <c r="D63" s="155"/>
      <c r="E63" s="156"/>
      <c r="F63" s="156"/>
      <c r="G63" s="84"/>
      <c r="H63" s="84"/>
      <c r="O63" s="157"/>
      <c r="P63" s="157"/>
    </row>
    <row r="64" spans="3:16" x14ac:dyDescent="0.2">
      <c r="C64" s="155"/>
      <c r="D64" s="155"/>
      <c r="E64" s="156"/>
      <c r="F64" s="156"/>
      <c r="G64" s="84"/>
      <c r="H64" s="84"/>
      <c r="O64" s="157"/>
      <c r="P64" s="157"/>
    </row>
    <row r="65" spans="3:16" x14ac:dyDescent="0.2">
      <c r="C65" s="155"/>
      <c r="D65" s="155"/>
      <c r="E65" s="156"/>
      <c r="F65" s="156"/>
      <c r="G65" s="84"/>
      <c r="H65" s="84"/>
      <c r="O65" s="157"/>
      <c r="P65" s="157"/>
    </row>
    <row r="66" spans="3:16" x14ac:dyDescent="0.2">
      <c r="C66" s="155"/>
      <c r="D66" s="155"/>
      <c r="E66" s="156"/>
      <c r="F66" s="156"/>
      <c r="G66" s="84"/>
      <c r="H66" s="84"/>
      <c r="O66" s="157"/>
      <c r="P66" s="157"/>
    </row>
    <row r="67" spans="3:16" x14ac:dyDescent="0.2">
      <c r="C67" s="155"/>
      <c r="D67" s="155"/>
      <c r="E67" s="156"/>
      <c r="F67" s="156"/>
      <c r="G67" s="84"/>
      <c r="H67" s="84"/>
      <c r="O67" s="157"/>
      <c r="P67" s="157"/>
    </row>
    <row r="68" spans="3:16" x14ac:dyDescent="0.2">
      <c r="C68" s="155"/>
      <c r="D68" s="155"/>
      <c r="E68" s="156"/>
      <c r="F68" s="156"/>
      <c r="G68" s="84"/>
      <c r="H68" s="84"/>
      <c r="O68" s="157"/>
      <c r="P68" s="157"/>
    </row>
    <row r="69" spans="3:16" x14ac:dyDescent="0.2">
      <c r="C69" s="155"/>
      <c r="D69" s="155"/>
      <c r="E69" s="156"/>
      <c r="F69" s="156"/>
      <c r="G69" s="84"/>
      <c r="H69" s="84"/>
      <c r="O69" s="157"/>
      <c r="P69" s="157"/>
    </row>
    <row r="70" spans="3:16" x14ac:dyDescent="0.2">
      <c r="C70" s="155"/>
      <c r="D70" s="155"/>
      <c r="E70" s="156"/>
      <c r="F70" s="156"/>
      <c r="G70" s="84"/>
      <c r="H70" s="84"/>
      <c r="O70" s="157"/>
      <c r="P70" s="157"/>
    </row>
    <row r="71" spans="3:16" x14ac:dyDescent="0.2">
      <c r="C71" s="155"/>
      <c r="D71" s="155"/>
      <c r="E71" s="156"/>
      <c r="F71" s="156"/>
      <c r="G71" s="84"/>
      <c r="H71" s="84"/>
      <c r="O71" s="157"/>
      <c r="P71" s="157"/>
    </row>
    <row r="72" spans="3:16" x14ac:dyDescent="0.2">
      <c r="C72" s="155"/>
      <c r="D72" s="155"/>
      <c r="E72" s="156"/>
      <c r="F72" s="156"/>
      <c r="G72" s="84"/>
      <c r="H72" s="84"/>
      <c r="O72" s="157"/>
      <c r="P72" s="157"/>
    </row>
    <row r="73" spans="3:16" x14ac:dyDescent="0.2">
      <c r="C73" s="155"/>
      <c r="D73" s="155"/>
      <c r="E73" s="156"/>
      <c r="F73" s="156"/>
      <c r="G73" s="84"/>
      <c r="H73" s="84"/>
      <c r="O73" s="157"/>
      <c r="P73" s="157"/>
    </row>
    <row r="74" spans="3:16" x14ac:dyDescent="0.2">
      <c r="C74" s="155"/>
      <c r="D74" s="155"/>
      <c r="E74" s="156"/>
      <c r="F74" s="156"/>
      <c r="G74" s="84"/>
      <c r="H74" s="84"/>
      <c r="O74" s="157"/>
      <c r="P74" s="157"/>
    </row>
    <row r="75" spans="3:16" x14ac:dyDescent="0.2">
      <c r="C75" s="155"/>
      <c r="D75" s="155"/>
      <c r="E75" s="156"/>
      <c r="F75" s="156"/>
      <c r="G75" s="84"/>
      <c r="H75" s="84"/>
      <c r="O75" s="157"/>
      <c r="P75" s="157"/>
    </row>
    <row r="76" spans="3:16" x14ac:dyDescent="0.2">
      <c r="C76" s="155"/>
      <c r="D76" s="155"/>
      <c r="E76" s="156"/>
      <c r="F76" s="156"/>
      <c r="G76" s="84"/>
      <c r="H76" s="84"/>
      <c r="O76" s="157"/>
      <c r="P76" s="157"/>
    </row>
    <row r="77" spans="3:16" x14ac:dyDescent="0.2">
      <c r="C77" s="155"/>
      <c r="D77" s="155"/>
      <c r="E77" s="156"/>
      <c r="F77" s="156"/>
      <c r="G77" s="84"/>
      <c r="H77" s="84"/>
      <c r="O77" s="157"/>
      <c r="P77" s="157"/>
    </row>
    <row r="78" spans="3:16" x14ac:dyDescent="0.2">
      <c r="C78" s="155"/>
      <c r="D78" s="155"/>
      <c r="E78" s="156"/>
      <c r="F78" s="156"/>
      <c r="G78" s="84"/>
      <c r="H78" s="84"/>
    </row>
    <row r="79" spans="3:16" x14ac:dyDescent="0.2">
      <c r="C79" s="155"/>
      <c r="D79" s="155"/>
      <c r="E79" s="156"/>
      <c r="F79" s="156"/>
      <c r="G79" s="84"/>
      <c r="H79" s="84"/>
    </row>
    <row r="80" spans="3:16" x14ac:dyDescent="0.2">
      <c r="C80" s="155"/>
      <c r="D80" s="155"/>
    </row>
    <row r="81" spans="3:4" x14ac:dyDescent="0.2">
      <c r="C81" s="155"/>
      <c r="D81" s="155"/>
    </row>
    <row r="82" spans="3:4" x14ac:dyDescent="0.2">
      <c r="C82" s="155"/>
      <c r="D82" s="155"/>
    </row>
    <row r="83" spans="3:4" x14ac:dyDescent="0.2">
      <c r="C83" s="155"/>
      <c r="D83" s="155"/>
    </row>
    <row r="84" spans="3:4" x14ac:dyDescent="0.2">
      <c r="C84" s="155"/>
      <c r="D84" s="155"/>
    </row>
    <row r="85" spans="3:4" x14ac:dyDescent="0.2">
      <c r="C85" s="155"/>
      <c r="D85" s="155"/>
    </row>
    <row r="86" spans="3:4" x14ac:dyDescent="0.2">
      <c r="C86" s="155"/>
      <c r="D86" s="155"/>
    </row>
    <row r="87" spans="3:4" x14ac:dyDescent="0.2">
      <c r="C87" s="155"/>
      <c r="D87" s="155"/>
    </row>
    <row r="88" spans="3:4" x14ac:dyDescent="0.2">
      <c r="C88" s="155"/>
      <c r="D88" s="155"/>
    </row>
    <row r="89" spans="3:4" x14ac:dyDescent="0.2">
      <c r="C89" s="155"/>
      <c r="D89" s="155"/>
    </row>
    <row r="90" spans="3:4" x14ac:dyDescent="0.2">
      <c r="C90" s="155"/>
      <c r="D90" s="155"/>
    </row>
    <row r="91" spans="3:4" x14ac:dyDescent="0.2">
      <c r="C91" s="155"/>
      <c r="D91" s="155"/>
    </row>
  </sheetData>
  <customSheetViews>
    <customSheetView guid="{C5BD3E9A-0945-47FE-8A56-1987B427C3E6}" scale="75" showGridLines="0" state="hidden">
      <pane xSplit="4" ySplit="14" topLeftCell="E15" activePane="bottomRight" state="frozen"/>
      <selection pane="bottomRight" activeCell="F12" sqref="F12"/>
      <pageMargins left="0.75" right="0.75" top="1" bottom="1" header="0.5" footer="0.5"/>
      <pageSetup orientation="portrait" horizontalDpi="300" verticalDpi="300" r:id="rId1"/>
      <headerFooter alignWithMargins="0"/>
    </customSheetView>
  </customSheetViews>
  <mergeCells count="3">
    <mergeCell ref="AA11:AB11"/>
    <mergeCell ref="S11:T11"/>
    <mergeCell ref="AC11:AD11"/>
  </mergeCells>
  <phoneticPr fontId="0" type="noConversion"/>
  <pageMargins left="0.75" right="0.75" top="1" bottom="1" header="0.5" footer="0.5"/>
  <pageSetup orientation="portrait" horizontalDpi="300" verticalDpi="300" r:id="rId2"/>
  <headerFooter alignWithMargins="0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0578F-FEDF-4000-A219-FD76D9082CF5}">
  <sheetPr codeName="Sheet20"/>
  <dimension ref="B1:V1979"/>
  <sheetViews>
    <sheetView zoomScale="85" workbookViewId="0">
      <pane xSplit="4" ySplit="8" topLeftCell="P9" activePane="bottomRight" state="frozen"/>
      <selection pane="topRight" activeCell="E1" sqref="E1"/>
      <selection pane="bottomLeft" activeCell="A9" sqref="A9"/>
      <selection pane="bottomRight" activeCell="B9" sqref="B9:B39"/>
    </sheetView>
  </sheetViews>
  <sheetFormatPr defaultRowHeight="12.75" x14ac:dyDescent="0.2"/>
  <cols>
    <col min="2" max="2" width="20.42578125" style="117" customWidth="1"/>
    <col min="3" max="3" width="24.7109375" customWidth="1"/>
    <col min="4" max="4" width="22.42578125" bestFit="1" customWidth="1"/>
    <col min="5" max="6" width="41.28515625" bestFit="1" customWidth="1"/>
    <col min="7" max="7" width="40.85546875" bestFit="1" customWidth="1"/>
    <col min="8" max="9" width="40.85546875" customWidth="1"/>
    <col min="10" max="10" width="40.7109375" customWidth="1"/>
    <col min="11" max="11" width="52" bestFit="1" customWidth="1"/>
    <col min="12" max="12" width="52" customWidth="1"/>
    <col min="13" max="13" width="52.7109375" bestFit="1" customWidth="1"/>
    <col min="14" max="14" width="52.7109375" customWidth="1"/>
    <col min="15" max="16" width="51.140625" customWidth="1"/>
    <col min="17" max="17" width="43" bestFit="1" customWidth="1"/>
    <col min="18" max="18" width="43" customWidth="1"/>
    <col min="19" max="19" width="42.5703125" bestFit="1" customWidth="1"/>
    <col min="20" max="21" width="42.5703125" customWidth="1"/>
    <col min="22" max="22" width="41.85546875" bestFit="1" customWidth="1"/>
  </cols>
  <sheetData>
    <row r="1" spans="2:22" x14ac:dyDescent="0.2">
      <c r="C1" s="1"/>
      <c r="D1" s="61"/>
    </row>
    <row r="2" spans="2:22" x14ac:dyDescent="0.2">
      <c r="C2" s="1"/>
      <c r="D2" s="1"/>
    </row>
    <row r="3" spans="2:22" ht="13.5" thickBot="1" x14ac:dyDescent="0.25">
      <c r="D3" s="1"/>
    </row>
    <row r="4" spans="2:22" ht="13.5" thickBot="1" x14ac:dyDescent="0.25">
      <c r="E4" s="70" t="s">
        <v>52</v>
      </c>
      <c r="F4" s="71"/>
      <c r="G4" s="71"/>
      <c r="H4" s="71"/>
      <c r="I4" s="71"/>
      <c r="J4" s="71"/>
      <c r="K4" s="72" t="s">
        <v>51</v>
      </c>
      <c r="L4" s="73"/>
      <c r="M4" s="73"/>
      <c r="N4" s="73"/>
      <c r="O4" s="74"/>
      <c r="P4" s="73"/>
      <c r="Q4" s="75" t="s">
        <v>53</v>
      </c>
      <c r="R4" s="76"/>
      <c r="S4" s="76"/>
      <c r="T4" s="76"/>
      <c r="U4" s="76"/>
      <c r="V4" s="299"/>
    </row>
    <row r="5" spans="2:22" x14ac:dyDescent="0.2">
      <c r="E5" s="416" t="s">
        <v>1</v>
      </c>
      <c r="F5" s="417"/>
      <c r="G5" s="416" t="s">
        <v>2</v>
      </c>
      <c r="H5" s="417"/>
      <c r="I5" s="416" t="s">
        <v>3</v>
      </c>
      <c r="J5" s="417"/>
      <c r="K5" s="418" t="s">
        <v>1</v>
      </c>
      <c r="L5" s="419"/>
      <c r="M5" s="418" t="s">
        <v>2</v>
      </c>
      <c r="N5" s="419"/>
      <c r="O5" s="418" t="s">
        <v>3</v>
      </c>
      <c r="P5" s="419"/>
      <c r="Q5" s="414" t="s">
        <v>1</v>
      </c>
      <c r="R5" s="415"/>
      <c r="S5" s="414" t="s">
        <v>2</v>
      </c>
      <c r="T5" s="415"/>
      <c r="U5" s="414" t="s">
        <v>3</v>
      </c>
      <c r="V5" s="415"/>
    </row>
    <row r="6" spans="2:22" ht="15" x14ac:dyDescent="0.25">
      <c r="E6" s="298" t="s">
        <v>233</v>
      </c>
      <c r="F6" s="298" t="s">
        <v>233</v>
      </c>
      <c r="G6" s="298" t="s">
        <v>234</v>
      </c>
      <c r="H6" s="298" t="s">
        <v>234</v>
      </c>
      <c r="I6" s="298" t="s">
        <v>235</v>
      </c>
      <c r="J6" s="298" t="s">
        <v>235</v>
      </c>
      <c r="K6" s="297" t="s">
        <v>230</v>
      </c>
      <c r="L6" s="297" t="s">
        <v>230</v>
      </c>
      <c r="M6" s="297" t="s">
        <v>231</v>
      </c>
      <c r="N6" s="297" t="s">
        <v>231</v>
      </c>
      <c r="O6" s="297" t="s">
        <v>232</v>
      </c>
      <c r="P6" s="297" t="s">
        <v>232</v>
      </c>
      <c r="Q6" s="296" t="s">
        <v>209</v>
      </c>
      <c r="R6" s="296" t="s">
        <v>209</v>
      </c>
      <c r="S6" s="296" t="s">
        <v>210</v>
      </c>
      <c r="T6" s="296" t="s">
        <v>210</v>
      </c>
      <c r="U6" s="296" t="s">
        <v>211</v>
      </c>
      <c r="V6" s="296" t="s">
        <v>211</v>
      </c>
    </row>
    <row r="7" spans="2:22" ht="13.5" thickBot="1" x14ac:dyDescent="0.25">
      <c r="C7" s="78"/>
      <c r="E7" s="79"/>
      <c r="F7" s="79"/>
      <c r="G7" s="80"/>
      <c r="H7" s="80"/>
      <c r="I7" s="81"/>
      <c r="J7" s="81"/>
      <c r="K7" s="3"/>
      <c r="L7" s="3"/>
      <c r="M7" s="3"/>
      <c r="N7" s="3"/>
      <c r="O7" s="3"/>
      <c r="P7" s="3"/>
      <c r="Q7" s="82"/>
      <c r="R7" s="82"/>
      <c r="S7" s="82"/>
      <c r="T7" s="82"/>
      <c r="U7" s="82"/>
      <c r="V7" s="82"/>
    </row>
    <row r="8" spans="2:22" ht="16.5" thickBot="1" x14ac:dyDescent="0.3">
      <c r="B8" s="116" t="s">
        <v>14</v>
      </c>
      <c r="C8" s="42" t="s">
        <v>46</v>
      </c>
      <c r="D8" s="43"/>
      <c r="E8" s="50" t="s">
        <v>10</v>
      </c>
      <c r="F8" s="50" t="s">
        <v>11</v>
      </c>
      <c r="G8" s="50" t="s">
        <v>10</v>
      </c>
      <c r="H8" s="50" t="s">
        <v>11</v>
      </c>
      <c r="I8" s="50" t="s">
        <v>10</v>
      </c>
      <c r="J8" s="50" t="s">
        <v>11</v>
      </c>
      <c r="K8" s="50" t="s">
        <v>10</v>
      </c>
      <c r="L8" s="50" t="s">
        <v>11</v>
      </c>
      <c r="M8" s="50" t="s">
        <v>10</v>
      </c>
      <c r="N8" s="50" t="s">
        <v>11</v>
      </c>
      <c r="O8" s="50" t="s">
        <v>10</v>
      </c>
      <c r="P8" s="50" t="s">
        <v>11</v>
      </c>
      <c r="Q8" s="50" t="s">
        <v>10</v>
      </c>
      <c r="R8" s="50" t="s">
        <v>11</v>
      </c>
      <c r="S8" s="50" t="s">
        <v>10</v>
      </c>
      <c r="T8" s="50" t="s">
        <v>11</v>
      </c>
      <c r="U8" s="50" t="s">
        <v>10</v>
      </c>
      <c r="V8" s="50" t="s">
        <v>11</v>
      </c>
    </row>
    <row r="9" spans="2:22" s="5" customFormat="1" ht="18.75" customHeight="1" thickBot="1" x14ac:dyDescent="0.3">
      <c r="B9" s="118">
        <f>'Laboratorio_M '!B7</f>
        <v>46248</v>
      </c>
      <c r="C9" s="119">
        <f t="shared" ref="C9:C39" si="0">B9+18.5/24</f>
        <v>46248.770833333336</v>
      </c>
      <c r="D9" s="119">
        <f t="shared" ref="D9:D39" si="1">C9+0.5</f>
        <v>46249.270833333336</v>
      </c>
      <c r="E9" s="160">
        <f>IF(ISNUMBER(_xll.PIArcVal(E$6,$C9, 0,"TPI","AUTO"))=TRUE,_xll.PIArcVal(E$6,$C9, 0,"TPI","AUTO"),"")</f>
        <v>22.597080230712891</v>
      </c>
      <c r="F9" s="160">
        <f>IF(ISNUMBER(_xll.PIArcVal(F$6,$D9, 0,"TPI","AUTO"))=TRUE,_xll.PIArcVal(F$6,$D9, 0,"TPI","AUTO"),"")</f>
        <v>22.597080230712891</v>
      </c>
      <c r="G9" s="160">
        <f>IF(ISNUMBER(_xll.PIArcVal($G$6,$C$9, 0,"TPI","AUTO"))=TRUE,_xll.PIArcVal($G$6,$C$9, 0,"TPI","AUTO"),"")</f>
        <v>1.4718281030654907</v>
      </c>
      <c r="H9" s="160">
        <f>IF(ISNUMBER(_xll.PIArcVal(H$6,$D9, 0,"TPI","AUTO"))=TRUE,_xll.PIArcVal(H$6,$D9, 0,"TPI","AUTO"),"")</f>
        <v>1.4718281030654907</v>
      </c>
      <c r="I9" s="160">
        <f>IF(ISNUMBER(_xll.PIArcVal(I$6,$C9, 0,"TPI","AUTO"))=TRUE,_xll.PIArcVal(I$6,$C9, 0,"TPI","AUTO"),"")</f>
        <v>27.8409423828125</v>
      </c>
      <c r="J9" s="160">
        <f>IF(ISNUMBER(_xll.PIArcVal(J$6,$D9, 0,"TPI","AUTO"))=TRUE,_xll.PIArcVal(J$6,$D9, 0,"TPI","AUTO"),"")</f>
        <v>27.8409423828125</v>
      </c>
      <c r="K9" s="160">
        <f>IF(ISNUMBER(_xll.PIArcVal(K$6,$C9, 0,"TPI","AUTO"))=TRUE,_xll.PIArcVal(K$6,$C9, 0,"TPI","AUTO"),"")</f>
        <v>21.793367385864258</v>
      </c>
      <c r="L9" s="160">
        <f>IF(ISNUMBER(_xll.PIArcVal(L$6,$D9, 0,"TPI","AUTO"))=TRUE,_xll.PIArcVal(L$6,$D9, 0,"TPI","AUTO"),"")</f>
        <v>21.793367385864258</v>
      </c>
      <c r="M9" s="160">
        <f>IF(ISNUMBER(_xll.PIArcVal(M$6,$C9, 0,"TPI","AUTO"))=TRUE,_xll.PIArcVal(M$6,$C9, 0,"TPI","AUTO"),"")</f>
        <v>0.43541663885116577</v>
      </c>
      <c r="N9" s="160">
        <f>IF(ISNUMBER(_xll.PIArcVal(N$6,$D9, 0,"TPI","AUTO"))=TRUE,_xll.PIArcVal(N$6,$D9, 0,"TPI","AUTO"),"")</f>
        <v>0.43541663885116577</v>
      </c>
      <c r="O9" s="160">
        <f>IF(ISNUMBER(_xll.PIArcVal(O$6,$C9, 0,"TPI","AUTO"))=TRUE,_xll.PIArcVal(O$6,$C9, 0,"TPI","AUTO"),"")</f>
        <v>28.034366607666016</v>
      </c>
      <c r="P9" s="160">
        <f>IF(ISNUMBER(_xll.PIArcVal(P$6,$D9, 0,"TPI","AUTO"))=TRUE,_xll.PIArcVal(P$6,$D9, 0,"TPI","AUTO"),"")</f>
        <v>28.034366607666016</v>
      </c>
      <c r="Q9" s="160">
        <f>IF(ISNUMBER(_xll.PIArcVal(Q$6,$C9, 0,"TPI","AUTO"))=TRUE,_xll.PIArcVal(Q$6,$C9, 0,"TPI","AUTO"),"")</f>
        <v>0.61717796325683594</v>
      </c>
      <c r="R9" s="160">
        <f>IF(ISNUMBER(_xll.PIArcVal(R$6,$D9, 0,"TPI","AUTO"))=TRUE,_xll.PIArcVal(R$6,$D9, 0,"TPI","AUTO"),"")</f>
        <v>0.3722979724407196</v>
      </c>
      <c r="S9" s="160">
        <f>IF(ISNUMBER(_xll.PIArcVal(S$6,$C9, 0,"TPI","AUTO"))=TRUE,_xll.PIArcVal(S$6,$C9, 0,"TPI","AUTO"),"")</f>
        <v>56.281028747558594</v>
      </c>
      <c r="T9" s="160">
        <f>IF(ISNUMBER(_xll.PIArcVal(T$6,$D9, 0,"TPI","AUTO"))=TRUE,_xll.PIArcVal(T$6,$D9, 0,"TPI","AUTO"),"")</f>
        <v>54.564903259277344</v>
      </c>
      <c r="U9" s="160">
        <f>IF(ISNUMBER(_xll.PIArcVal(U$6,$C9, 0,"TPI","AUTO"))=TRUE,_xll.PIArcVal(U$6,$C9, 0,"TPI","AUTO"),"")</f>
        <v>0.71101564168930054</v>
      </c>
      <c r="V9" s="160">
        <f>IF(ISNUMBER(_xll.PIArcVal(V$6,$D9, 0,"TPI","AUTO"))=TRUE,_xll.PIArcVal(V$6,$D9, 0,"TPI","AUTO"),"")</f>
        <v>1.0222067832946777</v>
      </c>
    </row>
    <row r="10" spans="2:22" s="5" customFormat="1" ht="18.75" customHeight="1" thickBot="1" x14ac:dyDescent="0.3">
      <c r="B10" s="118">
        <f>B9+1</f>
        <v>46249</v>
      </c>
      <c r="C10" s="119">
        <f t="shared" si="0"/>
        <v>46249.770833333336</v>
      </c>
      <c r="D10" s="119">
        <f t="shared" si="1"/>
        <v>46250.270833333336</v>
      </c>
      <c r="E10" s="41"/>
      <c r="F10" s="160">
        <f>IF(ISNUMBER(_xll.PIArcVal(F$6,$D10, 0,"TPI","AUTO"))=TRUE,_xll.PIArcVal(F$6,$D10, 0,"TPI","AUTO"),"")</f>
        <v>23.120279312133789</v>
      </c>
      <c r="G10" s="160">
        <f>IF(ISNUMBER(_xll.PIArcVal(G$6,$C10, 0,"TPI","AUTO"))=TRUE,_xll.PIArcVal(G$6,$C10, 0,"TPI","AUTO"),"")</f>
        <v>3.6074600219726563</v>
      </c>
      <c r="H10" s="160">
        <f>IF(ISNUMBER(_xll.PIArcVal(H$6,$D10, 0,"TPI","AUTO"))=TRUE,_xll.PIArcVal(H$6,$D10, 0,"TPI","AUTO"),"")</f>
        <v>3.6074600219726563</v>
      </c>
      <c r="I10" s="160">
        <f>IF(ISNUMBER(_xll.PIArcVal(I$6,$C10, 0,"TPI","AUTO"))=TRUE,_xll.PIArcVal(I$6,$C10, 0,"TPI","AUTO"),"")</f>
        <v>26.366144180297852</v>
      </c>
      <c r="J10" s="160">
        <f>IF(ISNUMBER(_xll.PIArcVal(J$6,$D10, 0,"TPI","AUTO"))=TRUE,_xll.PIArcVal(J$6,$D10, 0,"TPI","AUTO"),"")</f>
        <v>26.366144180297852</v>
      </c>
      <c r="K10" s="160">
        <f>IF(ISNUMBER(_xll.PIArcVal(K$6,$C10, 0,"TPI","AUTO"))=TRUE,_xll.PIArcVal(K$6,$C10, 0,"TPI","AUTO"),"")</f>
        <v>25.253507614135742</v>
      </c>
      <c r="L10" s="160">
        <f>IF(ISNUMBER(_xll.PIArcVal(L$6,$D10, 0,"TPI","AUTO"))=TRUE,_xll.PIArcVal(L$6,$D10, 0,"TPI","AUTO"),"")</f>
        <v>25.253507614135742</v>
      </c>
      <c r="M10" s="160">
        <f>IF(ISNUMBER(_xll.PIArcVal(M$6,$C10, 0,"TPI","AUTO"))=TRUE,_xll.PIArcVal(M$6,$C10, 0,"TPI","AUTO"),"")</f>
        <v>0.20480257272720337</v>
      </c>
      <c r="N10" s="160">
        <f>IF(ISNUMBER(_xll.PIArcVal(N$6,$D10, 0,"TPI","AUTO"))=TRUE,_xll.PIArcVal(N$6,$D10, 0,"TPI","AUTO"),"")</f>
        <v>0.20480257272720337</v>
      </c>
      <c r="O10" s="160">
        <f>IF(ISNUMBER(_xll.PIArcVal(O$6,$C10, 0,"TPI","AUTO"))=TRUE,_xll.PIArcVal(O$6,$C10, 0,"TPI","AUTO"),"")</f>
        <v>28.988348007202148</v>
      </c>
      <c r="P10" s="160">
        <f>IF(ISNUMBER(_xll.PIArcVal(P$6,$D10, 0,"TPI","AUTO"))=TRUE,_xll.PIArcVal(P$6,$D10, 0,"TPI","AUTO"),"")</f>
        <v>28.988348007202148</v>
      </c>
      <c r="Q10" s="160">
        <f>IF(ISNUMBER(_xll.PIArcVal(Q$6,$C10, 0,"TPI","AUTO"))=TRUE,_xll.PIArcVal(Q$6,$C10, 0,"TPI","AUTO"),"")</f>
        <v>0.73687160015106201</v>
      </c>
      <c r="R10" s="160">
        <f>IF(ISNUMBER(_xll.PIArcVal(R$6,$D10, 0,"TPI","AUTO"))=TRUE,_xll.PIArcVal(R$6,$D10, 0,"TPI","AUTO"),"")</f>
        <v>0.73687160015106201</v>
      </c>
      <c r="S10" s="160">
        <f>IF(ISNUMBER(_xll.PIArcVal(S$6,$C10, 0,"TPI","AUTO"))=TRUE,_xll.PIArcVal(S$6,$C10, 0,"TPI","AUTO"),"")</f>
        <v>55.200344085693359</v>
      </c>
      <c r="T10" s="160">
        <f>IF(ISNUMBER(_xll.PIArcVal(T$6,$D10, 0,"TPI","AUTO"))=TRUE,_xll.PIArcVal(T$6,$D10, 0,"TPI","AUTO"),"")</f>
        <v>55.200344085693359</v>
      </c>
      <c r="U10" s="160">
        <f>IF(ISNUMBER(_xll.PIArcVal(U$6,$C10, 0,"TPI","AUTO"))=TRUE,_xll.PIArcVal(U$6,$C10, 0,"TPI","AUTO"),"")</f>
        <v>1.2449944019317627</v>
      </c>
      <c r="V10" s="160">
        <f>IF(ISNUMBER(_xll.PIArcVal(V$6,$D10, 0,"TPI","AUTO"))=TRUE,_xll.PIArcVal(V$6,$D10, 0,"TPI","AUTO"),"")</f>
        <v>1.2449944019317627</v>
      </c>
    </row>
    <row r="11" spans="2:22" ht="16.5" thickBot="1" x14ac:dyDescent="0.3">
      <c r="B11" s="118">
        <f>B10+1</f>
        <v>46250</v>
      </c>
      <c r="C11" s="119">
        <f t="shared" si="0"/>
        <v>46250.770833333336</v>
      </c>
      <c r="D11" s="119">
        <f t="shared" si="1"/>
        <v>46251.270833333336</v>
      </c>
      <c r="E11" s="160">
        <f t="array" ref="E11">_xll.PIArcVal('Courier_M '!$E$6,'Courier_M '!$C$11,0,"","auto")</f>
        <v>23.490447998046875</v>
      </c>
      <c r="F11" s="160">
        <f>IF(ISNUMBER(_xll.PIArcVal(F$6,$D11, 0,"TPI","AUTO"))=TRUE,_xll.PIArcVal(F$6,$D11, 0,"TPI","AUTO"),"")</f>
        <v>23.319372177124023</v>
      </c>
      <c r="G11" s="160">
        <f>IF(ISNUMBER(_xll.PIArcVal(G$6,$C11, 0,"TPI","AUTO"))=TRUE,_xll.PIArcVal(G$6,$C11, 0,"TPI","AUTO"),"")</f>
        <v>2.1859698295593262</v>
      </c>
      <c r="H11" s="160">
        <f>IF(ISNUMBER(_xll.PIArcVal(H$6,$D11, 0,"TPI","AUTO"))=TRUE,_xll.PIArcVal(H$6,$D11, 0,"TPI","AUTO"),"")</f>
        <v>2.4801154136657715</v>
      </c>
      <c r="I11" s="160">
        <f>IF(ISNUMBER(_xll.PIArcVal(I$6,$C11, 0,"TPI","AUTO"))=TRUE,_xll.PIArcVal(I$6,$C11, 0,"TPI","AUTO"),"")</f>
        <v>27.079072952270508</v>
      </c>
      <c r="J11" s="160">
        <f>IF(ISNUMBER(_xll.PIArcVal(J$6,$D11, 0,"TPI","AUTO"))=TRUE,_xll.PIArcVal(J$6,$D11, 0,"TPI","AUTO"),"")</f>
        <v>27.109212875366211</v>
      </c>
      <c r="K11" s="160">
        <f>IF(ISNUMBER(_xll.PIArcVal(K$6,$C11, 0,"TPI","AUTO"))=TRUE,_xll.PIArcVal(K$6,$C11, 0,"TPI","AUTO"),"")</f>
        <v>25.209236145019531</v>
      </c>
      <c r="L11" s="160">
        <f>IF(ISNUMBER(_xll.PIArcVal(L$6,$D11, 0,"TPI","AUTO"))=TRUE,_xll.PIArcVal(L$6,$D11, 0,"TPI","AUTO"),"")</f>
        <v>25.286367416381836</v>
      </c>
      <c r="M11" s="160">
        <f>IF(ISNUMBER(_xll.PIArcVal(M$6,$C11, 0,"TPI","AUTO"))=TRUE,_xll.PIArcVal(M$6,$C11, 0,"TPI","AUTO"),"")</f>
        <v>0.14440962672233582</v>
      </c>
      <c r="N11" s="160">
        <f>IF(ISNUMBER(_xll.PIArcVal(N$6,$D11, 0,"TPI","AUTO"))=TRUE,_xll.PIArcVal(N$6,$D11, 0,"TPI","AUTO"),"")</f>
        <v>0.10134220868349075</v>
      </c>
      <c r="O11" s="160">
        <f>IF(ISNUMBER(_xll.PIArcVal(O$6,$C11, 0,"TPI","AUTO"))=TRUE,_xll.PIArcVal(O$6,$C11, 0,"TPI","AUTO"),"")</f>
        <v>29.779209136962891</v>
      </c>
      <c r="P11" s="160">
        <f>IF(ISNUMBER(_xll.PIArcVal(P$6,$D11, 0,"TPI","AUTO"))=TRUE,_xll.PIArcVal(P$6,$D11, 0,"TPI","AUTO"),"")</f>
        <v>29.626953125</v>
      </c>
      <c r="Q11" s="160">
        <f>IF(ISNUMBER(_xll.PIArcVal(Q$6,$C11, 0,"TPI","AUTO"))=TRUE,_xll.PIArcVal(Q$6,$C11, 0,"TPI","AUTO"),"")</f>
        <v>0.75456440448760986</v>
      </c>
      <c r="R11" s="160">
        <f>IF(ISNUMBER(_xll.PIArcVal(R$6,$D11, 0,"TPI","AUTO"))=TRUE,_xll.PIArcVal(R$6,$D11, 0,"TPI","AUTO"),"")</f>
        <v>0.80398333072662354</v>
      </c>
      <c r="S11" s="160">
        <f>IF(ISNUMBER(_xll.PIArcVal(S$6,$C11, 0,"TPI","AUTO"))=TRUE,_xll.PIArcVal(S$6,$C11, 0,"TPI","AUTO"),"")</f>
        <v>55.188297271728516</v>
      </c>
      <c r="T11" s="160">
        <f>IF(ISNUMBER(_xll.PIArcVal(T$6,$D11, 0,"TPI","AUTO"))=TRUE,_xll.PIArcVal(T$6,$D11, 0,"TPI","AUTO"),"")</f>
        <v>55.157562255859375</v>
      </c>
      <c r="U11" s="160">
        <f>IF(ISNUMBER(_xll.PIArcVal(U$6,$C11, 0,"TPI","AUTO"))=TRUE,_xll.PIArcVal(U$6,$C11, 0,"TPI","AUTO"),"")</f>
        <v>1.1859440803527832</v>
      </c>
      <c r="V11" s="160">
        <f>IF(ISNUMBER(_xll.PIArcVal(V$6,$D11, 0,"TPI","AUTO"))=TRUE,_xll.PIArcVal(V$6,$D11, 0,"TPI","AUTO"),"")</f>
        <v>1.0723105669021606</v>
      </c>
    </row>
    <row r="12" spans="2:22" ht="16.5" thickBot="1" x14ac:dyDescent="0.3">
      <c r="B12" s="118">
        <f t="shared" ref="B12:B39" si="2">B11+1</f>
        <v>46251</v>
      </c>
      <c r="C12" s="119">
        <f t="shared" si="0"/>
        <v>46251.770833333336</v>
      </c>
      <c r="D12" s="119">
        <f t="shared" si="1"/>
        <v>46252.270833333336</v>
      </c>
      <c r="E12" s="160">
        <f t="array" ref="E12">_xll.PIArcVal('Courier_M '!$E$6,'Courier_M '!$C$12,0,"","auto")</f>
        <v>21.243520736694336</v>
      </c>
      <c r="F12" s="160">
        <f>IF(ISNUMBER(_xll.PIArcVal(F$6,$D12, 0,"TPI","AUTO"))=TRUE,_xll.PIArcVal(F$6,$D12, 0,"TPI","AUTO"),"")</f>
        <v>22.771310806274414</v>
      </c>
      <c r="G12" s="160">
        <f>IF(ISNUMBER(_xll.PIArcVal(G$6,$C12, 0,"TPI","AUTO"))=TRUE,_xll.PIArcVal(G$6,$C12, 0,"TPI","AUTO"),"")</f>
        <v>1.1837607622146606</v>
      </c>
      <c r="H12" s="160">
        <f>IF(ISNUMBER(_xll.PIArcVal(H$6,$D12, 0,"TPI","AUTO"))=TRUE,_xll.PIArcVal(H$6,$D12, 0,"TPI","AUTO"),"")</f>
        <v>1.6933015584945679</v>
      </c>
      <c r="I12" s="160">
        <f>IF(ISNUMBER(_xll.PIArcVal(I$6,$C12, 0,"TPI","AUTO"))=TRUE,_xll.PIArcVal(I$6,$C12, 0,"TPI","AUTO"),"")</f>
        <v>26.980056762695313</v>
      </c>
      <c r="J12" s="160">
        <f>IF(ISNUMBER(_xll.PIArcVal(J$6,$D12, 0,"TPI","AUTO"))=TRUE,_xll.PIArcVal(J$6,$D12, 0,"TPI","AUTO"),"")</f>
        <v>27.111610412597656</v>
      </c>
      <c r="K12" s="160">
        <f>IF(ISNUMBER(_xll.PIArcVal(K$6,$C12, 0,"TPI","AUTO"))=TRUE,_xll.PIArcVal(K$6,$C12, 0,"TPI","AUTO"),"")</f>
        <v>24.104804992675781</v>
      </c>
      <c r="L12" s="160">
        <f>IF(ISNUMBER(_xll.PIArcVal(L$6,$D12, 0,"TPI","AUTO"))=TRUE,_xll.PIArcVal(L$6,$D12, 0,"TPI","AUTO"),"")</f>
        <v>23.548566818237305</v>
      </c>
      <c r="M12" s="160">
        <f>IF(ISNUMBER(_xll.PIArcVal(M$6,$C12, 0,"TPI","AUTO"))=TRUE,_xll.PIArcVal(M$6,$C12, 0,"TPI","AUTO"),"")</f>
        <v>0.10239333659410477</v>
      </c>
      <c r="N12" s="160">
        <f>IF(ISNUMBER(_xll.PIArcVal(N$6,$D12, 0,"TPI","AUTO"))=TRUE,_xll.PIArcVal(N$6,$D12, 0,"TPI","AUTO"),"")</f>
        <v>8.8767431676387787E-2</v>
      </c>
      <c r="O12" s="160">
        <f>IF(ISNUMBER(_xll.PIArcVal(O$6,$C12, 0,"TPI","AUTO"))=TRUE,_xll.PIArcVal(O$6,$C12, 0,"TPI","AUTO"),"")</f>
        <v>29.65827751159668</v>
      </c>
      <c r="P12" s="160">
        <f>IF(ISNUMBER(_xll.PIArcVal(P$6,$D12, 0,"TPI","AUTO"))=TRUE,_xll.PIArcVal(P$6,$D12, 0,"TPI","AUTO"),"")</f>
        <v>29.206361770629883</v>
      </c>
      <c r="Q12" s="160">
        <f>IF(ISNUMBER(_xll.PIArcVal(Q$6,$C12, 0,"TPI","AUTO"))=TRUE,_xll.PIArcVal(Q$6,$C12, 0,"TPI","AUTO"),"")</f>
        <v>0.85311043262481689</v>
      </c>
      <c r="R12" s="160">
        <f>IF(ISNUMBER(_xll.PIArcVal(R$6,$D12, 0,"TPI","AUTO"))=TRUE,_xll.PIArcVal(R$6,$D12, 0,"TPI","AUTO"),"")</f>
        <v>0.87987202405929565</v>
      </c>
      <c r="S12" s="160">
        <f>IF(ISNUMBER(_xll.PIArcVal(S$6,$C12, 0,"TPI","AUTO"))=TRUE,_xll.PIArcVal(S$6,$C12, 0,"TPI","AUTO"),"")</f>
        <v>54.821533203125</v>
      </c>
      <c r="T12" s="160">
        <f>IF(ISNUMBER(_xll.PIArcVal(T$6,$D12, 0,"TPI","AUTO"))=TRUE,_xll.PIArcVal(T$6,$D12, 0,"TPI","AUTO"),"")</f>
        <v>55.142543792724609</v>
      </c>
      <c r="U12" s="160">
        <f>IF(ISNUMBER(_xll.PIArcVal(U$6,$C12, 0,"TPI","AUTO"))=TRUE,_xll.PIArcVal(U$6,$C12, 0,"TPI","AUTO"),"")</f>
        <v>1.2263364791870117</v>
      </c>
      <c r="V12" s="160">
        <f>IF(ISNUMBER(_xll.PIArcVal(V$6,$D12, 0,"TPI","AUTO"))=TRUE,_xll.PIArcVal(V$6,$D12, 0,"TPI","AUTO"),"")</f>
        <v>1.3764969110488892</v>
      </c>
    </row>
    <row r="13" spans="2:22" ht="16.5" thickBot="1" x14ac:dyDescent="0.3">
      <c r="B13" s="118">
        <f t="shared" si="2"/>
        <v>46252</v>
      </c>
      <c r="C13" s="119">
        <f t="shared" si="0"/>
        <v>46252.770833333336</v>
      </c>
      <c r="D13" s="119">
        <f t="shared" si="1"/>
        <v>46253.270833333336</v>
      </c>
      <c r="E13" s="41"/>
      <c r="F13" s="160">
        <f>IF(ISNUMBER(_xll.PIArcVal(F$6,$D13, 0,"TPI","AUTO"))=TRUE,_xll.PIArcVal(F$6,$D13, 0,"TPI","AUTO"),"")</f>
        <v>23.512538909912109</v>
      </c>
      <c r="G13" s="160">
        <f>IF(ISNUMBER(_xll.PIArcVal(G$6,$C13, 0,"TPI","AUTO"))=TRUE,_xll.PIArcVal(G$6,$C13, 0,"TPI","AUTO"),"")</f>
        <v>2.1402573585510254</v>
      </c>
      <c r="H13" s="160">
        <f>IF(ISNUMBER(_xll.PIArcVal(H$6,$D13, 0,"TPI","AUTO"))=TRUE,_xll.PIArcVal(H$6,$D13, 0,"TPI","AUTO"),"")</f>
        <v>1.935106635093689</v>
      </c>
      <c r="I13" s="160">
        <f>IF(ISNUMBER(_xll.PIArcVal(I$6,$C13, 0,"TPI","AUTO"))=TRUE,_xll.PIArcVal(I$6,$C13, 0,"TPI","AUTO"),"")</f>
        <v>26.868280410766602</v>
      </c>
      <c r="J13" s="160">
        <f>IF(ISNUMBER(_xll.PIArcVal(J$6,$D13, 0,"TPI","AUTO"))=TRUE,_xll.PIArcVal(J$6,$D13, 0,"TPI","AUTO"),"")</f>
        <v>28.150907516479492</v>
      </c>
      <c r="K13" s="160">
        <f>IF(ISNUMBER(_xll.PIArcVal(K$6,$C13, 0,"TPI","AUTO"))=TRUE,_xll.PIArcVal(K$6,$C13, 0,"TPI","AUTO"),"")</f>
        <v>21.278430938720703</v>
      </c>
      <c r="L13" s="160">
        <f>IF(ISNUMBER(_xll.PIArcVal(L$6,$D13, 0,"TPI","AUTO"))=TRUE,_xll.PIArcVal(L$6,$D13, 0,"TPI","AUTO"),"")</f>
        <v>24.443809509277344</v>
      </c>
      <c r="M13" s="160">
        <f>IF(ISNUMBER(_xll.PIArcVal(M$6,$C13, 0,"TPI","AUTO"))=TRUE,_xll.PIArcVal(M$6,$C13, 0,"TPI","AUTO"),"")</f>
        <v>9.7924016416072845E-2</v>
      </c>
      <c r="N13" s="160">
        <f>IF(ISNUMBER(_xll.PIArcVal(N$6,$D13, 0,"TPI","AUTO"))=TRUE,_xll.PIArcVal(N$6,$D13, 0,"TPI","AUTO"),"")</f>
        <v>6.4414113759994507E-2</v>
      </c>
      <c r="O13" s="160">
        <f>IF(ISNUMBER(_xll.PIArcVal(O$6,$C13, 0,"TPI","AUTO"))=TRUE,_xll.PIArcVal(O$6,$C13, 0,"TPI","AUTO"),"")</f>
        <v>29.11121940612793</v>
      </c>
      <c r="P13" s="160">
        <f>IF(ISNUMBER(_xll.PIArcVal(P$6,$D13, 0,"TPI","AUTO"))=TRUE,_xll.PIArcVal(P$6,$D13, 0,"TPI","AUTO"),"")</f>
        <v>28.646036148071289</v>
      </c>
      <c r="Q13" s="160">
        <f>IF(ISNUMBER(_xll.PIArcVal(Q$6,$C13, 0,"TPI","AUTO"))=TRUE,_xll.PIArcVal(Q$6,$C13, 0,"TPI","AUTO"),"")</f>
        <v>0.72932702302932739</v>
      </c>
      <c r="R13" s="160">
        <f>IF(ISNUMBER(_xll.PIArcVal(R$6,$D13, 0,"TPI","AUTO"))=TRUE,_xll.PIArcVal(R$6,$D13, 0,"TPI","AUTO"),"")</f>
        <v>0.8940466046333313</v>
      </c>
      <c r="S13" s="160">
        <f>IF(ISNUMBER(_xll.PIArcVal(S$6,$C13, 0,"TPI","AUTO"))=TRUE,_xll.PIArcVal(S$6,$C13, 0,"TPI","AUTO"),"")</f>
        <v>55.340721130371094</v>
      </c>
      <c r="T13" s="160">
        <f>IF(ISNUMBER(_xll.PIArcVal(T$6,$D13, 0,"TPI","AUTO"))=TRUE,_xll.PIArcVal(T$6,$D13, 0,"TPI","AUTO"),"")</f>
        <v>56.507232666015625</v>
      </c>
      <c r="U13" s="160">
        <f>IF(ISNUMBER(_xll.PIArcVal(U$6,$C13, 0,"TPI","AUTO"))=TRUE,_xll.PIArcVal(U$6,$C13, 0,"TPI","AUTO"),"")</f>
        <v>1.0783861875534058</v>
      </c>
      <c r="V13" s="160">
        <f>IF(ISNUMBER(_xll.PIArcVal(V$6,$D13, 0,"TPI","AUTO"))=TRUE,_xll.PIArcVal(V$6,$D13, 0,"TPI","AUTO"),"")</f>
        <v>0.90941131114959717</v>
      </c>
    </row>
    <row r="14" spans="2:22" ht="16.5" thickBot="1" x14ac:dyDescent="0.3">
      <c r="B14" s="118">
        <f t="shared" si="2"/>
        <v>46253</v>
      </c>
      <c r="C14" s="119">
        <f t="shared" si="0"/>
        <v>46253.770833333336</v>
      </c>
      <c r="D14" s="119">
        <f t="shared" si="1"/>
        <v>46254.270833333336</v>
      </c>
      <c r="E14" s="41"/>
      <c r="F14" s="160">
        <f>IF(ISNUMBER(_xll.PIArcVal(F$6,$D14, 0,"TPI","AUTO"))=TRUE,_xll.PIArcVal(F$6,$D14, 0,"TPI","AUTO"),"")</f>
        <v>20.650722503662109</v>
      </c>
      <c r="G14" s="160">
        <f>IF(ISNUMBER(_xll.PIArcVal(G$6,$C14, 0,"TPI","AUTO"))=TRUE,_xll.PIArcVal(G$6,$C14, 0,"TPI","AUTO"),"")</f>
        <v>1.1269073486328125</v>
      </c>
      <c r="H14" s="160">
        <f>IF(ISNUMBER(_xll.PIArcVal(H$6,$D14, 0,"TPI","AUTO"))=TRUE,_xll.PIArcVal(H$6,$D14, 0,"TPI","AUTO"),"")</f>
        <v>0.90195196866989136</v>
      </c>
      <c r="I14" s="160">
        <f>IF(ISNUMBER(_xll.PIArcVal(I$6,$C14, 0,"TPI","AUTO"))=TRUE,_xll.PIArcVal(I$6,$C14, 0,"TPI","AUTO"),"")</f>
        <v>27.757684707641602</v>
      </c>
      <c r="J14" s="160">
        <f>IF(ISNUMBER(_xll.PIArcVal(J$6,$D14, 0,"TPI","AUTO"))=TRUE,_xll.PIArcVal(J$6,$D14, 0,"TPI","AUTO"),"")</f>
        <v>27.238611221313477</v>
      </c>
      <c r="K14" s="160">
        <f>IF(ISNUMBER(_xll.PIArcVal(K$6,$C14, 0,"TPI","AUTO"))=TRUE,_xll.PIArcVal(K$6,$C14, 0,"TPI","AUTO"),"")</f>
        <v>23.779850006103516</v>
      </c>
      <c r="L14" s="160">
        <f>IF(ISNUMBER(_xll.PIArcVal(L$6,$D14, 0,"TPI","AUTO"))=TRUE,_xll.PIArcVal(L$6,$D14, 0,"TPI","AUTO"),"")</f>
        <v>21.322835922241211</v>
      </c>
      <c r="M14" s="160">
        <f>IF(ISNUMBER(_xll.PIArcVal(M$6,$C14, 0,"TPI","AUTO"))=TRUE,_xll.PIArcVal(M$6,$C14, 0,"TPI","AUTO"),"")</f>
        <v>5.3388558328151703E-2</v>
      </c>
      <c r="N14" s="160">
        <f>IF(ISNUMBER(_xll.PIArcVal(N$6,$D14, 0,"TPI","AUTO"))=TRUE,_xll.PIArcVal(N$6,$D14, 0,"TPI","AUTO"),"")</f>
        <v>0.18215537071228027</v>
      </c>
      <c r="O14" s="160">
        <f>IF(ISNUMBER(_xll.PIArcVal(O$6,$C14, 0,"TPI","AUTO"))=TRUE,_xll.PIArcVal(O$6,$C14, 0,"TPI","AUTO"),"")</f>
        <v>29.30029296875</v>
      </c>
      <c r="P14" s="160">
        <f>IF(ISNUMBER(_xll.PIArcVal(P$6,$D14, 0,"TPI","AUTO"))=TRUE,_xll.PIArcVal(P$6,$D14, 0,"TPI","AUTO"),"")</f>
        <v>28.816394805908203</v>
      </c>
      <c r="Q14" s="160">
        <f>IF(ISNUMBER(_xll.PIArcVal(Q$6,$C14, 0,"TPI","AUTO"))=TRUE,_xll.PIArcVal(Q$6,$C14, 0,"TPI","AUTO"),"")</f>
        <v>0.90129506587982178</v>
      </c>
      <c r="R14" s="160">
        <f>IF(ISNUMBER(_xll.PIArcVal(R$6,$D14, 0,"TPI","AUTO"))=TRUE,_xll.PIArcVal(R$6,$D14, 0,"TPI","AUTO"),"")</f>
        <v>0.62800890207290649</v>
      </c>
      <c r="S14" s="160">
        <f>IF(ISNUMBER(_xll.PIArcVal(S$6,$C14, 0,"TPI","AUTO"))=TRUE,_xll.PIArcVal(S$6,$C14, 0,"TPI","AUTO"),"")</f>
        <v>56.813716888427734</v>
      </c>
      <c r="T14" s="160">
        <f>IF(ISNUMBER(_xll.PIArcVal(T$6,$D14, 0,"TPI","AUTO"))=TRUE,_xll.PIArcVal(T$6,$D14, 0,"TPI","AUTO"),"")</f>
        <v>56.694122314453125</v>
      </c>
      <c r="U14" s="160">
        <f>IF(ISNUMBER(_xll.PIArcVal(U$6,$C14, 0,"TPI","AUTO"))=TRUE,_xll.PIArcVal(U$6,$C14, 0,"TPI","AUTO"),"")</f>
        <v>0.85128504037857056</v>
      </c>
      <c r="V14" s="160">
        <f>IF(ISNUMBER(_xll.PIArcVal(V$6,$D14, 0,"TPI","AUTO"))=TRUE,_xll.PIArcVal(V$6,$D14, 0,"TPI","AUTO"),"")</f>
        <v>0.71730285882949829</v>
      </c>
    </row>
    <row r="15" spans="2:22" ht="16.5" thickBot="1" x14ac:dyDescent="0.3">
      <c r="B15" s="118">
        <f t="shared" si="2"/>
        <v>46254</v>
      </c>
      <c r="C15" s="119">
        <f t="shared" si="0"/>
        <v>46254.770833333336</v>
      </c>
      <c r="D15" s="119">
        <f t="shared" si="1"/>
        <v>46255.270833333336</v>
      </c>
      <c r="E15" s="41"/>
      <c r="F15" s="160">
        <f>IF(ISNUMBER(_xll.PIArcVal(F$6,$D15, 0,"TPI","AUTO"))=TRUE,_xll.PIArcVal(F$6,$D15, 0,"TPI","AUTO"),"")</f>
        <v>23.196371078491211</v>
      </c>
      <c r="G15" s="160">
        <f>IF(ISNUMBER(_xll.PIArcVal(G$6,$C15, 0,"TPI","AUTO"))=TRUE,_xll.PIArcVal(G$6,$C15, 0,"TPI","AUTO"),"")</f>
        <v>1.2089604139328003</v>
      </c>
      <c r="H15" s="160">
        <f>IF(ISNUMBER(_xll.PIArcVal(H$6,$D15, 0,"TPI","AUTO"))=TRUE,_xll.PIArcVal(H$6,$D15, 0,"TPI","AUTO"),"")</f>
        <v>1.2117031812667847</v>
      </c>
      <c r="I15" s="160">
        <f>IF(ISNUMBER(_xll.PIArcVal(I$6,$C15, 0,"TPI","AUTO"))=TRUE,_xll.PIArcVal(I$6,$C15, 0,"TPI","AUTO"),"")</f>
        <v>28.074106216430664</v>
      </c>
      <c r="J15" s="160">
        <f>IF(ISNUMBER(_xll.PIArcVal(J$6,$D15, 0,"TPI","AUTO"))=TRUE,_xll.PIArcVal(J$6,$D15, 0,"TPI","AUTO"),"")</f>
        <v>29.422849655151367</v>
      </c>
      <c r="K15" s="160">
        <f>IF(ISNUMBER(_xll.PIArcVal(K$6,$C15, 0,"TPI","AUTO"))=TRUE,_xll.PIArcVal(K$6,$C15, 0,"TPI","AUTO"),"")</f>
        <v>19.861064910888672</v>
      </c>
      <c r="L15" s="160">
        <f>IF(ISNUMBER(_xll.PIArcVal(L$6,$D15, 0,"TPI","AUTO"))=TRUE,_xll.PIArcVal(L$6,$D15, 0,"TPI","AUTO"),"")</f>
        <v>23.91087532043457</v>
      </c>
      <c r="M15" s="160">
        <f>IF(ISNUMBER(_xll.PIArcVal(M$6,$C15, 0,"TPI","AUTO"))=TRUE,_xll.PIArcVal(M$6,$C15, 0,"TPI","AUTO"),"")</f>
        <v>0.67277532815933228</v>
      </c>
      <c r="N15" s="160">
        <f>IF(ISNUMBER(_xll.PIArcVal(N$6,$D15, 0,"TPI","AUTO"))=TRUE,_xll.PIArcVal(N$6,$D15, 0,"TPI","AUTO"),"")</f>
        <v>0.15042237937450409</v>
      </c>
      <c r="O15" s="160">
        <f>IF(ISNUMBER(_xll.PIArcVal(O$6,$C15, 0,"TPI","AUTO"))=TRUE,_xll.PIArcVal(O$6,$C15, 0,"TPI","AUTO"),"")</f>
        <v>28.955646514892578</v>
      </c>
      <c r="P15" s="160">
        <f>IF(ISNUMBER(_xll.PIArcVal(P$6,$D15, 0,"TPI","AUTO"))=TRUE,_xll.PIArcVal(P$6,$D15, 0,"TPI","AUTO"),"")</f>
        <v>29.585695266723633</v>
      </c>
      <c r="Q15" s="160">
        <f>IF(ISNUMBER(_xll.PIArcVal(Q$6,$C15, 0,"TPI","AUTO"))=TRUE,_xll.PIArcVal(Q$6,$C15, 0,"TPI","AUTO"),"")</f>
        <v>0.64794796705245972</v>
      </c>
      <c r="R15" s="160">
        <f>IF(ISNUMBER(_xll.PIArcVal(R$6,$D15, 0,"TPI","AUTO"))=TRUE,_xll.PIArcVal(R$6,$D15, 0,"TPI","AUTO"),"")</f>
        <v>0.52867209911346436</v>
      </c>
      <c r="S15" s="160">
        <f>IF(ISNUMBER(_xll.PIArcVal(S$6,$C15, 0,"TPI","AUTO"))=TRUE,_xll.PIArcVal(S$6,$C15, 0,"TPI","AUTO"),"")</f>
        <v>56.881526947021484</v>
      </c>
      <c r="T15" s="160">
        <f>IF(ISNUMBER(_xll.PIArcVal(T$6,$D15, 0,"TPI","AUTO"))=TRUE,_xll.PIArcVal(T$6,$D15, 0,"TPI","AUTO"),"")</f>
        <v>56.233108520507813</v>
      </c>
      <c r="U15" s="160">
        <f>IF(ISNUMBER(_xll.PIArcVal(U$6,$C15, 0,"TPI","AUTO"))=TRUE,_xll.PIArcVal(U$6,$C15, 0,"TPI","AUTO"),"")</f>
        <v>0.73414802551269531</v>
      </c>
      <c r="V15" s="160">
        <f>IF(ISNUMBER(_xll.PIArcVal(V$6,$D15, 0,"TPI","AUTO"))=TRUE,_xll.PIArcVal(V$6,$D15, 0,"TPI","AUTO"),"")</f>
        <v>0.89357143640518188</v>
      </c>
    </row>
    <row r="16" spans="2:22" ht="16.5" thickBot="1" x14ac:dyDescent="0.3">
      <c r="B16" s="118">
        <f t="shared" si="2"/>
        <v>46255</v>
      </c>
      <c r="C16" s="119">
        <f t="shared" si="0"/>
        <v>46255.770833333336</v>
      </c>
      <c r="D16" s="119">
        <f t="shared" si="1"/>
        <v>46256.270833333336</v>
      </c>
      <c r="E16" s="160">
        <f>IF(ISNUMBER(_xll.PIArcVal(E$6,$C16, 0,"TPI","AUTO"))=TRUE,_xll.PIArcVal(E$6,$C16, 0,"TPI","AUTO"),"")</f>
        <v>22.85761833190918</v>
      </c>
      <c r="F16" s="160">
        <f>IF(ISNUMBER(_xll.PIArcVal(F$6,$D16, 0,"TPI","AUTO"))=TRUE,_xll.PIArcVal(F$6,$D16, 0,"TPI","AUTO"),"")</f>
        <v>23.660287857055664</v>
      </c>
      <c r="G16" s="160">
        <f>IF(ISNUMBER(_xll.PIArcVal(G$6,$C16, 0,"TPI","AUTO"))=TRUE,_xll.PIArcVal(G$6,$C16, 0,"TPI","AUTO"),"")</f>
        <v>1.44896399974823</v>
      </c>
      <c r="H16" s="160">
        <f>IF(ISNUMBER(_xll.PIArcVal(H$6,$D16, 0,"TPI","AUTO"))=TRUE,_xll.PIArcVal(H$6,$D16, 0,"TPI","AUTO"),"")</f>
        <v>1.2693836688995361</v>
      </c>
      <c r="I16" s="160">
        <f>IF(ISNUMBER(_xll.PIArcVal(I$6,$C16, 0,"TPI","AUTO"))=TRUE,_xll.PIArcVal(I$6,$C16, 0,"TPI","AUTO"),"")</f>
        <v>29.535423278808594</v>
      </c>
      <c r="J16" s="160">
        <f>IF(ISNUMBER(_xll.PIArcVal(J$6,$D16, 0,"TPI","AUTO"))=TRUE,_xll.PIArcVal(J$6,$D16, 0,"TPI","AUTO"),"")</f>
        <v>29.418380737304688</v>
      </c>
      <c r="K16" s="160">
        <f>IF(ISNUMBER(_xll.PIArcVal(K$6,$C16, 0,"TPI","AUTO"))=TRUE,_xll.PIArcVal(K$6,$C16, 0,"TPI","AUTO"),"")</f>
        <v>22.782251358032227</v>
      </c>
      <c r="L16" s="160">
        <f>IF(ISNUMBER(_xll.PIArcVal(L$6,$D16, 0,"TPI","AUTO"))=TRUE,_xll.PIArcVal(L$6,$D16, 0,"TPI","AUTO"),"")</f>
        <v>23.487161636352539</v>
      </c>
      <c r="M16" s="160">
        <f>IF(ISNUMBER(_xll.PIArcVal(M$6,$C16, 0,"TPI","AUTO"))=TRUE,_xll.PIArcVal(M$6,$C16, 0,"TPI","AUTO"),"")</f>
        <v>0.28837582468986511</v>
      </c>
      <c r="N16" s="160">
        <f>IF(ISNUMBER(_xll.PIArcVal(N$6,$D16, 0,"TPI","AUTO"))=TRUE,_xll.PIArcVal(N$6,$D16, 0,"TPI","AUTO"),"")</f>
        <v>0.38917356729507446</v>
      </c>
      <c r="O16" s="160">
        <f>IF(ISNUMBER(_xll.PIArcVal(O$6,$C16, 0,"TPI","AUTO"))=TRUE,_xll.PIArcVal(O$6,$C16, 0,"TPI","AUTO"),"")</f>
        <v>29.079889297485352</v>
      </c>
      <c r="P16" s="160">
        <f>IF(ISNUMBER(_xll.PIArcVal(P$6,$D16, 0,"TPI","AUTO"))=TRUE,_xll.PIArcVal(P$6,$D16, 0,"TPI","AUTO"),"")</f>
        <v>29.424104690551758</v>
      </c>
      <c r="Q16" s="160">
        <f>IF(ISNUMBER(_xll.PIArcVal(Q$6,$C16, 0,"TPI","AUTO"))=TRUE,_xll.PIArcVal(Q$6,$C16, 0,"TPI","AUTO"),"")</f>
        <v>0.58700937032699585</v>
      </c>
      <c r="R16" s="160">
        <f>IF(ISNUMBER(_xll.PIArcVal(R$6,$D16, 0,"TPI","AUTO"))=TRUE,_xll.PIArcVal(R$6,$D16, 0,"TPI","AUTO"),"")</f>
        <v>0.58700937032699585</v>
      </c>
      <c r="S16" s="160">
        <f>IF(ISNUMBER(_xll.PIArcVal(S$6,$C16, 0,"TPI","AUTO"))=TRUE,_xll.PIArcVal(S$6,$C16, 0,"TPI","AUTO"),"")</f>
        <v>56.782024383544922</v>
      </c>
      <c r="T16" s="160">
        <f>IF(ISNUMBER(_xll.PIArcVal(T$6,$D16, 0,"TPI","AUTO"))=TRUE,_xll.PIArcVal(T$6,$D16, 0,"TPI","AUTO"),"")</f>
        <v>56.782024383544922</v>
      </c>
      <c r="U16" s="160">
        <f>IF(ISNUMBER(_xll.PIArcVal(U$6,$C16, 0,"TPI","AUTO"))=TRUE,_xll.PIArcVal(U$6,$C16, 0,"TPI","AUTO"),"")</f>
        <v>0.76169872283935547</v>
      </c>
      <c r="V16" s="160">
        <f>IF(ISNUMBER(_xll.PIArcVal(V$6,$D16, 0,"TPI","AUTO"))=TRUE,_xll.PIArcVal(V$6,$D16, 0,"TPI","AUTO"),"")</f>
        <v>0.76169872283935547</v>
      </c>
    </row>
    <row r="17" spans="2:22" ht="16.5" thickBot="1" x14ac:dyDescent="0.3">
      <c r="B17" s="118">
        <f t="shared" si="2"/>
        <v>46256</v>
      </c>
      <c r="C17" s="119">
        <f t="shared" si="0"/>
        <v>46256.770833333336</v>
      </c>
      <c r="D17" s="119">
        <f t="shared" si="1"/>
        <v>46257.270833333336</v>
      </c>
      <c r="E17" s="160">
        <f>IF(ISNUMBER(_xll.PIArcVal(E$6,$C17, 0,"TPI","AUTO"))=TRUE,_xll.PIArcVal(E$6,$C17, 0,"TPI","AUTO"),"")</f>
        <v>24.543853759765625</v>
      </c>
      <c r="F17" s="160">
        <f>IF(ISNUMBER(_xll.PIArcVal(F$6,$D17, 0,"TPI","AUTO"))=TRUE,_xll.PIArcVal(F$6,$D17, 0,"TPI","AUTO"),"")</f>
        <v>24.543853759765625</v>
      </c>
      <c r="G17" s="160">
        <f>IF(ISNUMBER(_xll.PIArcVal(G$6,$C17, 0,"TPI","AUTO"))=TRUE,_xll.PIArcVal(G$6,$C17, 0,"TPI","AUTO"),"")</f>
        <v>1.3908547163009644</v>
      </c>
      <c r="H17" s="160">
        <f>IF(ISNUMBER(_xll.PIArcVal(H$6,$D17, 0,"TPI","AUTO"))=TRUE,_xll.PIArcVal(H$6,$D17, 0,"TPI","AUTO"),"")</f>
        <v>1.3908547163009644</v>
      </c>
      <c r="I17" s="160">
        <f>IF(ISNUMBER(_xll.PIArcVal(I$6,$C17, 0,"TPI","AUTO"))=TRUE,_xll.PIArcVal(I$6,$C17, 0,"TPI","AUTO"),"")</f>
        <v>29.382139205932617</v>
      </c>
      <c r="J17" s="160">
        <f>IF(ISNUMBER(_xll.PIArcVal(J$6,$D17, 0,"TPI","AUTO"))=TRUE,_xll.PIArcVal(J$6,$D17, 0,"TPI","AUTO"),"")</f>
        <v>29.382139205932617</v>
      </c>
      <c r="K17" s="160">
        <f>IF(ISNUMBER(_xll.PIArcVal(K$6,$C17, 0,"TPI","AUTO"))=TRUE,_xll.PIArcVal(K$6,$C17, 0,"TPI","AUTO"),"")</f>
        <v>25.519594192504883</v>
      </c>
      <c r="L17" s="160">
        <f>IF(ISNUMBER(_xll.PIArcVal(L$6,$D17, 0,"TPI","AUTO"))=TRUE,_xll.PIArcVal(L$6,$D17, 0,"TPI","AUTO"),"")</f>
        <v>25.519594192504883</v>
      </c>
      <c r="M17" s="160">
        <f>IF(ISNUMBER(_xll.PIArcVal(M$6,$C17, 0,"TPI","AUTO"))=TRUE,_xll.PIArcVal(M$6,$C17, 0,"TPI","AUTO"),"")</f>
        <v>0.16438183188438416</v>
      </c>
      <c r="N17" s="160">
        <f>IF(ISNUMBER(_xll.PIArcVal(N$6,$D17, 0,"TPI","AUTO"))=TRUE,_xll.PIArcVal(N$6,$D17, 0,"TPI","AUTO"),"")</f>
        <v>0.16438183188438416</v>
      </c>
      <c r="O17" s="160">
        <f>IF(ISNUMBER(_xll.PIArcVal(O$6,$C17, 0,"TPI","AUTO"))=TRUE,_xll.PIArcVal(O$6,$C17, 0,"TPI","AUTO"),"")</f>
        <v>29.57487678527832</v>
      </c>
      <c r="P17" s="160">
        <f>IF(ISNUMBER(_xll.PIArcVal(P$6,$D17, 0,"TPI","AUTO"))=TRUE,_xll.PIArcVal(P$6,$D17, 0,"TPI","AUTO"),"")</f>
        <v>29.57487678527832</v>
      </c>
      <c r="Q17" s="160">
        <f>IF(ISNUMBER(_xll.PIArcVal(Q$6,$C17, 0,"TPI","AUTO"))=TRUE,_xll.PIArcVal(Q$6,$C17, 0,"TPI","AUTO"),"")</f>
        <v>0.58700937032699585</v>
      </c>
      <c r="R17" s="160">
        <f>IF(ISNUMBER(_xll.PIArcVal(R$6,$D17, 0,"TPI","AUTO"))=TRUE,_xll.PIArcVal(R$6,$D17, 0,"TPI","AUTO"),"")</f>
        <v>0.58700937032699585</v>
      </c>
      <c r="S17" s="160">
        <f>IF(ISNUMBER(_xll.PIArcVal(S$6,$C17, 0,"TPI","AUTO"))=TRUE,_xll.PIArcVal(S$6,$C17, 0,"TPI","AUTO"),"")</f>
        <v>56.782024383544922</v>
      </c>
      <c r="T17" s="160">
        <f>IF(ISNUMBER(_xll.PIArcVal(T$6,$D17, 0,"TPI","AUTO"))=TRUE,_xll.PIArcVal(T$6,$D17, 0,"TPI","AUTO"),"")</f>
        <v>56.782024383544922</v>
      </c>
      <c r="U17" s="160">
        <f>IF(ISNUMBER(_xll.PIArcVal(U$6,$C17, 0,"TPI","AUTO"))=TRUE,_xll.PIArcVal(U$6,$C17, 0,"TPI","AUTO"),"")</f>
        <v>0.76169872283935547</v>
      </c>
      <c r="V17" s="160">
        <f>IF(ISNUMBER(_xll.PIArcVal(V$6,$D17, 0,"TPI","AUTO"))=TRUE,_xll.PIArcVal(V$6,$D17, 0,"TPI","AUTO"),"")</f>
        <v>0.76169872283935547</v>
      </c>
    </row>
    <row r="18" spans="2:22" ht="16.5" thickBot="1" x14ac:dyDescent="0.3">
      <c r="B18" s="118">
        <f t="shared" si="2"/>
        <v>46257</v>
      </c>
      <c r="C18" s="119">
        <f t="shared" si="0"/>
        <v>46257.770833333336</v>
      </c>
      <c r="D18" s="119">
        <f t="shared" si="1"/>
        <v>46258.270833333336</v>
      </c>
      <c r="E18" s="160">
        <f>IF(ISNUMBER(_xll.PIArcVal(E$6,$C18, 0,"TPI","AUTO"))=TRUE,_xll.PIArcVal(E$6,$C18, 0,"TPI","AUTO"),"")</f>
        <v>23.831357955932617</v>
      </c>
      <c r="F18" s="160">
        <f>IF(ISNUMBER(_xll.PIArcVal(F$6,$D18, 0,"TPI","AUTO"))=TRUE,_xll.PIArcVal(F$6,$D18, 0,"TPI","AUTO"),"")</f>
        <v>22.841638565063477</v>
      </c>
      <c r="G18" s="160">
        <f>IF(ISNUMBER(_xll.PIArcVal(G$6,$C18, 0,"TPI","AUTO"))=TRUE,_xll.PIArcVal(G$6,$C18, 0,"TPI","AUTO"),"")</f>
        <v>2.3223707675933838</v>
      </c>
      <c r="H18" s="160">
        <f>IF(ISNUMBER(_xll.PIArcVal(H$6,$D18, 0,"TPI","AUTO"))=TRUE,_xll.PIArcVal(H$6,$D18, 0,"TPI","AUTO"),"")</f>
        <v>3.1678712368011475</v>
      </c>
      <c r="I18" s="160">
        <f>IF(ISNUMBER(_xll.PIArcVal(I$6,$C18, 0,"TPI","AUTO"))=TRUE,_xll.PIArcVal(I$6,$C18, 0,"TPI","AUTO"),"")</f>
        <v>28.879756927490234</v>
      </c>
      <c r="J18" s="160">
        <f>IF(ISNUMBER(_xll.PIArcVal(J$6,$D18, 0,"TPI","AUTO"))=TRUE,_xll.PIArcVal(J$6,$D18, 0,"TPI","AUTO"),"")</f>
        <v>28.103832244873047</v>
      </c>
      <c r="K18" s="160">
        <f>IF(ISNUMBER(_xll.PIArcVal(K$6,$C18, 0,"TPI","AUTO"))=TRUE,_xll.PIArcVal(K$6,$C18, 0,"TPI","AUTO"),"")</f>
        <v>25.068899154663086</v>
      </c>
      <c r="L18" s="160">
        <f>IF(ISNUMBER(_xll.PIArcVal(L$6,$D18, 0,"TPI","AUTO"))=TRUE,_xll.PIArcVal(L$6,$D18, 0,"TPI","AUTO"),"")</f>
        <v>24.310548782348633</v>
      </c>
      <c r="M18" s="160">
        <f>IF(ISNUMBER(_xll.PIArcVal(M$6,$C18, 0,"TPI","AUTO"))=TRUE,_xll.PIArcVal(M$6,$C18, 0,"TPI","AUTO"),"")</f>
        <v>0.28070893883705139</v>
      </c>
      <c r="N18" s="160">
        <f>IF(ISNUMBER(_xll.PIArcVal(N$6,$D18, 0,"TPI","AUTO"))=TRUE,_xll.PIArcVal(N$6,$D18, 0,"TPI","AUTO"),"")</f>
        <v>0.26761573553085327</v>
      </c>
      <c r="O18" s="160">
        <f>IF(ISNUMBER(_xll.PIArcVal(O$6,$C18, 0,"TPI","AUTO"))=TRUE,_xll.PIArcVal(O$6,$C18, 0,"TPI","AUTO"),"")</f>
        <v>29.135675430297852</v>
      </c>
      <c r="P18" s="160">
        <f>IF(ISNUMBER(_xll.PIArcVal(P$6,$D18, 0,"TPI","AUTO"))=TRUE,_xll.PIArcVal(P$6,$D18, 0,"TPI","AUTO"),"")</f>
        <v>28.948293685913086</v>
      </c>
      <c r="Q18" s="160">
        <f>IF(ISNUMBER(_xll.PIArcVal(Q$6,$C18, 0,"TPI","AUTO"))=TRUE,_xll.PIArcVal(Q$6,$C18, 0,"TPI","AUTO"),"")</f>
        <v>0.62732428312301636</v>
      </c>
      <c r="R18" s="160">
        <f>IF(ISNUMBER(_xll.PIArcVal(R$6,$D18, 0,"TPI","AUTO"))=TRUE,_xll.PIArcVal(R$6,$D18, 0,"TPI","AUTO"),"")</f>
        <v>0.67065083980560303</v>
      </c>
      <c r="S18" s="160">
        <f>IF(ISNUMBER(_xll.PIArcVal(S$6,$C18, 0,"TPI","AUTO"))=TRUE,_xll.PIArcVal(S$6,$C18, 0,"TPI","AUTO"),"")</f>
        <v>54.337448120117188</v>
      </c>
      <c r="T18" s="160">
        <f>IF(ISNUMBER(_xll.PIArcVal(T$6,$D18, 0,"TPI","AUTO"))=TRUE,_xll.PIArcVal(T$6,$D18, 0,"TPI","AUTO"),"")</f>
        <v>53.728702545166016</v>
      </c>
      <c r="U18" s="160">
        <f>IF(ISNUMBER(_xll.PIArcVal(U$6,$C18, 0,"TPI","AUTO"))=TRUE,_xll.PIArcVal(U$6,$C18, 0,"TPI","AUTO"),"")</f>
        <v>1.2080948352813721</v>
      </c>
      <c r="V18" s="160">
        <f>IF(ISNUMBER(_xll.PIArcVal(V$6,$D18, 0,"TPI","AUTO"))=TRUE,_xll.PIArcVal(V$6,$D18, 0,"TPI","AUTO"),"")</f>
        <v>1.5019298791885376</v>
      </c>
    </row>
    <row r="19" spans="2:22" ht="16.5" thickBot="1" x14ac:dyDescent="0.3">
      <c r="B19" s="118">
        <f t="shared" si="2"/>
        <v>46258</v>
      </c>
      <c r="C19" s="119">
        <f t="shared" si="0"/>
        <v>46258.770833333336</v>
      </c>
      <c r="D19" s="119">
        <f t="shared" si="1"/>
        <v>46259.270833333336</v>
      </c>
      <c r="E19" s="160">
        <f>IF(ISNUMBER(_xll.PIArcVal(E$6,$C19, 0,"TPI","AUTO"))=TRUE,_xll.PIArcVal(E$6,$C19, 0,"TPI","AUTO"),"")</f>
        <v>22.674943923950195</v>
      </c>
      <c r="F19" s="160">
        <f>IF(ISNUMBER(_xll.PIArcVal(F$6,$D19, 0,"TPI","AUTO"))=TRUE,_xll.PIArcVal(F$6,$D19, 0,"TPI","AUTO"),"")</f>
        <v>23.641651153564453</v>
      </c>
      <c r="G19" s="160">
        <f>IF(ISNUMBER(_xll.PIArcVal(G$6,$C19, 0,"TPI","AUTO"))=TRUE,_xll.PIArcVal(G$6,$C19, 0,"TPI","AUTO"),"")</f>
        <v>2.301372766494751</v>
      </c>
      <c r="H19" s="160">
        <f>IF(ISNUMBER(_xll.PIArcVal(H$6,$D19, 0,"TPI","AUTO"))=TRUE,_xll.PIArcVal(H$6,$D19, 0,"TPI","AUTO"),"")</f>
        <v>1.8395191431045532</v>
      </c>
      <c r="I19" s="160">
        <f>IF(ISNUMBER(_xll.PIArcVal(I$6,$C19, 0,"TPI","AUTO"))=TRUE,_xll.PIArcVal(I$6,$C19, 0,"TPI","AUTO"),"")</f>
        <v>28.175008773803711</v>
      </c>
      <c r="J19" s="160">
        <f>IF(ISNUMBER(_xll.PIArcVal(J$6,$D19, 0,"TPI","AUTO"))=TRUE,_xll.PIArcVal(J$6,$D19, 0,"TPI","AUTO"),"")</f>
        <v>29.346792221069336</v>
      </c>
      <c r="K19" s="160">
        <f>IF(ISNUMBER(_xll.PIArcVal(K$6,$C19, 0,"TPI","AUTO"))=TRUE,_xll.PIArcVal(K$6,$C19, 0,"TPI","AUTO"),"")</f>
        <v>24.298362731933594</v>
      </c>
      <c r="L19" s="160">
        <f>IF(ISNUMBER(_xll.PIArcVal(L$6,$D19, 0,"TPI","AUTO"))=TRUE,_xll.PIArcVal(L$6,$D19, 0,"TPI","AUTO"),"")</f>
        <v>24.033393859863281</v>
      </c>
      <c r="M19" s="160">
        <f>IF(ISNUMBER(_xll.PIArcVal(M$6,$C19, 0,"TPI","AUTO"))=TRUE,_xll.PIArcVal(M$6,$C19, 0,"TPI","AUTO"),"")</f>
        <v>5.9297509491443634E-2</v>
      </c>
      <c r="N19" s="160">
        <f>IF(ISNUMBER(_xll.PIArcVal(N$6,$D19, 0,"TPI","AUTO"))=TRUE,_xll.PIArcVal(N$6,$D19, 0,"TPI","AUTO"),"")</f>
        <v>7.9983144998550415E-2</v>
      </c>
      <c r="O19" s="160">
        <f>IF(ISNUMBER(_xll.PIArcVal(O$6,$C19, 0,"TPI","AUTO"))=TRUE,_xll.PIArcVal(O$6,$C19, 0,"TPI","AUTO"),"")</f>
        <v>29.958515167236328</v>
      </c>
      <c r="P19" s="160">
        <f>IF(ISNUMBER(_xll.PIArcVal(P$6,$D19, 0,"TPI","AUTO"))=TRUE,_xll.PIArcVal(P$6,$D19, 0,"TPI","AUTO"),"")</f>
        <v>29.672199249267578</v>
      </c>
      <c r="Q19" s="160">
        <f>IF(ISNUMBER(_xll.PIArcVal(Q$6,$C19, 0,"TPI","AUTO"))=TRUE,_xll.PIArcVal(Q$6,$C19, 0,"TPI","AUTO"),"")</f>
        <v>0.70668315887451172</v>
      </c>
      <c r="R19" s="160">
        <f>IF(ISNUMBER(_xll.PIArcVal(R$6,$D19, 0,"TPI","AUTO"))=TRUE,_xll.PIArcVal(R$6,$D19, 0,"TPI","AUTO"),"")</f>
        <v>0.81929582357406616</v>
      </c>
      <c r="S19" s="160">
        <f>IF(ISNUMBER(_xll.PIArcVal(S$6,$C19, 0,"TPI","AUTO"))=TRUE,_xll.PIArcVal(S$6,$C19, 0,"TPI","AUTO"),"")</f>
        <v>54.885494232177734</v>
      </c>
      <c r="T19" s="160">
        <f>IF(ISNUMBER(_xll.PIArcVal(T$6,$D19, 0,"TPI","AUTO"))=TRUE,_xll.PIArcVal(T$6,$D19, 0,"TPI","AUTO"),"")</f>
        <v>55.107204437255859</v>
      </c>
      <c r="U19" s="160">
        <f>IF(ISNUMBER(_xll.PIArcVal(U$6,$C19, 0,"TPI","AUTO"))=TRUE,_xll.PIArcVal(U$6,$C19, 0,"TPI","AUTO"),"")</f>
        <v>1.1374205350875854</v>
      </c>
      <c r="V19" s="160">
        <f>IF(ISNUMBER(_xll.PIArcVal(V$6,$D19, 0,"TPI","AUTO"))=TRUE,_xll.PIArcVal(V$6,$D19, 0,"TPI","AUTO"),"")</f>
        <v>1.2822182178497314</v>
      </c>
    </row>
    <row r="20" spans="2:22" ht="16.5" thickBot="1" x14ac:dyDescent="0.3">
      <c r="B20" s="118">
        <f t="shared" si="2"/>
        <v>46259</v>
      </c>
      <c r="C20" s="119">
        <f t="shared" si="0"/>
        <v>46259.770833333336</v>
      </c>
      <c r="D20" s="119">
        <f t="shared" si="1"/>
        <v>46260.270833333336</v>
      </c>
      <c r="E20" s="160">
        <f>IF(ISNUMBER(_xll.PIArcVal(E$6,$C20, 0,"TPI","AUTO"))=TRUE,_xll.PIArcVal(E$6,$C20, 0,"TPI","AUTO"),"")</f>
        <v>22.421327590942383</v>
      </c>
      <c r="F20" s="160">
        <f>IF(ISNUMBER(_xll.PIArcVal(F$6,$D20, 0,"TPI","AUTO"))=TRUE,_xll.PIArcVal(F$6,$D20, 0,"TPI","AUTO"),"")</f>
        <v>22.577163696289063</v>
      </c>
      <c r="G20" s="160">
        <f>IF(ISNUMBER(_xll.PIArcVal(G$6,$C20, 0,"TPI","AUTO"))=TRUE,_xll.PIArcVal(G$6,$C20, 0,"TPI","AUTO"),"")</f>
        <v>4.3784956932067871</v>
      </c>
      <c r="H20" s="160">
        <f>IF(ISNUMBER(_xll.PIArcVal(H$6,$D20, 0,"TPI","AUTO"))=TRUE,_xll.PIArcVal(H$6,$D20, 0,"TPI","AUTO"),"")</f>
        <v>4.0803060531616211</v>
      </c>
      <c r="I20" s="160">
        <f>IF(ISNUMBER(_xll.PIArcVal(I$6,$C20, 0,"TPI","AUTO"))=TRUE,_xll.PIArcVal(I$6,$C20, 0,"TPI","AUTO"),"")</f>
        <v>27.547765731811523</v>
      </c>
      <c r="J20" s="160">
        <f>IF(ISNUMBER(_xll.PIArcVal(J$6,$D20, 0,"TPI","AUTO"))=TRUE,_xll.PIArcVal(J$6,$D20, 0,"TPI","AUTO"),"")</f>
        <v>27.947559356689453</v>
      </c>
      <c r="K20" s="160">
        <f>IF(ISNUMBER(_xll.PIArcVal(K$6,$C20, 0,"TPI","AUTO"))=TRUE,_xll.PIArcVal(K$6,$C20, 0,"TPI","AUTO"),"")</f>
        <v>22.300138473510742</v>
      </c>
      <c r="L20" s="160">
        <f>IF(ISNUMBER(_xll.PIArcVal(L$6,$D20, 0,"TPI","AUTO"))=TRUE,_xll.PIArcVal(L$6,$D20, 0,"TPI","AUTO"),"")</f>
        <v>23.689096450805664</v>
      </c>
      <c r="M20" s="160">
        <f>IF(ISNUMBER(_xll.PIArcVal(M$6,$C20, 0,"TPI","AUTO"))=TRUE,_xll.PIArcVal(M$6,$C20, 0,"TPI","AUTO"),"")</f>
        <v>0.43560272455215454</v>
      </c>
      <c r="N20" s="160">
        <f>IF(ISNUMBER(_xll.PIArcVal(N$6,$D20, 0,"TPI","AUTO"))=TRUE,_xll.PIArcVal(N$6,$D20, 0,"TPI","AUTO"),"")</f>
        <v>0.14035680890083313</v>
      </c>
      <c r="O20" s="160">
        <f>IF(ISNUMBER(_xll.PIArcVal(O$6,$C20, 0,"TPI","AUTO"))=TRUE,_xll.PIArcVal(O$6,$C20, 0,"TPI","AUTO"),"")</f>
        <v>28.917024612426758</v>
      </c>
      <c r="P20" s="160">
        <f>IF(ISNUMBER(_xll.PIArcVal(P$6,$D20, 0,"TPI","AUTO"))=TRUE,_xll.PIArcVal(P$6,$D20, 0,"TPI","AUTO"),"")</f>
        <v>29.494268417358398</v>
      </c>
      <c r="Q20" s="160">
        <f>IF(ISNUMBER(_xll.PIArcVal(Q$6,$C20, 0,"TPI","AUTO"))=TRUE,_xll.PIArcVal(Q$6,$C20, 0,"TPI","AUTO"),"")</f>
        <v>0.85306304693222046</v>
      </c>
      <c r="R20" s="160">
        <f>IF(ISNUMBER(_xll.PIArcVal(R$6,$D20, 0,"TPI","AUTO"))=TRUE,_xll.PIArcVal(R$6,$D20, 0,"TPI","AUTO"),"")</f>
        <v>0.93724614381790161</v>
      </c>
      <c r="S20" s="160">
        <f>IF(ISNUMBER(_xll.PIArcVal(S$6,$C20, 0,"TPI","AUTO"))=TRUE,_xll.PIArcVal(S$6,$C20, 0,"TPI","AUTO"),"")</f>
        <v>54.821846008300781</v>
      </c>
      <c r="T20" s="160">
        <f>IF(ISNUMBER(_xll.PIArcVal(T$6,$D20, 0,"TPI","AUTO"))=TRUE,_xll.PIArcVal(T$6,$D20, 0,"TPI","AUTO"),"")</f>
        <v>56.847740173339844</v>
      </c>
      <c r="U20" s="160">
        <f>IF(ISNUMBER(_xll.PIArcVal(U$6,$C20, 0,"TPI","AUTO"))=TRUE,_xll.PIArcVal(U$6,$C20, 0,"TPI","AUTO"),"")</f>
        <v>1.3860952854156494</v>
      </c>
      <c r="V20" s="160">
        <f>IF(ISNUMBER(_xll.PIArcVal(V$6,$D20, 0,"TPI","AUTO"))=TRUE,_xll.PIArcVal(V$6,$D20, 0,"TPI","AUTO"),"")</f>
        <v>1.0358563661575317</v>
      </c>
    </row>
    <row r="21" spans="2:22" ht="16.5" thickBot="1" x14ac:dyDescent="0.3">
      <c r="B21" s="118">
        <f t="shared" si="2"/>
        <v>46260</v>
      </c>
      <c r="C21" s="119">
        <f t="shared" si="0"/>
        <v>46260.770833333336</v>
      </c>
      <c r="D21" s="119">
        <f t="shared" si="1"/>
        <v>46261.270833333336</v>
      </c>
      <c r="E21" s="160">
        <f>IF(ISNUMBER(_xll.PIArcVal(E$6,$C21, 0,"TPI","AUTO"))=TRUE,_xll.PIArcVal(E$6,$C21, 0,"TPI","AUTO"),"")</f>
        <v>22.439613342285156</v>
      </c>
      <c r="F21" s="160">
        <f>IF(ISNUMBER(_xll.PIArcVal(F$6,$D21, 0,"TPI","AUTO"))=TRUE,_xll.PIArcVal(F$6,$D21, 0,"TPI","AUTO"),"")</f>
        <v>22.115400314331055</v>
      </c>
      <c r="G21" s="160">
        <f>IF(ISNUMBER(_xll.PIArcVal(G$6,$C21, 0,"TPI","AUTO"))=TRUE,_xll.PIArcVal(G$6,$C21, 0,"TPI","AUTO"),"")</f>
        <v>2.3282473087310791</v>
      </c>
      <c r="H21" s="160">
        <f>IF(ISNUMBER(_xll.PIArcVal(H$6,$D21, 0,"TPI","AUTO"))=TRUE,_xll.PIArcVal(H$6,$D21, 0,"TPI","AUTO"),"")</f>
        <v>2.5708036422729492</v>
      </c>
      <c r="I21" s="160">
        <f>IF(ISNUMBER(_xll.PIArcVal(I$6,$C21, 0,"TPI","AUTO"))=TRUE,_xll.PIArcVal(I$6,$C21, 0,"TPI","AUTO"),"")</f>
        <v>28.225917816162109</v>
      </c>
      <c r="J21" s="160">
        <f>IF(ISNUMBER(_xll.PIArcVal(J$6,$D21, 0,"TPI","AUTO"))=TRUE,_xll.PIArcVal(J$6,$D21, 0,"TPI","AUTO"),"")</f>
        <v>26.804603576660156</v>
      </c>
      <c r="K21" s="160">
        <f>IF(ISNUMBER(_xll.PIArcVal(K$6,$C21, 0,"TPI","AUTO"))=TRUE,_xll.PIArcVal(K$6,$C21, 0,"TPI","AUTO"),"")</f>
        <v>20.800651550292969</v>
      </c>
      <c r="L21" s="160">
        <f>IF(ISNUMBER(_xll.PIArcVal(L$6,$D21, 0,"TPI","AUTO"))=TRUE,_xll.PIArcVal(L$6,$D21, 0,"TPI","AUTO"),"")</f>
        <v>22.796459197998047</v>
      </c>
      <c r="M21" s="160">
        <f>IF(ISNUMBER(_xll.PIArcVal(M$6,$C21, 0,"TPI","AUTO"))=TRUE,_xll.PIArcVal(M$6,$C21, 0,"TPI","AUTO"),"")</f>
        <v>0.22028069198131561</v>
      </c>
      <c r="N21" s="160">
        <f>IF(ISNUMBER(_xll.PIArcVal(N$6,$D21, 0,"TPI","AUTO"))=TRUE,_xll.PIArcVal(N$6,$D21, 0,"TPI","AUTO"),"")</f>
        <v>0.1689692884683609</v>
      </c>
      <c r="O21" s="160">
        <f>IF(ISNUMBER(_xll.PIArcVal(O$6,$C21, 0,"TPI","AUTO"))=TRUE,_xll.PIArcVal(O$6,$C21, 0,"TPI","AUTO"),"")</f>
        <v>29.250423431396484</v>
      </c>
      <c r="P21" s="160">
        <f>IF(ISNUMBER(_xll.PIArcVal(P$6,$D21, 0,"TPI","AUTO"))=TRUE,_xll.PIArcVal(P$6,$D21, 0,"TPI","AUTO"),"")</f>
        <v>28.970615386962891</v>
      </c>
      <c r="Q21" s="160">
        <f>IF(ISNUMBER(_xll.PIArcVal(Q$6,$C21, 0,"TPI","AUTO"))=TRUE,_xll.PIArcVal(Q$6,$C21, 0,"TPI","AUTO"),"")</f>
        <v>0.90241354703903198</v>
      </c>
      <c r="R21" s="160">
        <f>IF(ISNUMBER(_xll.PIArcVal(R$6,$D21, 0,"TPI","AUTO"))=TRUE,_xll.PIArcVal(R$6,$D21, 0,"TPI","AUTO"),"")</f>
        <v>0.77111351490020752</v>
      </c>
      <c r="S21" s="160">
        <f>IF(ISNUMBER(_xll.PIArcVal(S$6,$C21, 0,"TPI","AUTO"))=TRUE,_xll.PIArcVal(S$6,$C21, 0,"TPI","AUTO"),"")</f>
        <v>56.794994354248047</v>
      </c>
      <c r="T21" s="160">
        <f>IF(ISNUMBER(_xll.PIArcVal(T$6,$D21, 0,"TPI","AUTO"))=TRUE,_xll.PIArcVal(T$6,$D21, 0,"TPI","AUTO"),"")</f>
        <v>56.340744018554688</v>
      </c>
      <c r="U21" s="160">
        <f>IF(ISNUMBER(_xll.PIArcVal(U$6,$C21, 0,"TPI","AUTO"))=TRUE,_xll.PIArcVal(U$6,$C21, 0,"TPI","AUTO"),"")</f>
        <v>0.92830365896224976</v>
      </c>
      <c r="V21" s="160">
        <f>IF(ISNUMBER(_xll.PIArcVal(V$6,$D21, 0,"TPI","AUTO"))=TRUE,_xll.PIArcVal(V$6,$D21, 0,"TPI","AUTO"),"")</f>
        <v>0.78384280204772949</v>
      </c>
    </row>
    <row r="22" spans="2:22" ht="16.5" thickBot="1" x14ac:dyDescent="0.3">
      <c r="B22" s="118">
        <f t="shared" si="2"/>
        <v>46261</v>
      </c>
      <c r="C22" s="119">
        <f t="shared" si="0"/>
        <v>46261.770833333336</v>
      </c>
      <c r="D22" s="119">
        <f t="shared" si="1"/>
        <v>46262.270833333336</v>
      </c>
      <c r="E22" s="160">
        <f>IF(ISNUMBER(_xll.PIArcVal(E$6,$C22, 0,"TPI","AUTO"))=TRUE,_xll.PIArcVal(E$6,$C22, 0,"TPI","AUTO"),"")</f>
        <v>22.115400314331055</v>
      </c>
      <c r="F22" s="160">
        <f>IF(ISNUMBER(_xll.PIArcVal(F$6,$D22, 0,"TPI","AUTO"))=TRUE,_xll.PIArcVal(F$6,$D22, 0,"TPI","AUTO"),"")</f>
        <v>22.430482864379883</v>
      </c>
      <c r="G22" s="160">
        <f>IF(ISNUMBER(_xll.PIArcVal(G$6,$C22, 0,"TPI","AUTO"))=TRUE,_xll.PIArcVal(G$6,$C22, 0,"TPI","AUTO"),"")</f>
        <v>2.5708036422729492</v>
      </c>
      <c r="H22" s="160">
        <f>IF(ISNUMBER(_xll.PIArcVal(H$6,$D22, 0,"TPI","AUTO"))=TRUE,_xll.PIArcVal(H$6,$D22, 0,"TPI","AUTO"),"")</f>
        <v>0.68110287189483643</v>
      </c>
      <c r="I22" s="160">
        <f>IF(ISNUMBER(_xll.PIArcVal(I$6,$C22, 0,"TPI","AUTO"))=TRUE,_xll.PIArcVal(I$6,$C22, 0,"TPI","AUTO"),"")</f>
        <v>26.804603576660156</v>
      </c>
      <c r="J22" s="160">
        <f>IF(ISNUMBER(_xll.PIArcVal(J$6,$D22, 0,"TPI","AUTO"))=TRUE,_xll.PIArcVal(J$6,$D22, 0,"TPI","AUTO"),"")</f>
        <v>27.774629592895508</v>
      </c>
      <c r="K22" s="160">
        <f>IF(ISNUMBER(_xll.PIArcVal(K$6,$C22, 0,"TPI","AUTO"))=TRUE,_xll.PIArcVal(K$6,$C22, 0,"TPI","AUTO"),"")</f>
        <v>22.796459197998047</v>
      </c>
      <c r="L22" s="160">
        <f>IF(ISNUMBER(_xll.PIArcVal(L$6,$D22, 0,"TPI","AUTO"))=TRUE,_xll.PIArcVal(L$6,$D22, 0,"TPI","AUTO"),"")</f>
        <v>21.517040252685547</v>
      </c>
      <c r="M22" s="160">
        <f>IF(ISNUMBER(_xll.PIArcVal(M$6,$C22, 0,"TPI","AUTO"))=TRUE,_xll.PIArcVal(M$6,$C22, 0,"TPI","AUTO"),"")</f>
        <v>0.1689692884683609</v>
      </c>
      <c r="N22" s="160">
        <f>IF(ISNUMBER(_xll.PIArcVal(N$6,$D22, 0,"TPI","AUTO"))=TRUE,_xll.PIArcVal(N$6,$D22, 0,"TPI","AUTO"),"")</f>
        <v>6.8032629787921906E-2</v>
      </c>
      <c r="O22" s="160">
        <f>IF(ISNUMBER(_xll.PIArcVal(O$6,$C22, 0,"TPI","AUTO"))=TRUE,_xll.PIArcVal(O$6,$C22, 0,"TPI","AUTO"),"")</f>
        <v>28.970615386962891</v>
      </c>
      <c r="P22" s="160">
        <f>IF(ISNUMBER(_xll.PIArcVal(P$6,$D22, 0,"TPI","AUTO"))=TRUE,_xll.PIArcVal(P$6,$D22, 0,"TPI","AUTO"),"")</f>
        <v>29.194454193115234</v>
      </c>
      <c r="Q22" s="160">
        <f>IF(ISNUMBER(_xll.PIArcVal(Q$6,$C22, 0,"TPI","AUTO"))=TRUE,_xll.PIArcVal(Q$6,$C22, 0,"TPI","AUTO"),"")</f>
        <v>0.77111351490020752</v>
      </c>
      <c r="R22" s="160">
        <f>IF(ISNUMBER(_xll.PIArcVal(R$6,$D22, 0,"TPI","AUTO"))=TRUE,_xll.PIArcVal(R$6,$D22, 0,"TPI","AUTO"),"")</f>
        <v>0.75849008560180664</v>
      </c>
      <c r="S22" s="160">
        <f>IF(ISNUMBER(_xll.PIArcVal(S$6,$C22, 0,"TPI","AUTO"))=TRUE,_xll.PIArcVal(S$6,$C22, 0,"TPI","AUTO"),"")</f>
        <v>56.340744018554688</v>
      </c>
      <c r="T22" s="160">
        <f>IF(ISNUMBER(_xll.PIArcVal(T$6,$D22, 0,"TPI","AUTO"))=TRUE,_xll.PIArcVal(T$6,$D22, 0,"TPI","AUTO"),"")</f>
        <v>57.260551452636719</v>
      </c>
      <c r="U22" s="160">
        <f>IF(ISNUMBER(_xll.PIArcVal(U$6,$C22, 0,"TPI","AUTO"))=TRUE,_xll.PIArcVal(U$6,$C22, 0,"TPI","AUTO"),"")</f>
        <v>0.78384280204772949</v>
      </c>
      <c r="V22" s="160">
        <f>IF(ISNUMBER(_xll.PIArcVal(V$6,$D22, 0,"TPI","AUTO"))=TRUE,_xll.PIArcVal(V$6,$D22, 0,"TPI","AUTO"),"")</f>
        <v>0.76695138216018677</v>
      </c>
    </row>
    <row r="23" spans="2:22" ht="16.5" thickBot="1" x14ac:dyDescent="0.3">
      <c r="B23" s="118">
        <f t="shared" si="2"/>
        <v>46262</v>
      </c>
      <c r="C23" s="119">
        <f t="shared" si="0"/>
        <v>46262.770833333336</v>
      </c>
      <c r="D23" s="119">
        <f t="shared" si="1"/>
        <v>46263.270833333336</v>
      </c>
      <c r="E23" s="160">
        <f>IF(ISNUMBER(_xll.PIArcVal(E$6,$C23, 0,"TPI","AUTO"))=TRUE,_xll.PIArcVal(E$6,$C23, 0,"TPI","AUTO"),"")</f>
        <v>23.856645584106445</v>
      </c>
      <c r="F23" s="160">
        <f>IF(ISNUMBER(_xll.PIArcVal(F$6,$D23, 0,"TPI","AUTO"))=TRUE,_xll.PIArcVal(F$6,$D23, 0,"TPI","AUTO"),"")</f>
        <v>23.230396270751953</v>
      </c>
      <c r="G23" s="160">
        <f>IF(ISNUMBER(_xll.PIArcVal(G$6,$C23, 0,"TPI","AUTO"))=TRUE,_xll.PIArcVal(G$6,$C23, 0,"TPI","AUTO"),"")</f>
        <v>0.74810713529586792</v>
      </c>
      <c r="H23" s="160">
        <f>IF(ISNUMBER(_xll.PIArcVal(H$6,$D23, 0,"TPI","AUTO"))=TRUE,_xll.PIArcVal(H$6,$D23, 0,"TPI","AUTO"),"")</f>
        <v>0.76367515325546265</v>
      </c>
      <c r="I23" s="160">
        <f>IF(ISNUMBER(_xll.PIArcVal(I$6,$C23, 0,"TPI","AUTO"))=TRUE,_xll.PIArcVal(I$6,$C23, 0,"TPI","AUTO"),"")</f>
        <v>27.966691970825195</v>
      </c>
      <c r="J23" s="160">
        <f>IF(ISNUMBER(_xll.PIArcVal(J$6,$D23, 0,"TPI","AUTO"))=TRUE,_xll.PIArcVal(J$6,$D23, 0,"TPI","AUTO"),"")</f>
        <v>27.659448623657227</v>
      </c>
      <c r="K23" s="160">
        <f>IF(ISNUMBER(_xll.PIArcVal(K$6,$C23, 0,"TPI","AUTO"))=TRUE,_xll.PIArcVal(K$6,$C23, 0,"TPI","AUTO"),"")</f>
        <v>23.994331359863281</v>
      </c>
      <c r="L23" s="160">
        <f>IF(ISNUMBER(_xll.PIArcVal(L$6,$D23, 0,"TPI","AUTO"))=TRUE,_xll.PIArcVal(L$6,$D23, 0,"TPI","AUTO"),"")</f>
        <v>22.875391006469727</v>
      </c>
      <c r="M23" s="160">
        <f>IF(ISNUMBER(_xll.PIArcVal(M$6,$C23, 0,"TPI","AUTO"))=TRUE,_xll.PIArcVal(M$6,$C23, 0,"TPI","AUTO"),"")</f>
        <v>9.1524593532085419E-2</v>
      </c>
      <c r="N23" s="160">
        <f>IF(ISNUMBER(_xll.PIArcVal(N$6,$D23, 0,"TPI","AUTO"))=TRUE,_xll.PIArcVal(N$6,$D23, 0,"TPI","AUTO"),"")</f>
        <v>6.9822221994400024E-2</v>
      </c>
      <c r="O23" s="160">
        <f>IF(ISNUMBER(_xll.PIArcVal(O$6,$C23, 0,"TPI","AUTO"))=TRUE,_xll.PIArcVal(O$6,$C23, 0,"TPI","AUTO"),"")</f>
        <v>29.186149597167969</v>
      </c>
      <c r="P23" s="160">
        <f>IF(ISNUMBER(_xll.PIArcVal(P$6,$D23, 0,"TPI","AUTO"))=TRUE,_xll.PIArcVal(P$6,$D23, 0,"TPI","AUTO"),"")</f>
        <v>29.129720687866211</v>
      </c>
      <c r="Q23" s="160">
        <f>IF(ISNUMBER(_xll.PIArcVal(Q$6,$C23, 0,"TPI","AUTO"))=TRUE,_xll.PIArcVal(Q$6,$C23, 0,"TPI","AUTO"),"")</f>
        <v>0.73530465364456177</v>
      </c>
      <c r="R23" s="160">
        <f>IF(ISNUMBER(_xll.PIArcVal(R$6,$D23, 0,"TPI","AUTO"))=TRUE,_xll.PIArcVal(R$6,$D23, 0,"TPI","AUTO"),"")</f>
        <v>0.61146652698516846</v>
      </c>
      <c r="S23" s="160">
        <f>IF(ISNUMBER(_xll.PIArcVal(S$6,$C23, 0,"TPI","AUTO"))=TRUE,_xll.PIArcVal(S$6,$C23, 0,"TPI","AUTO"),"")</f>
        <v>56.498401641845703</v>
      </c>
      <c r="T23" s="160">
        <f>IF(ISNUMBER(_xll.PIArcVal(T$6,$D23, 0,"TPI","AUTO"))=TRUE,_xll.PIArcVal(T$6,$D23, 0,"TPI","AUTO"),"")</f>
        <v>56.82696533203125</v>
      </c>
      <c r="U23" s="160">
        <f>IF(ISNUMBER(_xll.PIArcVal(U$6,$C23, 0,"TPI","AUTO"))=TRUE,_xll.PIArcVal(U$6,$C23, 0,"TPI","AUTO"),"")</f>
        <v>0.75686037540435791</v>
      </c>
      <c r="V23" s="160">
        <f>IF(ISNUMBER(_xll.PIArcVal(V$6,$D23, 0,"TPI","AUTO"))=TRUE,_xll.PIArcVal(V$6,$D23, 0,"TPI","AUTO"),"")</f>
        <v>0.85735327005386353</v>
      </c>
    </row>
    <row r="24" spans="2:22" ht="16.5" thickBot="1" x14ac:dyDescent="0.3">
      <c r="B24" s="118">
        <f t="shared" si="2"/>
        <v>46263</v>
      </c>
      <c r="C24" s="119">
        <f t="shared" si="0"/>
        <v>46263.770833333336</v>
      </c>
      <c r="D24" s="119">
        <f t="shared" si="1"/>
        <v>46264.270833333336</v>
      </c>
      <c r="E24" s="160">
        <f>IF(ISNUMBER(_xll.PIArcVal(E$6,$C24, 0,"TPI","AUTO"))=TRUE,_xll.PIArcVal(E$6,$C24, 0,"TPI","AUTO"),"")</f>
        <v>22.504552841186523</v>
      </c>
      <c r="F24" s="160">
        <f>IF(ISNUMBER(_xll.PIArcVal(F$6,$D24, 0,"TPI","AUTO"))=TRUE,_xll.PIArcVal(F$6,$D24, 0,"TPI","AUTO"),"")</f>
        <v>22.002679824829102</v>
      </c>
      <c r="G24" s="160">
        <f>IF(ISNUMBER(_xll.PIArcVal(G$6,$C24, 0,"TPI","AUTO"))=TRUE,_xll.PIArcVal(G$6,$C24, 0,"TPI","AUTO"),"")</f>
        <v>1.1042046546936035</v>
      </c>
      <c r="H24" s="160">
        <f>IF(ISNUMBER(_xll.PIArcVal(H$6,$D24, 0,"TPI","AUTO"))=TRUE,_xll.PIArcVal(H$6,$D24, 0,"TPI","AUTO"),"")</f>
        <v>1.250199556350708</v>
      </c>
      <c r="I24" s="160">
        <f>IF(ISNUMBER(_xll.PIArcVal(I$6,$C24, 0,"TPI","AUTO"))=TRUE,_xll.PIArcVal(I$6,$C24, 0,"TPI","AUTO"),"")</f>
        <v>27.208417892456055</v>
      </c>
      <c r="J24" s="160">
        <f>IF(ISNUMBER(_xll.PIArcVal(J$6,$D24, 0,"TPI","AUTO"))=TRUE,_xll.PIArcVal(J$6,$D24, 0,"TPI","AUTO"),"")</f>
        <v>28.356494903564453</v>
      </c>
      <c r="K24" s="160">
        <f>IF(ISNUMBER(_xll.PIArcVal(K$6,$C24, 0,"TPI","AUTO"))=TRUE,_xll.PIArcVal(K$6,$C24, 0,"TPI","AUTO"),"")</f>
        <v>21.951410293579102</v>
      </c>
      <c r="L24" s="160">
        <f>IF(ISNUMBER(_xll.PIArcVal(L$6,$D24, 0,"TPI","AUTO"))=TRUE,_xll.PIArcVal(L$6,$D24, 0,"TPI","AUTO"),"")</f>
        <v>21.885499954223633</v>
      </c>
      <c r="M24" s="160">
        <f>IF(ISNUMBER(_xll.PIArcVal(M$6,$C24, 0,"TPI","AUTO"))=TRUE,_xll.PIArcVal(M$6,$C24, 0,"TPI","AUTO"),"")</f>
        <v>9.7445882856845856E-2</v>
      </c>
      <c r="N24" s="160">
        <f>IF(ISNUMBER(_xll.PIArcVal(N$6,$D24, 0,"TPI","AUTO"))=TRUE,_xll.PIArcVal(N$6,$D24, 0,"TPI","AUTO"),"")</f>
        <v>5.1226496696472168E-2</v>
      </c>
      <c r="O24" s="160">
        <f>IF(ISNUMBER(_xll.PIArcVal(O$6,$C24, 0,"TPI","AUTO"))=TRUE,_xll.PIArcVal(O$6,$C24, 0,"TPI","AUTO"),"")</f>
        <v>29.329471588134766</v>
      </c>
      <c r="P24" s="160">
        <f>IF(ISNUMBER(_xll.PIArcVal(P$6,$D24, 0,"TPI","AUTO"))=TRUE,_xll.PIArcVal(P$6,$D24, 0,"TPI","AUTO"),"")</f>
        <v>29.416046142578125</v>
      </c>
      <c r="Q24" s="160">
        <f>IF(ISNUMBER(_xll.PIArcVal(Q$6,$C24, 0,"TPI","AUTO"))=TRUE,_xll.PIArcVal(Q$6,$C24, 0,"TPI","AUTO"),"")</f>
        <v>0.59000110626220703</v>
      </c>
      <c r="R24" s="160">
        <f>IF(ISNUMBER(_xll.PIArcVal(R$6,$D24, 0,"TPI","AUTO"))=TRUE,_xll.PIArcVal(R$6,$D24, 0,"TPI","AUTO"),"")</f>
        <v>0.52631789445877075</v>
      </c>
      <c r="S24" s="160">
        <f>IF(ISNUMBER(_xll.PIArcVal(S$6,$C24, 0,"TPI","AUTO"))=TRUE,_xll.PIArcVal(S$6,$C24, 0,"TPI","AUTO"),"")</f>
        <v>56.480049133300781</v>
      </c>
      <c r="T24" s="160">
        <f>IF(ISNUMBER(_xll.PIArcVal(T$6,$D24, 0,"TPI","AUTO"))=TRUE,_xll.PIArcVal(T$6,$D24, 0,"TPI","AUTO"),"")</f>
        <v>57.101436614990234</v>
      </c>
      <c r="U24" s="160">
        <f>IF(ISNUMBER(_xll.PIArcVal(U$6,$C24, 0,"TPI","AUTO"))=TRUE,_xll.PIArcVal(U$6,$C24, 0,"TPI","AUTO"),"")</f>
        <v>0.79479086399078369</v>
      </c>
      <c r="V24" s="160">
        <f>IF(ISNUMBER(_xll.PIArcVal(V$6,$D24, 0,"TPI","AUTO"))=TRUE,_xll.PIArcVal(V$6,$D24, 0,"TPI","AUTO"),"")</f>
        <v>0.67580217123031616</v>
      </c>
    </row>
    <row r="25" spans="2:22" ht="16.5" thickBot="1" x14ac:dyDescent="0.3">
      <c r="B25" s="118">
        <f t="shared" si="2"/>
        <v>46264</v>
      </c>
      <c r="C25" s="119">
        <f t="shared" si="0"/>
        <v>46264.770833333336</v>
      </c>
      <c r="D25" s="119">
        <f t="shared" si="1"/>
        <v>46265.270833333336</v>
      </c>
      <c r="E25" s="160">
        <f>IF(ISNUMBER(_xll.PIArcVal(E$6,$C25, 0,"TPI","AUTO"))=TRUE,_xll.PIArcVal(E$6,$C25, 0,"TPI","AUTO"),"")</f>
        <v>21.807527542114258</v>
      </c>
      <c r="F25" s="160">
        <f>IF(ISNUMBER(_xll.PIArcVal(F$6,$D25, 0,"TPI","AUTO"))=TRUE,_xll.PIArcVal(F$6,$D25, 0,"TPI","AUTO"),"")</f>
        <v>22.898529052734375</v>
      </c>
      <c r="G25" s="160">
        <f>IF(ISNUMBER(_xll.PIArcVal(G$6,$C25, 0,"TPI","AUTO"))=TRUE,_xll.PIArcVal(G$6,$C25, 0,"TPI","AUTO"),"")</f>
        <v>1.1539222002029419</v>
      </c>
      <c r="H25" s="160">
        <f>IF(ISNUMBER(_xll.PIArcVal(H$6,$D25, 0,"TPI","AUTO"))=TRUE,_xll.PIArcVal(H$6,$D25, 0,"TPI","AUTO"),"")</f>
        <v>1.1675971746444702</v>
      </c>
      <c r="I25" s="160">
        <f>IF(ISNUMBER(_xll.PIArcVal(I$6,$C25, 0,"TPI","AUTO"))=TRUE,_xll.PIArcVal(I$6,$C25, 0,"TPI","AUTO"),"")</f>
        <v>28.27708625793457</v>
      </c>
      <c r="J25" s="160">
        <f>IF(ISNUMBER(_xll.PIArcVal(J$6,$D25, 0,"TPI","AUTO"))=TRUE,_xll.PIArcVal(J$6,$D25, 0,"TPI","AUTO"),"")</f>
        <v>28.763704299926758</v>
      </c>
      <c r="K25" s="160">
        <f>IF(ISNUMBER(_xll.PIArcVal(K$6,$C25, 0,"TPI","AUTO"))=TRUE,_xll.PIArcVal(K$6,$C25, 0,"TPI","AUTO"),"")</f>
        <v>22.472513198852539</v>
      </c>
      <c r="L25" s="160">
        <f>IF(ISNUMBER(_xll.PIArcVal(L$6,$D25, 0,"TPI","AUTO"))=TRUE,_xll.PIArcVal(L$6,$D25, 0,"TPI","AUTO"),"")</f>
        <v>23.350467681884766</v>
      </c>
      <c r="M25" s="160">
        <f>IF(ISNUMBER(_xll.PIArcVal(M$6,$C25, 0,"TPI","AUTO"))=TRUE,_xll.PIArcVal(M$6,$C25, 0,"TPI","AUTO"),"")</f>
        <v>6.0069702565670013E-2</v>
      </c>
      <c r="N25" s="160">
        <f>IF(ISNUMBER(_xll.PIArcVal(N$6,$D25, 0,"TPI","AUTO"))=TRUE,_xll.PIArcVal(N$6,$D25, 0,"TPI","AUTO"),"")</f>
        <v>0.12544995546340942</v>
      </c>
      <c r="O25" s="160">
        <f>IF(ISNUMBER(_xll.PIArcVal(O$6,$C25, 0,"TPI","AUTO"))=TRUE,_xll.PIArcVal(O$6,$C25, 0,"TPI","AUTO"),"")</f>
        <v>29.422409057617188</v>
      </c>
      <c r="P25" s="160">
        <f>IF(ISNUMBER(_xll.PIArcVal(P$6,$D25, 0,"TPI","AUTO"))=TRUE,_xll.PIArcVal(P$6,$D25, 0,"TPI","AUTO"),"")</f>
        <v>29.085533142089844</v>
      </c>
      <c r="Q25" s="160">
        <f>IF(ISNUMBER(_xll.PIArcVal(Q$6,$C25, 0,"TPI","AUTO"))=TRUE,_xll.PIArcVal(Q$6,$C25, 0,"TPI","AUTO"),"")</f>
        <v>0.39342418313026428</v>
      </c>
      <c r="R25" s="160">
        <f>IF(ISNUMBER(_xll.PIArcVal(R$6,$D25, 0,"TPI","AUTO"))=TRUE,_xll.PIArcVal(R$6,$D25, 0,"TPI","AUTO"),"")</f>
        <v>0.5572211742401123</v>
      </c>
      <c r="S25" s="160">
        <f>IF(ISNUMBER(_xll.PIArcVal(S$6,$C25, 0,"TPI","AUTO"))=TRUE,_xll.PIArcVal(S$6,$C25, 0,"TPI","AUTO"),"")</f>
        <v>56.011753082275391</v>
      </c>
      <c r="T25" s="160">
        <f>IF(ISNUMBER(_xll.PIArcVal(T$6,$D25, 0,"TPI","AUTO"))=TRUE,_xll.PIArcVal(T$6,$D25, 0,"TPI","AUTO"),"")</f>
        <v>57.540431976318359</v>
      </c>
      <c r="U25" s="160">
        <f>IF(ISNUMBER(_xll.PIArcVal(U$6,$C25, 0,"TPI","AUTO"))=TRUE,_xll.PIArcVal(U$6,$C25, 0,"TPI","AUTO"),"")</f>
        <v>0.82908517122268677</v>
      </c>
      <c r="V25" s="160">
        <f>IF(ISNUMBER(_xll.PIArcVal(V$6,$D25, 0,"TPI","AUTO"))=TRUE,_xll.PIArcVal(V$6,$D25, 0,"TPI","AUTO"),"")</f>
        <v>0.71086245775222778</v>
      </c>
    </row>
    <row r="26" spans="2:22" ht="16.5" thickBot="1" x14ac:dyDescent="0.3">
      <c r="B26" s="118">
        <f t="shared" si="2"/>
        <v>46265</v>
      </c>
      <c r="C26" s="119">
        <f t="shared" si="0"/>
        <v>46265.770833333336</v>
      </c>
      <c r="D26" s="119">
        <f t="shared" si="1"/>
        <v>46266.270833333336</v>
      </c>
      <c r="E26" s="160">
        <f>IF(ISNUMBER(_xll.PIArcVal(E$6,$C26, 0,"TPI","AUTO"))=TRUE,_xll.PIArcVal(E$6,$C26, 0,"TPI","AUTO"),"")</f>
        <v>22.604328155517578</v>
      </c>
      <c r="F26" s="160">
        <f>IF(ISNUMBER(_xll.PIArcVal(F$6,$D26, 0,"TPI","AUTO"))=TRUE,_xll.PIArcVal(F$6,$D26, 0,"TPI","AUTO"),"")</f>
        <v>22.234939575195313</v>
      </c>
      <c r="G26" s="160">
        <f>IF(ISNUMBER(_xll.PIArcVal(G$6,$C26, 0,"TPI","AUTO"))=TRUE,_xll.PIArcVal(G$6,$C26, 0,"TPI","AUTO"),"")</f>
        <v>1.2683455944061279</v>
      </c>
      <c r="H26" s="160">
        <f>IF(ISNUMBER(_xll.PIArcVal(H$6,$D26, 0,"TPI","AUTO"))=TRUE,_xll.PIArcVal(H$6,$D26, 0,"TPI","AUTO"),"")</f>
        <v>1.1988584995269775</v>
      </c>
      <c r="I26" s="160">
        <f>IF(ISNUMBER(_xll.PIArcVal(I$6,$C26, 0,"TPI","AUTO"))=TRUE,_xll.PIArcVal(I$6,$C26, 0,"TPI","AUTO"),"")</f>
        <v>28.495849609375</v>
      </c>
      <c r="J26" s="160">
        <f>IF(ISNUMBER(_xll.PIArcVal(J$6,$D26, 0,"TPI","AUTO"))=TRUE,_xll.PIArcVal(J$6,$D26, 0,"TPI","AUTO"),"")</f>
        <v>28.5963134765625</v>
      </c>
      <c r="K26" s="160">
        <f>IF(ISNUMBER(_xll.PIArcVal(K$6,$C26, 0,"TPI","AUTO"))=TRUE,_xll.PIArcVal(K$6,$C26, 0,"TPI","AUTO"),"")</f>
        <v>22.97532844543457</v>
      </c>
      <c r="L26" s="160">
        <f>IF(ISNUMBER(_xll.PIArcVal(L$6,$D26, 0,"TPI","AUTO"))=TRUE,_xll.PIArcVal(L$6,$D26, 0,"TPI","AUTO"),"")</f>
        <v>22.950065612792969</v>
      </c>
      <c r="M26" s="160">
        <f>IF(ISNUMBER(_xll.PIArcVal(M$6,$C26, 0,"TPI","AUTO"))=TRUE,_xll.PIArcVal(M$6,$C26, 0,"TPI","AUTO"),"")</f>
        <v>0.13723689317703247</v>
      </c>
      <c r="N26" s="160">
        <f>IF(ISNUMBER(_xll.PIArcVal(N$6,$D26, 0,"TPI","AUTO"))=TRUE,_xll.PIArcVal(N$6,$D26, 0,"TPI","AUTO"),"")</f>
        <v>0.17933668196201324</v>
      </c>
      <c r="O26" s="160">
        <f>IF(ISNUMBER(_xll.PIArcVal(O$6,$C26, 0,"TPI","AUTO"))=TRUE,_xll.PIArcVal(O$6,$C26, 0,"TPI","AUTO"),"")</f>
        <v>29.232358932495117</v>
      </c>
      <c r="P26" s="160">
        <f>IF(ISNUMBER(_xll.PIArcVal(P$6,$D26, 0,"TPI","AUTO"))=TRUE,_xll.PIArcVal(P$6,$D26, 0,"TPI","AUTO"),"")</f>
        <v>29.035747528076172</v>
      </c>
      <c r="Q26" s="160">
        <f>IF(ISNUMBER(_xll.PIArcVal(Q$6,$C26, 0,"TPI","AUTO"))=TRUE,_xll.PIArcVal(Q$6,$C26, 0,"TPI","AUTO"),"")</f>
        <v>0.49724653363227844</v>
      </c>
      <c r="R26" s="160">
        <f>IF(ISNUMBER(_xll.PIArcVal(R$6,$D26, 0,"TPI","AUTO"))=TRUE,_xll.PIArcVal(R$6,$D26, 0,"TPI","AUTO"),"")</f>
        <v>0.49724653363227844</v>
      </c>
      <c r="S26" s="160">
        <f>IF(ISNUMBER(_xll.PIArcVal(S$6,$C26, 0,"TPI","AUTO"))=TRUE,_xll.PIArcVal(S$6,$C26, 0,"TPI","AUTO"),"")</f>
        <v>55.790214538574219</v>
      </c>
      <c r="T26" s="160">
        <f>IF(ISNUMBER(_xll.PIArcVal(T$6,$D26, 0,"TPI","AUTO"))=TRUE,_xll.PIArcVal(T$6,$D26, 0,"TPI","AUTO"),"")</f>
        <v>55.790214538574219</v>
      </c>
      <c r="U26" s="160">
        <f>IF(ISNUMBER(_xll.PIArcVal(U$6,$C26, 0,"TPI","AUTO"))=TRUE,_xll.PIArcVal(U$6,$C26, 0,"TPI","AUTO"),"")</f>
        <v>0.74903416633605957</v>
      </c>
      <c r="V26" s="160">
        <f>IF(ISNUMBER(_xll.PIArcVal(V$6,$D26, 0,"TPI","AUTO"))=TRUE,_xll.PIArcVal(V$6,$D26, 0,"TPI","AUTO"),"")</f>
        <v>0.74903416633605957</v>
      </c>
    </row>
    <row r="27" spans="2:22" ht="16.5" thickBot="1" x14ac:dyDescent="0.3">
      <c r="B27" s="118">
        <f t="shared" si="2"/>
        <v>46266</v>
      </c>
      <c r="C27" s="119">
        <f t="shared" si="0"/>
        <v>46266.770833333336</v>
      </c>
      <c r="D27" s="119">
        <f t="shared" si="1"/>
        <v>46267.270833333336</v>
      </c>
      <c r="E27" s="160">
        <f>IF(ISNUMBER(_xll.PIArcVal(E$6,$C27, 0,"TPI","AUTO"))=TRUE,_xll.PIArcVal(E$6,$C27, 0,"TPI","AUTO"),"")</f>
        <v>21.570816040039063</v>
      </c>
      <c r="F27" s="160">
        <f>IF(ISNUMBER(_xll.PIArcVal(F$6,$D27, 0,"TPI","AUTO"))=TRUE,_xll.PIArcVal(F$6,$D27, 0,"TPI","AUTO"),"")</f>
        <v>22.481559753417969</v>
      </c>
      <c r="G27" s="160">
        <f>IF(ISNUMBER(_xll.PIArcVal(G$6,$C27, 0,"TPI","AUTO"))=TRUE,_xll.PIArcVal(G$6,$C27, 0,"TPI","AUTO"),"")</f>
        <v>1.8395336866378784</v>
      </c>
      <c r="H27" s="160">
        <f>IF(ISNUMBER(_xll.PIArcVal(H$6,$D27, 0,"TPI","AUTO"))=TRUE,_xll.PIArcVal(H$6,$D27, 0,"TPI","AUTO"),"")</f>
        <v>2.4774608612060547</v>
      </c>
      <c r="I27" s="160">
        <f>IF(ISNUMBER(_xll.PIArcVal(I$6,$C27, 0,"TPI","AUTO"))=TRUE,_xll.PIArcVal(I$6,$C27, 0,"TPI","AUTO"),"")</f>
        <v>27.663223266601563</v>
      </c>
      <c r="J27" s="160">
        <f>IF(ISNUMBER(_xll.PIArcVal(J$6,$D27, 0,"TPI","AUTO"))=TRUE,_xll.PIArcVal(J$6,$D27, 0,"TPI","AUTO"),"")</f>
        <v>28.908685684204102</v>
      </c>
      <c r="K27" s="160">
        <f>IF(ISNUMBER(_xll.PIArcVal(K$6,$C27, 0,"TPI","AUTO"))=TRUE,_xll.PIArcVal(K$6,$C27, 0,"TPI","AUTO"),"")</f>
        <v>22.950065612792969</v>
      </c>
      <c r="L27" s="160">
        <f>IF(ISNUMBER(_xll.PIArcVal(L$6,$D27, 0,"TPI","AUTO"))=TRUE,_xll.PIArcVal(L$6,$D27, 0,"TPI","AUTO"),"")</f>
        <v>22.364408493041992</v>
      </c>
      <c r="M27" s="160">
        <f>IF(ISNUMBER(_xll.PIArcVal(M$6,$C27, 0,"TPI","AUTO"))=TRUE,_xll.PIArcVal(M$6,$C27, 0,"TPI","AUTO"),"")</f>
        <v>0.17933668196201324</v>
      </c>
      <c r="N27" s="160">
        <f>IF(ISNUMBER(_xll.PIArcVal(N$6,$D27, 0,"TPI","AUTO"))=TRUE,_xll.PIArcVal(N$6,$D27, 0,"TPI","AUTO"),"")</f>
        <v>0.85045719146728516</v>
      </c>
      <c r="O27" s="160">
        <f>IF(ISNUMBER(_xll.PIArcVal(O$6,$C27, 0,"TPI","AUTO"))=TRUE,_xll.PIArcVal(O$6,$C27, 0,"TPI","AUTO"),"")</f>
        <v>29.035747528076172</v>
      </c>
      <c r="P27" s="160">
        <f>IF(ISNUMBER(_xll.PIArcVal(P$6,$D27, 0,"TPI","AUTO"))=TRUE,_xll.PIArcVal(P$6,$D27, 0,"TPI","AUTO"),"")</f>
        <v>27.969631195068359</v>
      </c>
      <c r="Q27" s="160">
        <f>IF(ISNUMBER(_xll.PIArcVal(Q$6,$C27, 0,"TPI","AUTO"))=TRUE,_xll.PIArcVal(Q$6,$C27, 0,"TPI","AUTO"),"")</f>
        <v>0.49724653363227844</v>
      </c>
      <c r="R27" s="160">
        <f>IF(ISNUMBER(_xll.PIArcVal(R$6,$D27, 0,"TPI","AUTO"))=TRUE,_xll.PIArcVal(R$6,$D27, 0,"TPI","AUTO"),"")</f>
        <v>0.49724653363227844</v>
      </c>
      <c r="S27" s="160">
        <f>IF(ISNUMBER(_xll.PIArcVal(S$6,$C27, 0,"TPI","AUTO"))=TRUE,_xll.PIArcVal(S$6,$C27, 0,"TPI","AUTO"),"")</f>
        <v>55.790214538574219</v>
      </c>
      <c r="T27" s="160">
        <f>IF(ISNUMBER(_xll.PIArcVal(T$6,$D27, 0,"TPI","AUTO"))=TRUE,_xll.PIArcVal(T$6,$D27, 0,"TPI","AUTO"),"")</f>
        <v>55.790214538574219</v>
      </c>
      <c r="U27" s="160">
        <f>IF(ISNUMBER(_xll.PIArcVal(U$6,$C27, 0,"TPI","AUTO"))=TRUE,_xll.PIArcVal(U$6,$C27, 0,"TPI","AUTO"),"")</f>
        <v>0.74903416633605957</v>
      </c>
      <c r="V27" s="160">
        <f>IF(ISNUMBER(_xll.PIArcVal(V$6,$D27, 0,"TPI","AUTO"))=TRUE,_xll.PIArcVal(V$6,$D27, 0,"TPI","AUTO"),"")</f>
        <v>0.74903416633605957</v>
      </c>
    </row>
    <row r="28" spans="2:22" ht="16.5" thickBot="1" x14ac:dyDescent="0.3">
      <c r="B28" s="118">
        <f t="shared" si="2"/>
        <v>46267</v>
      </c>
      <c r="C28" s="119">
        <f t="shared" si="0"/>
        <v>46267.770833333336</v>
      </c>
      <c r="D28" s="119">
        <f t="shared" si="1"/>
        <v>46268.270833333336</v>
      </c>
      <c r="E28" s="160">
        <f>IF(ISNUMBER(_xll.PIArcVal(E$6,$C28, 0,"TPI","AUTO"))=TRUE,_xll.PIArcVal(E$6,$C28, 0,"TPI","AUTO"),"")</f>
        <v>24.347196578979492</v>
      </c>
      <c r="F28" s="160">
        <f>IF(ISNUMBER(_xll.PIArcVal(F$6,$D28, 0,"TPI","AUTO"))=TRUE,_xll.PIArcVal(F$6,$D28, 0,"TPI","AUTO"),"")</f>
        <v>23.374361038208008</v>
      </c>
      <c r="G28" s="160">
        <f>IF(ISNUMBER(_xll.PIArcVal(G$6,$C28, 0,"TPI","AUTO"))=TRUE,_xll.PIArcVal(G$6,$C28, 0,"TPI","AUTO"),"")</f>
        <v>2.4923830032348633</v>
      </c>
      <c r="H28" s="160">
        <f>IF(ISNUMBER(_xll.PIArcVal(H$6,$D28, 0,"TPI","AUTO"))=TRUE,_xll.PIArcVal(H$6,$D28, 0,"TPI","AUTO"),"")</f>
        <v>2.3033030033111572</v>
      </c>
      <c r="I28" s="160">
        <f>IF(ISNUMBER(_xll.PIArcVal(I$6,$C28, 0,"TPI","AUTO"))=TRUE,_xll.PIArcVal(I$6,$C28, 0,"TPI","AUTO"),"")</f>
        <v>29.583076477050781</v>
      </c>
      <c r="J28" s="160">
        <f>IF(ISNUMBER(_xll.PIArcVal(J$6,$D28, 0,"TPI","AUTO"))=TRUE,_xll.PIArcVal(J$6,$D28, 0,"TPI","AUTO"),"")</f>
        <v>28.93815803527832</v>
      </c>
      <c r="K28" s="160">
        <f>IF(ISNUMBER(_xll.PIArcVal(K$6,$C28, 0,"TPI","AUTO"))=TRUE,_xll.PIArcVal(K$6,$C28, 0,"TPI","AUTO"),"")</f>
        <v>22.362728118896484</v>
      </c>
      <c r="L28" s="160">
        <f>IF(ISNUMBER(_xll.PIArcVal(L$6,$D28, 0,"TPI","AUTO"))=TRUE,_xll.PIArcVal(L$6,$D28, 0,"TPI","AUTO"),"")</f>
        <v>23.310703277587891</v>
      </c>
      <c r="M28" s="160">
        <f>IF(ISNUMBER(_xll.PIArcVal(M$6,$C28, 0,"TPI","AUTO"))=TRUE,_xll.PIArcVal(M$6,$C28, 0,"TPI","AUTO"),"")</f>
        <v>1.069115161895752</v>
      </c>
      <c r="N28" s="160">
        <f>IF(ISNUMBER(_xll.PIArcVal(N$6,$D28, 0,"TPI","AUTO"))=TRUE,_xll.PIArcVal(N$6,$D28, 0,"TPI","AUTO"),"")</f>
        <v>0.20690819621086121</v>
      </c>
      <c r="O28" s="160">
        <f>IF(ISNUMBER(_xll.PIArcVal(O$6,$C28, 0,"TPI","AUTO"))=TRUE,_xll.PIArcVal(O$6,$C28, 0,"TPI","AUTO"),"")</f>
        <v>28.6943359375</v>
      </c>
      <c r="P28" s="160">
        <f>IF(ISNUMBER(_xll.PIArcVal(P$6,$D28, 0,"TPI","AUTO"))=TRUE,_xll.PIArcVal(P$6,$D28, 0,"TPI","AUTO"),"")</f>
        <v>29.032255172729492</v>
      </c>
      <c r="Q28" s="160">
        <f>IF(ISNUMBER(_xll.PIArcVal(Q$6,$C28, 0,"TPI","AUTO"))=TRUE,_xll.PIArcVal(Q$6,$C28, 0,"TPI","AUTO"),"")</f>
        <v>0.85389852523803711</v>
      </c>
      <c r="R28" s="160">
        <f>IF(ISNUMBER(_xll.PIArcVal(R$6,$D28, 0,"TPI","AUTO"))=TRUE,_xll.PIArcVal(R$6,$D28, 0,"TPI","AUTO"),"")</f>
        <v>0.63955205678939819</v>
      </c>
      <c r="S28" s="160">
        <f>IF(ISNUMBER(_xll.PIArcVal(S$6,$C28, 0,"TPI","AUTO"))=TRUE,_xll.PIArcVal(S$6,$C28, 0,"TPI","AUTO"),"")</f>
        <v>50</v>
      </c>
      <c r="T28" s="160">
        <f>IF(ISNUMBER(_xll.PIArcVal(T$6,$D28, 0,"TPI","AUTO"))=TRUE,_xll.PIArcVal(T$6,$D28, 0,"TPI","AUTO"),"")</f>
        <v>54.681602478027344</v>
      </c>
      <c r="U28" s="160">
        <f>IF(ISNUMBER(_xll.PIArcVal(U$6,$C28, 0,"TPI","AUTO"))=TRUE,_xll.PIArcVal(U$6,$C28, 0,"TPI","AUTO"),"")</f>
        <v>4.8867397308349609</v>
      </c>
      <c r="V28" s="160">
        <f>IF(ISNUMBER(_xll.PIArcVal(V$6,$D28, 0,"TPI","AUTO"))=TRUE,_xll.PIArcVal(V$6,$D28, 0,"TPI","AUTO"),"")</f>
        <v>1.9930775165557861</v>
      </c>
    </row>
    <row r="29" spans="2:22" ht="16.5" thickBot="1" x14ac:dyDescent="0.3">
      <c r="B29" s="118">
        <f t="shared" si="2"/>
        <v>46268</v>
      </c>
      <c r="C29" s="119">
        <f t="shared" si="0"/>
        <v>46268.770833333336</v>
      </c>
      <c r="D29" s="119">
        <f t="shared" si="1"/>
        <v>46269.270833333336</v>
      </c>
      <c r="E29" s="160">
        <f>IF(ISNUMBER(_xll.PIArcVal(E$6,$C29, 0,"TPI","AUTO"))=TRUE,_xll.PIArcVal(E$6,$C29, 0,"TPI","AUTO"),"")</f>
        <v>22.50579833984375</v>
      </c>
      <c r="F29" s="160">
        <f>IF(ISNUMBER(_xll.PIArcVal(F$6,$D29, 0,"TPI","AUTO"))=TRUE,_xll.PIArcVal(F$6,$D29, 0,"TPI","AUTO"),"")</f>
        <v>22.958297729492188</v>
      </c>
      <c r="G29" s="160">
        <f>IF(ISNUMBER(_xll.PIArcVal(G$6,$C29, 0,"TPI","AUTO"))=TRUE,_xll.PIArcVal(G$6,$C29, 0,"TPI","AUTO"),"")</f>
        <v>2.4225966930389404</v>
      </c>
      <c r="H29" s="160">
        <f>IF(ISNUMBER(_xll.PIArcVal(H$6,$D29, 0,"TPI","AUTO"))=TRUE,_xll.PIArcVal(H$6,$D29, 0,"TPI","AUTO"),"")</f>
        <v>1.8730242252349854</v>
      </c>
      <c r="I29" s="160">
        <f>IF(ISNUMBER(_xll.PIArcVal(I$6,$C29, 0,"TPI","AUTO"))=TRUE,_xll.PIArcVal(I$6,$C29, 0,"TPI","AUTO"),"")</f>
        <v>29.058753967285156</v>
      </c>
      <c r="J29" s="160">
        <f>IF(ISNUMBER(_xll.PIArcVal(J$6,$D29, 0,"TPI","AUTO"))=TRUE,_xll.PIArcVal(J$6,$D29, 0,"TPI","AUTO"),"")</f>
        <v>28.734310150146484</v>
      </c>
      <c r="K29" s="160">
        <f>IF(ISNUMBER(_xll.PIArcVal(K$6,$C29, 0,"TPI","AUTO"))=TRUE,_xll.PIArcVal(K$6,$C29, 0,"TPI","AUTO"),"")</f>
        <v>22.593915939331055</v>
      </c>
      <c r="L29" s="160">
        <f>IF(ISNUMBER(_xll.PIArcVal(L$6,$D29, 0,"TPI","AUTO"))=TRUE,_xll.PIArcVal(L$6,$D29, 0,"TPI","AUTO"),"")</f>
        <v>22.245033264160156</v>
      </c>
      <c r="M29" s="160">
        <f>IF(ISNUMBER(_xll.PIArcVal(M$6,$C29, 0,"TPI","AUTO"))=TRUE,_xll.PIArcVal(M$6,$C29, 0,"TPI","AUTO"),"")</f>
        <v>0.49336770176887512</v>
      </c>
      <c r="N29" s="160">
        <f>IF(ISNUMBER(_xll.PIArcVal(N$6,$D29, 0,"TPI","AUTO"))=TRUE,_xll.PIArcVal(N$6,$D29, 0,"TPI","AUTO"),"")</f>
        <v>9.0064592659473419E-2</v>
      </c>
      <c r="O29" s="160">
        <f>IF(ISNUMBER(_xll.PIArcVal(O$6,$C29, 0,"TPI","AUTO"))=TRUE,_xll.PIArcVal(O$6,$C29, 0,"TPI","AUTO"),"")</f>
        <v>28.929935455322266</v>
      </c>
      <c r="P29" s="160">
        <f>IF(ISNUMBER(_xll.PIArcVal(P$6,$D29, 0,"TPI","AUTO"))=TRUE,_xll.PIArcVal(P$6,$D29, 0,"TPI","AUTO"),"")</f>
        <v>29.46795654296875</v>
      </c>
      <c r="Q29" s="160">
        <f>IF(ISNUMBER(_xll.PIArcVal(Q$6,$C29, 0,"TPI","AUTO"))=TRUE,_xll.PIArcVal(Q$6,$C29, 0,"TPI","AUTO"),"")</f>
        <v>0.50771427154541016</v>
      </c>
      <c r="R29" s="160">
        <f>IF(ISNUMBER(_xll.PIArcVal(R$6,$D29, 0,"TPI","AUTO"))=TRUE,_xll.PIArcVal(R$6,$D29, 0,"TPI","AUTO"),"")</f>
        <v>0.52816736698150635</v>
      </c>
      <c r="S29" s="160">
        <f>IF(ISNUMBER(_xll.PIArcVal(S$6,$C29, 0,"TPI","AUTO"))=TRUE,_xll.PIArcVal(S$6,$C29, 0,"TPI","AUTO"),"")</f>
        <v>56.021316528320313</v>
      </c>
      <c r="T29" s="160">
        <f>IF(ISNUMBER(_xll.PIArcVal(T$6,$D29, 0,"TPI","AUTO"))=TRUE,_xll.PIArcVal(T$6,$D29, 0,"TPI","AUTO"),"")</f>
        <v>56.302833557128906</v>
      </c>
      <c r="U29" s="160">
        <f>IF(ISNUMBER(_xll.PIArcVal(U$6,$C29, 0,"TPI","AUTO"))=TRUE,_xll.PIArcVal(U$6,$C29, 0,"TPI","AUTO"),"")</f>
        <v>1.1316992044448853</v>
      </c>
      <c r="V29" s="160">
        <f>IF(ISNUMBER(_xll.PIArcVal(V$6,$D29, 0,"TPI","AUTO"))=TRUE,_xll.PIArcVal(V$6,$D29, 0,"TPI","AUTO"),"")</f>
        <v>0.89176481962203979</v>
      </c>
    </row>
    <row r="30" spans="2:22" ht="16.5" thickBot="1" x14ac:dyDescent="0.3">
      <c r="B30" s="118">
        <f t="shared" si="2"/>
        <v>46269</v>
      </c>
      <c r="C30" s="119">
        <f t="shared" si="0"/>
        <v>46269.770833333336</v>
      </c>
      <c r="D30" s="119">
        <f t="shared" si="1"/>
        <v>46270.270833333336</v>
      </c>
      <c r="E30" s="160">
        <f>IF(ISNUMBER(_xll.PIArcVal(E$6,$C30, 0,"TPI","AUTO"))=TRUE,_xll.PIArcVal(E$6,$C30, 0,"TPI","AUTO"),"")</f>
        <v>19.754337310791016</v>
      </c>
      <c r="F30" s="160">
        <f>IF(ISNUMBER(_xll.PIArcVal(F$6,$D30, 0,"TPI","AUTO"))=TRUE,_xll.PIArcVal(F$6,$D30, 0,"TPI","AUTO"),"")</f>
        <v>19.754337310791016</v>
      </c>
      <c r="G30" s="160">
        <f>IF(ISNUMBER(_xll.PIArcVal(G$6,$C30, 0,"TPI","AUTO"))=TRUE,_xll.PIArcVal(G$6,$C30, 0,"TPI","AUTO"),"")</f>
        <v>1.5055280923843384</v>
      </c>
      <c r="H30" s="160">
        <f>IF(ISNUMBER(_xll.PIArcVal(H$6,$D30, 0,"TPI","AUTO"))=TRUE,_xll.PIArcVal(H$6,$D30, 0,"TPI","AUTO"),"")</f>
        <v>1.5055280923843384</v>
      </c>
      <c r="I30" s="160">
        <f>IF(ISNUMBER(_xll.PIArcVal(I$6,$C30, 0,"TPI","AUTO"))=TRUE,_xll.PIArcVal(I$6,$C30, 0,"TPI","AUTO"),"")</f>
        <v>26.54240608215332</v>
      </c>
      <c r="J30" s="160">
        <f>IF(ISNUMBER(_xll.PIArcVal(J$6,$D30, 0,"TPI","AUTO"))=TRUE,_xll.PIArcVal(J$6,$D30, 0,"TPI","AUTO"),"")</f>
        <v>26.54240608215332</v>
      </c>
      <c r="K30" s="160">
        <f>IF(ISNUMBER(_xll.PIArcVal(K$6,$C30, 0,"TPI","AUTO"))=TRUE,_xll.PIArcVal(K$6,$C30, 0,"TPI","AUTO"),"")</f>
        <v>21.316932678222656</v>
      </c>
      <c r="L30" s="160">
        <f>IF(ISNUMBER(_xll.PIArcVal(L$6,$D30, 0,"TPI","AUTO"))=TRUE,_xll.PIArcVal(L$6,$D30, 0,"TPI","AUTO"),"")</f>
        <v>21.316932678222656</v>
      </c>
      <c r="M30" s="160">
        <f>IF(ISNUMBER(_xll.PIArcVal(M$6,$C30, 0,"TPI","AUTO"))=TRUE,_xll.PIArcVal(M$6,$C30, 0,"TPI","AUTO"),"")</f>
        <v>0.17403541505336761</v>
      </c>
      <c r="N30" s="160">
        <f>IF(ISNUMBER(_xll.PIArcVal(N$6,$D30, 0,"TPI","AUTO"))=TRUE,_xll.PIArcVal(N$6,$D30, 0,"TPI","AUTO"),"")</f>
        <v>0.17403541505336761</v>
      </c>
      <c r="O30" s="160">
        <f>IF(ISNUMBER(_xll.PIArcVal(O$6,$C30, 0,"TPI","AUTO"))=TRUE,_xll.PIArcVal(O$6,$C30, 0,"TPI","AUTO"),"")</f>
        <v>29.206954956054688</v>
      </c>
      <c r="P30" s="160">
        <f>IF(ISNUMBER(_xll.PIArcVal(P$6,$D30, 0,"TPI","AUTO"))=TRUE,_xll.PIArcVal(P$6,$D30, 0,"TPI","AUTO"),"")</f>
        <v>29.206954956054688</v>
      </c>
      <c r="Q30" s="160">
        <f>IF(ISNUMBER(_xll.PIArcVal(Q$6,$C30, 0,"TPI","AUTO"))=TRUE,_xll.PIArcVal(Q$6,$C30, 0,"TPI","AUTO"),"")</f>
        <v>0.54723149538040161</v>
      </c>
      <c r="R30" s="160">
        <f>IF(ISNUMBER(_xll.PIArcVal(R$6,$D30, 0,"TPI","AUTO"))=TRUE,_xll.PIArcVal(R$6,$D30, 0,"TPI","AUTO"),"")</f>
        <v>0.54723149538040161</v>
      </c>
      <c r="S30" s="160">
        <f>IF(ISNUMBER(_xll.PIArcVal(S$6,$C30, 0,"TPI","AUTO"))=TRUE,_xll.PIArcVal(S$6,$C30, 0,"TPI","AUTO"),"")</f>
        <v>56.945362091064453</v>
      </c>
      <c r="T30" s="160">
        <f>IF(ISNUMBER(_xll.PIArcVal(T$6,$D30, 0,"TPI","AUTO"))=TRUE,_xll.PIArcVal(T$6,$D30, 0,"TPI","AUTO"),"")</f>
        <v>56.945362091064453</v>
      </c>
      <c r="U30" s="160">
        <f>IF(ISNUMBER(_xll.PIArcVal(U$6,$C30, 0,"TPI","AUTO"))=TRUE,_xll.PIArcVal(U$6,$C30, 0,"TPI","AUTO"),"")</f>
        <v>0.73578721284866333</v>
      </c>
      <c r="V30" s="160">
        <f>IF(ISNUMBER(_xll.PIArcVal(V$6,$D30, 0,"TPI","AUTO"))=TRUE,_xll.PIArcVal(V$6,$D30, 0,"TPI","AUTO"),"")</f>
        <v>0.73578721284866333</v>
      </c>
    </row>
    <row r="31" spans="2:22" ht="16.5" thickBot="1" x14ac:dyDescent="0.3">
      <c r="B31" s="118">
        <f t="shared" si="2"/>
        <v>46270</v>
      </c>
      <c r="C31" s="119">
        <f t="shared" si="0"/>
        <v>46270.770833333336</v>
      </c>
      <c r="D31" s="119">
        <f t="shared" si="1"/>
        <v>46271.270833333336</v>
      </c>
      <c r="E31" s="160">
        <f>IF(ISNUMBER(_xll.PIArcVal(E$6,$C31, 0,"TPI","AUTO"))=TRUE,_xll.PIArcVal(E$6,$C31, 0,"TPI","AUTO"),"")</f>
        <v>20.500843048095703</v>
      </c>
      <c r="F31" s="160">
        <f>IF(ISNUMBER(_xll.PIArcVal(F$6,$D31, 0,"TPI","AUTO"))=TRUE,_xll.PIArcVal(F$6,$D31, 0,"TPI","AUTO"),"")</f>
        <v>23.70465087890625</v>
      </c>
      <c r="G31" s="160">
        <f>IF(ISNUMBER(_xll.PIArcVal(G$6,$C31, 0,"TPI","AUTO"))=TRUE,_xll.PIArcVal(G$6,$C31, 0,"TPI","AUTO"),"")</f>
        <v>1.6340122222900391</v>
      </c>
      <c r="H31" s="160">
        <f>IF(ISNUMBER(_xll.PIArcVal(H$6,$D31, 0,"TPI","AUTO"))=TRUE,_xll.PIArcVal(H$6,$D31, 0,"TPI","AUTO"),"")</f>
        <v>1.7126438617706299</v>
      </c>
      <c r="I31" s="160">
        <f>IF(ISNUMBER(_xll.PIArcVal(I$6,$C31, 0,"TPI","AUTO"))=TRUE,_xll.PIArcVal(I$6,$C31, 0,"TPI","AUTO"),"")</f>
        <v>25.282142639160156</v>
      </c>
      <c r="J31" s="160">
        <f>IF(ISNUMBER(_xll.PIArcVal(J$6,$D31, 0,"TPI","AUTO"))=TRUE,_xll.PIArcVal(J$6,$D31, 0,"TPI","AUTO"),"")</f>
        <v>29.318016052246094</v>
      </c>
      <c r="K31" s="160">
        <f>IF(ISNUMBER(_xll.PIArcVal(K$6,$C31, 0,"TPI","AUTO"))=TRUE,_xll.PIArcVal(K$6,$C31, 0,"TPI","AUTO"),"")</f>
        <v>21.468421936035156</v>
      </c>
      <c r="L31" s="160">
        <f>IF(ISNUMBER(_xll.PIArcVal(L$6,$D31, 0,"TPI","AUTO"))=TRUE,_xll.PIArcVal(L$6,$D31, 0,"TPI","AUTO"),"")</f>
        <v>25.500570297241211</v>
      </c>
      <c r="M31" s="160">
        <f>IF(ISNUMBER(_xll.PIArcVal(M$6,$C31, 0,"TPI","AUTO"))=TRUE,_xll.PIArcVal(M$6,$C31, 0,"TPI","AUTO"),"")</f>
        <v>0.15090176463127136</v>
      </c>
      <c r="N31" s="160">
        <f>IF(ISNUMBER(_xll.PIArcVal(N$6,$D31, 0,"TPI","AUTO"))=TRUE,_xll.PIArcVal(N$6,$D31, 0,"TPI","AUTO"),"")</f>
        <v>0.15326644480228424</v>
      </c>
      <c r="O31" s="160">
        <f>IF(ISNUMBER(_xll.PIArcVal(O$6,$C31, 0,"TPI","AUTO"))=TRUE,_xll.PIArcVal(O$6,$C31, 0,"TPI","AUTO"),"")</f>
        <v>29.674982070922852</v>
      </c>
      <c r="P31" s="160">
        <f>IF(ISNUMBER(_xll.PIArcVal(P$6,$D31, 0,"TPI","AUTO"))=TRUE,_xll.PIArcVal(P$6,$D31, 0,"TPI","AUTO"),"")</f>
        <v>31.072154998779297</v>
      </c>
      <c r="Q31" s="160">
        <f>IF(ISNUMBER(_xll.PIArcVal(Q$6,$C31, 0,"TPI","AUTO"))=TRUE,_xll.PIArcVal(Q$6,$C31, 0,"TPI","AUTO"),"")</f>
        <v>0.59000951051712036</v>
      </c>
      <c r="R31" s="160">
        <f>IF(ISNUMBER(_xll.PIArcVal(R$6,$D31, 0,"TPI","AUTO"))=TRUE,_xll.PIArcVal(R$6,$D31, 0,"TPI","AUTO"),"")</f>
        <v>0.62747794389724731</v>
      </c>
      <c r="S31" s="160">
        <f>IF(ISNUMBER(_xll.PIArcVal(S$6,$C31, 0,"TPI","AUTO"))=TRUE,_xll.PIArcVal(S$6,$C31, 0,"TPI","AUTO"),"")</f>
        <v>56.349887847900391</v>
      </c>
      <c r="T31" s="160">
        <f>IF(ISNUMBER(_xll.PIArcVal(T$6,$D31, 0,"TPI","AUTO"))=TRUE,_xll.PIArcVal(T$6,$D31, 0,"TPI","AUTO"),"")</f>
        <v>56.272441864013672</v>
      </c>
      <c r="U31" s="160">
        <f>IF(ISNUMBER(_xll.PIArcVal(U$6,$C31, 0,"TPI","AUTO"))=TRUE,_xll.PIArcVal(U$6,$C31, 0,"TPI","AUTO"),"")</f>
        <v>0.67395442724227905</v>
      </c>
      <c r="V31" s="160">
        <f>IF(ISNUMBER(_xll.PIArcVal(V$6,$D31, 0,"TPI","AUTO"))=TRUE,_xll.PIArcVal(V$6,$D31, 0,"TPI","AUTO"),"")</f>
        <v>0.72237396240234375</v>
      </c>
    </row>
    <row r="32" spans="2:22" ht="16.5" thickBot="1" x14ac:dyDescent="0.3">
      <c r="B32" s="118">
        <f t="shared" si="2"/>
        <v>46271</v>
      </c>
      <c r="C32" s="119">
        <f t="shared" si="0"/>
        <v>46271.770833333336</v>
      </c>
      <c r="D32" s="119">
        <f t="shared" si="1"/>
        <v>46272.270833333336</v>
      </c>
      <c r="E32" s="160">
        <f>IF(ISNUMBER(_xll.PIArcVal(E$6,$C32, 0,"TPI","AUTO"))=TRUE,_xll.PIArcVal(E$6,$C32, 0,"TPI","AUTO"),"")</f>
        <v>23.074974060058594</v>
      </c>
      <c r="F32" s="160">
        <f>IF(ISNUMBER(_xll.PIArcVal(F$6,$D32, 0,"TPI","AUTO"))=TRUE,_xll.PIArcVal(F$6,$D32, 0,"TPI","AUTO"),"")</f>
        <v>22.871414184570313</v>
      </c>
      <c r="G32" s="160">
        <f>IF(ISNUMBER(_xll.PIArcVal(G$6,$C32, 0,"TPI","AUTO"))=TRUE,_xll.PIArcVal(G$6,$C32, 0,"TPI","AUTO"),"")</f>
        <v>2.2196602821350098</v>
      </c>
      <c r="H32" s="160">
        <f>IF(ISNUMBER(_xll.PIArcVal(H$6,$D32, 0,"TPI","AUTO"))=TRUE,_xll.PIArcVal(H$6,$D32, 0,"TPI","AUTO"),"")</f>
        <v>2.1810171604156494</v>
      </c>
      <c r="I32" s="160">
        <f>IF(ISNUMBER(_xll.PIArcVal(I$6,$C32, 0,"TPI","AUTO"))=TRUE,_xll.PIArcVal(I$6,$C32, 0,"TPI","AUTO"),"")</f>
        <v>28.432735443115234</v>
      </c>
      <c r="J32" s="160">
        <f>IF(ISNUMBER(_xll.PIArcVal(J$6,$D32, 0,"TPI","AUTO"))=TRUE,_xll.PIArcVal(J$6,$D32, 0,"TPI","AUTO"),"")</f>
        <v>26.925535202026367</v>
      </c>
      <c r="K32" s="160">
        <f>IF(ISNUMBER(_xll.PIArcVal(K$6,$C32, 0,"TPI","AUTO"))=TRUE,_xll.PIArcVal(K$6,$C32, 0,"TPI","AUTO"),"")</f>
        <v>24.990884780883789</v>
      </c>
      <c r="L32" s="160">
        <f>IF(ISNUMBER(_xll.PIArcVal(L$6,$D32, 0,"TPI","AUTO"))=TRUE,_xll.PIArcVal(L$6,$D32, 0,"TPI","AUTO"),"")</f>
        <v>25.59405517578125</v>
      </c>
      <c r="M32" s="160">
        <f>IF(ISNUMBER(_xll.PIArcVal(M$6,$C32, 0,"TPI","AUTO"))=TRUE,_xll.PIArcVal(M$6,$C32, 0,"TPI","AUTO"),"")</f>
        <v>5.4691430181264877E-2</v>
      </c>
      <c r="N32" s="160">
        <f>IF(ISNUMBER(_xll.PIArcVal(N$6,$D32, 0,"TPI","AUTO"))=TRUE,_xll.PIArcVal(N$6,$D32, 0,"TPI","AUTO"),"")</f>
        <v>9.6487991511821747E-2</v>
      </c>
      <c r="O32" s="160">
        <f>IF(ISNUMBER(_xll.PIArcVal(O$6,$C32, 0,"TPI","AUTO"))=TRUE,_xll.PIArcVal(O$6,$C32, 0,"TPI","AUTO"),"")</f>
        <v>30.635101318359375</v>
      </c>
      <c r="P32" s="160">
        <f>IF(ISNUMBER(_xll.PIArcVal(P$6,$D32, 0,"TPI","AUTO"))=TRUE,_xll.PIArcVal(P$6,$D32, 0,"TPI","AUTO"),"")</f>
        <v>30.628925323486328</v>
      </c>
      <c r="Q32" s="160">
        <f>IF(ISNUMBER(_xll.PIArcVal(Q$6,$C32, 0,"TPI","AUTO"))=TRUE,_xll.PIArcVal(Q$6,$C32, 0,"TPI","AUTO"),"")</f>
        <v>0.71669238805770874</v>
      </c>
      <c r="R32" s="160">
        <f>IF(ISNUMBER(_xll.PIArcVal(R$6,$D32, 0,"TPI","AUTO"))=TRUE,_xll.PIArcVal(R$6,$D32, 0,"TPI","AUTO"),"")</f>
        <v>0.66673463582992554</v>
      </c>
      <c r="S32" s="160">
        <f>IF(ISNUMBER(_xll.PIArcVal(S$6,$C32, 0,"TPI","AUTO"))=TRUE,_xll.PIArcVal(S$6,$C32, 0,"TPI","AUTO"),"")</f>
        <v>55.951023101806641</v>
      </c>
      <c r="T32" s="160">
        <f>IF(ISNUMBER(_xll.PIArcVal(T$6,$D32, 0,"TPI","AUTO"))=TRUE,_xll.PIArcVal(T$6,$D32, 0,"TPI","AUTO"),"")</f>
        <v>56.001426696777344</v>
      </c>
      <c r="U32" s="160">
        <f>IF(ISNUMBER(_xll.PIArcVal(U$6,$C32, 0,"TPI","AUTO"))=TRUE,_xll.PIArcVal(U$6,$C32, 0,"TPI","AUTO"),"")</f>
        <v>0.85430192947387695</v>
      </c>
      <c r="V32" s="160">
        <f>IF(ISNUMBER(_xll.PIArcVal(V$6,$D32, 0,"TPI","AUTO"))=TRUE,_xll.PIArcVal(V$6,$D32, 0,"TPI","AUTO"),"")</f>
        <v>0.79062825441360474</v>
      </c>
    </row>
    <row r="33" spans="2:22" ht="16.5" thickBot="1" x14ac:dyDescent="0.3">
      <c r="B33" s="118">
        <f t="shared" si="2"/>
        <v>46272</v>
      </c>
      <c r="C33" s="119">
        <f t="shared" si="0"/>
        <v>46272.770833333336</v>
      </c>
      <c r="D33" s="119">
        <f t="shared" si="1"/>
        <v>46273.270833333336</v>
      </c>
      <c r="E33" s="160">
        <f>IF(ISNUMBER(_xll.PIArcVal(E$6,$C33, 0,"TPI","AUTO"))=TRUE,_xll.PIArcVal(E$6,$C33, 0,"TPI","AUTO"),"")</f>
        <v>23.4122314453125</v>
      </c>
      <c r="F33" s="160">
        <f>IF(ISNUMBER(_xll.PIArcVal(F$6,$D33, 0,"TPI","AUTO"))=TRUE,_xll.PIArcVal(F$6,$D33, 0,"TPI","AUTO"),"")</f>
        <v>23.4122314453125</v>
      </c>
      <c r="G33" s="160">
        <f>IF(ISNUMBER(_xll.PIArcVal(G$6,$C33, 0,"TPI","AUTO"))=TRUE,_xll.PIArcVal(G$6,$C33, 0,"TPI","AUTO"),"")</f>
        <v>1.9882111549377441</v>
      </c>
      <c r="H33" s="160">
        <f>IF(ISNUMBER(_xll.PIArcVal(H$6,$D33, 0,"TPI","AUTO"))=TRUE,_xll.PIArcVal(H$6,$D33, 0,"TPI","AUTO"),"")</f>
        <v>1.9882111549377441</v>
      </c>
      <c r="I33" s="160">
        <f>IF(ISNUMBER(_xll.PIArcVal(I$6,$C33, 0,"TPI","AUTO"))=TRUE,_xll.PIArcVal(I$6,$C33, 0,"TPI","AUTO"),"")</f>
        <v>26.656661987304688</v>
      </c>
      <c r="J33" s="160">
        <f>IF(ISNUMBER(_xll.PIArcVal(J$6,$D33, 0,"TPI","AUTO"))=TRUE,_xll.PIArcVal(J$6,$D33, 0,"TPI","AUTO"),"")</f>
        <v>26.656661987304688</v>
      </c>
      <c r="K33" s="160">
        <f>IF(ISNUMBER(_xll.PIArcVal(K$6,$C33, 0,"TPI","AUTO"))=TRUE,_xll.PIArcVal(K$6,$C33, 0,"TPI","AUTO"),"")</f>
        <v>27.13728141784668</v>
      </c>
      <c r="L33" s="160">
        <f>IF(ISNUMBER(_xll.PIArcVal(L$6,$D33, 0,"TPI","AUTO"))=TRUE,_xll.PIArcVal(L$6,$D33, 0,"TPI","AUTO"),"")</f>
        <v>26.986896514892578</v>
      </c>
      <c r="M33" s="160">
        <f>IF(ISNUMBER(_xll.PIArcVal(M$6,$C33, 0,"TPI","AUTO"))=TRUE,_xll.PIArcVal(M$6,$C33, 0,"TPI","AUTO"),"")</f>
        <v>8.5849106311798096E-2</v>
      </c>
      <c r="N33" s="160">
        <f>IF(ISNUMBER(_xll.PIArcVal(N$6,$D33, 0,"TPI","AUTO"))=TRUE,_xll.PIArcVal(N$6,$D33, 0,"TPI","AUTO"),"")</f>
        <v>6.6281162202358246E-2</v>
      </c>
      <c r="O33" s="160">
        <f>IF(ISNUMBER(_xll.PIArcVal(O$6,$C33, 0,"TPI","AUTO"))=TRUE,_xll.PIArcVal(O$6,$C33, 0,"TPI","AUTO"),"")</f>
        <v>30.811515808105469</v>
      </c>
      <c r="P33" s="160">
        <f>IF(ISNUMBER(_xll.PIArcVal(P$6,$D33, 0,"TPI","AUTO"))=TRUE,_xll.PIArcVal(P$6,$D33, 0,"TPI","AUTO"),"")</f>
        <v>30.284336090087891</v>
      </c>
      <c r="Q33" s="160">
        <f>IF(ISNUMBER(_xll.PIArcVal(Q$6,$C33, 0,"TPI","AUTO"))=TRUE,_xll.PIArcVal(Q$6,$C33, 0,"TPI","AUTO"),"")</f>
        <v>0.63896381855010986</v>
      </c>
      <c r="R33" s="160">
        <f>IF(ISNUMBER(_xll.PIArcVal(R$6,$D33, 0,"TPI","AUTO"))=TRUE,_xll.PIArcVal(R$6,$D33, 0,"TPI","AUTO"),"")</f>
        <v>0.61430835723876953</v>
      </c>
      <c r="S33" s="160">
        <f>IF(ISNUMBER(_xll.PIArcVal(S$6,$C33, 0,"TPI","AUTO"))=TRUE,_xll.PIArcVal(S$6,$C33, 0,"TPI","AUTO"),"")</f>
        <v>55.468986511230469</v>
      </c>
      <c r="T33" s="160">
        <f>IF(ISNUMBER(_xll.PIArcVal(T$6,$D33, 0,"TPI","AUTO"))=TRUE,_xll.PIArcVal(T$6,$D33, 0,"TPI","AUTO"),"")</f>
        <v>55.944484710693359</v>
      </c>
      <c r="U33" s="160">
        <f>IF(ISNUMBER(_xll.PIArcVal(U$6,$C33, 0,"TPI","AUTO"))=TRUE,_xll.PIArcVal(U$6,$C33, 0,"TPI","AUTO"),"")</f>
        <v>0.80846917629241943</v>
      </c>
      <c r="V33" s="160">
        <f>IF(ISNUMBER(_xll.PIArcVal(V$6,$D33, 0,"TPI","AUTO"))=TRUE,_xll.PIArcVal(V$6,$D33, 0,"TPI","AUTO"),"")</f>
        <v>0.77429276704788208</v>
      </c>
    </row>
    <row r="34" spans="2:22" ht="16.5" thickBot="1" x14ac:dyDescent="0.3">
      <c r="B34" s="118">
        <f t="shared" si="2"/>
        <v>46273</v>
      </c>
      <c r="C34" s="119">
        <f t="shared" si="0"/>
        <v>46273.770833333336</v>
      </c>
      <c r="D34" s="119">
        <f t="shared" si="1"/>
        <v>46274.270833333336</v>
      </c>
      <c r="E34" s="160">
        <f>IF(ISNUMBER(_xll.PIArcVal(E$6,$C34, 0,"TPI","AUTO"))=TRUE,_xll.PIArcVal(E$6,$C34, 0,"TPI","AUTO"),"")</f>
        <v>23.4122314453125</v>
      </c>
      <c r="F34" s="160">
        <f>IF(ISNUMBER(_xll.PIArcVal(F$6,$D34, 0,"TPI","AUTO"))=TRUE,_xll.PIArcVal(F$6,$D34, 0,"TPI","AUTO"),"")</f>
        <v>25.597373962402344</v>
      </c>
      <c r="G34" s="160">
        <f>IF(ISNUMBER(_xll.PIArcVal(G$6,$C34, 0,"TPI","AUTO"))=TRUE,_xll.PIArcVal(G$6,$C34, 0,"TPI","AUTO"),"")</f>
        <v>1.9882111549377441</v>
      </c>
      <c r="H34" s="160">
        <f>IF(ISNUMBER(_xll.PIArcVal(H$6,$D34, 0,"TPI","AUTO"))=TRUE,_xll.PIArcVal(H$6,$D34, 0,"TPI","AUTO"),"")</f>
        <v>2.427558422088623</v>
      </c>
      <c r="I34" s="160">
        <f>IF(ISNUMBER(_xll.PIArcVal(I$6,$C34, 0,"TPI","AUTO"))=TRUE,_xll.PIArcVal(I$6,$C34, 0,"TPI","AUTO"),"")</f>
        <v>26.656661987304688</v>
      </c>
      <c r="J34" s="160">
        <f>IF(ISNUMBER(_xll.PIArcVal(J$6,$D34, 0,"TPI","AUTO"))=TRUE,_xll.PIArcVal(J$6,$D34, 0,"TPI","AUTO"),"")</f>
        <v>28.693515777587891</v>
      </c>
      <c r="K34" s="160">
        <f>IF(ISNUMBER(_xll.PIArcVal(K$6,$C34, 0,"TPI","AUTO"))=TRUE,_xll.PIArcVal(K$6,$C34, 0,"TPI","AUTO"),"")</f>
        <v>25.830345153808594</v>
      </c>
      <c r="L34" s="160">
        <f>IF(ISNUMBER(_xll.PIArcVal(L$6,$D34, 0,"TPI","AUTO"))=TRUE,_xll.PIArcVal(L$6,$D34, 0,"TPI","AUTO"),"")</f>
        <v>25.62885856628418</v>
      </c>
      <c r="M34" s="160">
        <f>IF(ISNUMBER(_xll.PIArcVal(M$6,$C34, 0,"TPI","AUTO"))=TRUE,_xll.PIArcVal(M$6,$C34, 0,"TPI","AUTO"),"")</f>
        <v>0.10891502350568771</v>
      </c>
      <c r="N34" s="160">
        <f>IF(ISNUMBER(_xll.PIArcVal(N$6,$D34, 0,"TPI","AUTO"))=TRUE,_xll.PIArcVal(N$6,$D34, 0,"TPI","AUTO"),"")</f>
        <v>9.5075011253356934E-2</v>
      </c>
      <c r="O34" s="160">
        <f>IF(ISNUMBER(_xll.PIArcVal(O$6,$C34, 0,"TPI","AUTO"))=TRUE,_xll.PIArcVal(O$6,$C34, 0,"TPI","AUTO"),"")</f>
        <v>30.050273895263672</v>
      </c>
      <c r="P34" s="160">
        <f>IF(ISNUMBER(_xll.PIArcVal(P$6,$D34, 0,"TPI","AUTO"))=TRUE,_xll.PIArcVal(P$6,$D34, 0,"TPI","AUTO"),"")</f>
        <v>29.321147918701172</v>
      </c>
      <c r="Q34" s="160">
        <f>IF(ISNUMBER(_xll.PIArcVal(Q$6,$C34, 0,"TPI","AUTO"))=TRUE,_xll.PIArcVal(Q$6,$C34, 0,"TPI","AUTO"),"")</f>
        <v>0.64969217777252197</v>
      </c>
      <c r="R34" s="160">
        <f>IF(ISNUMBER(_xll.PIArcVal(R$6,$D34, 0,"TPI","AUTO"))=TRUE,_xll.PIArcVal(R$6,$D34, 0,"TPI","AUTO"),"")</f>
        <v>0.70881867408752441</v>
      </c>
      <c r="S34" s="160">
        <f>IF(ISNUMBER(_xll.PIArcVal(S$6,$C34, 0,"TPI","AUTO"))=TRUE,_xll.PIArcVal(S$6,$C34, 0,"TPI","AUTO"),"")</f>
        <v>55.621616363525391</v>
      </c>
      <c r="T34" s="160">
        <f>IF(ISNUMBER(_xll.PIArcVal(T$6,$D34, 0,"TPI","AUTO"))=TRUE,_xll.PIArcVal(T$6,$D34, 0,"TPI","AUTO"),"")</f>
        <v>56.462387084960938</v>
      </c>
      <c r="U34" s="160">
        <f>IF(ISNUMBER(_xll.PIArcVal(U$6,$C34, 0,"TPI","AUTO"))=TRUE,_xll.PIArcVal(U$6,$C34, 0,"TPI","AUTO"),"")</f>
        <v>0.87993007898330688</v>
      </c>
      <c r="V34" s="160">
        <f>IF(ISNUMBER(_xll.PIArcVal(V$6,$D34, 0,"TPI","AUTO"))=TRUE,_xll.PIArcVal(V$6,$D34, 0,"TPI","AUTO"),"")</f>
        <v>0.91401469707489014</v>
      </c>
    </row>
    <row r="35" spans="2:22" ht="16.5" thickBot="1" x14ac:dyDescent="0.3">
      <c r="B35" s="118">
        <f t="shared" si="2"/>
        <v>46274</v>
      </c>
      <c r="C35" s="119">
        <f t="shared" si="0"/>
        <v>46274.770833333336</v>
      </c>
      <c r="D35" s="119">
        <f t="shared" si="1"/>
        <v>46275.270833333336</v>
      </c>
      <c r="E35" s="160">
        <f>IF(ISNUMBER(_xll.PIArcVal(E$6,$C35, 0,"TPI","AUTO"))=TRUE,_xll.PIArcVal(E$6,$C35, 0,"TPI","AUTO"),"")</f>
        <v>23.623220443725586</v>
      </c>
      <c r="F35" s="160">
        <f>IF(ISNUMBER(_xll.PIArcVal(F$6,$D35, 0,"TPI","AUTO"))=TRUE,_xll.PIArcVal(F$6,$D35, 0,"TPI","AUTO"),"")</f>
        <v>24.979143142700195</v>
      </c>
      <c r="G35" s="160">
        <f>IF(ISNUMBER(_xll.PIArcVal(G$6,$C35, 0,"TPI","AUTO"))=TRUE,_xll.PIArcVal(G$6,$C35, 0,"TPI","AUTO"),"")</f>
        <v>2.2709739208221436</v>
      </c>
      <c r="H35" s="160">
        <f>IF(ISNUMBER(_xll.PIArcVal(H$6,$D35, 0,"TPI","AUTO"))=TRUE,_xll.PIArcVal(H$6,$D35, 0,"TPI","AUTO"),"")</f>
        <v>2.8069972991943359</v>
      </c>
      <c r="I35" s="160">
        <f>IF(ISNUMBER(_xll.PIArcVal(I$6,$C35, 0,"TPI","AUTO"))=TRUE,_xll.PIArcVal(I$6,$C35, 0,"TPI","AUTO"),"")</f>
        <v>25.452836990356445</v>
      </c>
      <c r="J35" s="160">
        <f>IF(ISNUMBER(_xll.PIArcVal(J$6,$D35, 0,"TPI","AUTO"))=TRUE,_xll.PIArcVal(J$6,$D35, 0,"TPI","AUTO"),"")</f>
        <v>29.563499450683594</v>
      </c>
      <c r="K35" s="160">
        <f>IF(ISNUMBER(_xll.PIArcVal(K$6,$C35, 0,"TPI","AUTO"))=TRUE,_xll.PIArcVal(K$6,$C35, 0,"TPI","AUTO"),"")</f>
        <v>25.941305160522461</v>
      </c>
      <c r="L35" s="160">
        <f>IF(ISNUMBER(_xll.PIArcVal(L$6,$D35, 0,"TPI","AUTO"))=TRUE,_xll.PIArcVal(L$6,$D35, 0,"TPI","AUTO"),"")</f>
        <v>25.204212188720703</v>
      </c>
      <c r="M35" s="160">
        <f>IF(ISNUMBER(_xll.PIArcVal(M$6,$C35, 0,"TPI","AUTO"))=TRUE,_xll.PIArcVal(M$6,$C35, 0,"TPI","AUTO"),"")</f>
        <v>0.10948605090379715</v>
      </c>
      <c r="N35" s="160">
        <f>IF(ISNUMBER(_xll.PIArcVal(N$6,$D35, 0,"TPI","AUTO"))=TRUE,_xll.PIArcVal(N$6,$D35, 0,"TPI","AUTO"),"")</f>
        <v>6.9430828094482422E-2</v>
      </c>
      <c r="O35" s="160">
        <f>IF(ISNUMBER(_xll.PIArcVal(O$6,$C35, 0,"TPI","AUTO"))=TRUE,_xll.PIArcVal(O$6,$C35, 0,"TPI","AUTO"),"")</f>
        <v>29.290821075439453</v>
      </c>
      <c r="P35" s="160">
        <f>IF(ISNUMBER(_xll.PIArcVal(P$6,$D35, 0,"TPI","AUTO"))=TRUE,_xll.PIArcVal(P$6,$D35, 0,"TPI","AUTO"),"")</f>
        <v>29.142030715942383</v>
      </c>
      <c r="Q35" s="160">
        <f>IF(ISNUMBER(_xll.PIArcVal(Q$6,$C35, 0,"TPI","AUTO"))=TRUE,_xll.PIArcVal(Q$6,$C35, 0,"TPI","AUTO"),"")</f>
        <v>0.90763550996780396</v>
      </c>
      <c r="R35" s="160">
        <f>IF(ISNUMBER(_xll.PIArcVal(R$6,$D35, 0,"TPI","AUTO"))=TRUE,_xll.PIArcVal(R$6,$D35, 0,"TPI","AUTO"),"")</f>
        <v>0.85986596345901489</v>
      </c>
      <c r="S35" s="160">
        <f>IF(ISNUMBER(_xll.PIArcVal(S$6,$C35, 0,"TPI","AUTO"))=TRUE,_xll.PIArcVal(S$6,$C35, 0,"TPI","AUTO"),"")</f>
        <v>56.375556945800781</v>
      </c>
      <c r="T35" s="160">
        <f>IF(ISNUMBER(_xll.PIArcVal(T$6,$D35, 0,"TPI","AUTO"))=TRUE,_xll.PIArcVal(T$6,$D35, 0,"TPI","AUTO"),"")</f>
        <v>55.806068420410156</v>
      </c>
      <c r="U35" s="160">
        <f>IF(ISNUMBER(_xll.PIArcVal(U$6,$C35, 0,"TPI","AUTO"))=TRUE,_xll.PIArcVal(U$6,$C35, 0,"TPI","AUTO"),"")</f>
        <v>1.1859747171401978</v>
      </c>
      <c r="V35" s="160">
        <f>IF(ISNUMBER(_xll.PIArcVal(V$6,$D35, 0,"TPI","AUTO"))=TRUE,_xll.PIArcVal(V$6,$D35, 0,"TPI","AUTO"),"")</f>
        <v>1.1811318397521973</v>
      </c>
    </row>
    <row r="36" spans="2:22" ht="16.5" thickBot="1" x14ac:dyDescent="0.3">
      <c r="B36" s="118">
        <f t="shared" si="2"/>
        <v>46275</v>
      </c>
      <c r="C36" s="119">
        <f t="shared" si="0"/>
        <v>46275.770833333336</v>
      </c>
      <c r="D36" s="119">
        <f t="shared" si="1"/>
        <v>46276.270833333336</v>
      </c>
      <c r="E36" s="160">
        <f>IF(ISNUMBER(_xll.PIArcVal(E$6,$C36, 0,"TPI","AUTO"))=TRUE,_xll.PIArcVal(E$6,$C36, 0,"TPI","AUTO"),"")</f>
        <v>23.020315170288086</v>
      </c>
      <c r="F36" s="160">
        <f>IF(ISNUMBER(_xll.PIArcVal(F$6,$D36, 0,"TPI","AUTO"))=TRUE,_xll.PIArcVal(F$6,$D36, 0,"TPI","AUTO"),"")</f>
        <v>27.067319869995117</v>
      </c>
      <c r="G36" s="160">
        <f>IF(ISNUMBER(_xll.PIArcVal(G$6,$C36, 0,"TPI","AUTO"))=TRUE,_xll.PIArcVal(G$6,$C36, 0,"TPI","AUTO"),"")</f>
        <v>2.6013236045837402</v>
      </c>
      <c r="H36" s="160">
        <f>IF(ISNUMBER(_xll.PIArcVal(H$6,$D36, 0,"TPI","AUTO"))=TRUE,_xll.PIArcVal(H$6,$D36, 0,"TPI","AUTO"),"")</f>
        <v>2.6947493553161621</v>
      </c>
      <c r="I36" s="160">
        <f>IF(ISNUMBER(_xll.PIArcVal(I$6,$C36, 0,"TPI","AUTO"))=TRUE,_xll.PIArcVal(I$6,$C36, 0,"TPI","AUTO"),"")</f>
        <v>28.209714889526367</v>
      </c>
      <c r="J36" s="160">
        <f>IF(ISNUMBER(_xll.PIArcVal(J$6,$D36, 0,"TPI","AUTO"))=TRUE,_xll.PIArcVal(J$6,$D36, 0,"TPI","AUTO"),"")</f>
        <v>29.328254699707031</v>
      </c>
      <c r="K36" s="160">
        <f>IF(ISNUMBER(_xll.PIArcVal(K$6,$C36, 0,"TPI","AUTO"))=TRUE,_xll.PIArcVal(K$6,$C36, 0,"TPI","AUTO"),"")</f>
        <v>24.093988418579102</v>
      </c>
      <c r="L36" s="160">
        <f>IF(ISNUMBER(_xll.PIArcVal(L$6,$D36, 0,"TPI","AUTO"))=TRUE,_xll.PIArcVal(L$6,$D36, 0,"TPI","AUTO"),"")</f>
        <v>27.795993804931641</v>
      </c>
      <c r="M36" s="160">
        <f>IF(ISNUMBER(_xll.PIArcVal(M$6,$C36, 0,"TPI","AUTO"))=TRUE,_xll.PIArcVal(M$6,$C36, 0,"TPI","AUTO"),"")</f>
        <v>8.3107098937034607E-2</v>
      </c>
      <c r="N36" s="160">
        <f>IF(ISNUMBER(_xll.PIArcVal(N$6,$D36, 0,"TPI","AUTO"))=TRUE,_xll.PIArcVal(N$6,$D36, 0,"TPI","AUTO"),"")</f>
        <v>0.38959759473800659</v>
      </c>
      <c r="O36" s="160">
        <f>IF(ISNUMBER(_xll.PIArcVal(O$6,$C36, 0,"TPI","AUTO"))=TRUE,_xll.PIArcVal(O$6,$C36, 0,"TPI","AUTO"),"")</f>
        <v>28.112758636474609</v>
      </c>
      <c r="P36" s="160">
        <f>IF(ISNUMBER(_xll.PIArcVal(P$6,$D36, 0,"TPI","AUTO"))=TRUE,_xll.PIArcVal(P$6,$D36, 0,"TPI","AUTO"),"")</f>
        <v>29.862392425537109</v>
      </c>
      <c r="Q36" s="160">
        <f>IF(ISNUMBER(_xll.PIArcVal(Q$6,$C36, 0,"TPI","AUTO"))=TRUE,_xll.PIArcVal(Q$6,$C36, 0,"TPI","AUTO"),"")</f>
        <v>1.0506017208099365</v>
      </c>
      <c r="R36" s="160">
        <f>IF(ISNUMBER(_xll.PIArcVal(R$6,$D36, 0,"TPI","AUTO"))=TRUE,_xll.PIArcVal(R$6,$D36, 0,"TPI","AUTO"),"")</f>
        <v>0.69720637798309326</v>
      </c>
      <c r="S36" s="160">
        <f>IF(ISNUMBER(_xll.PIArcVal(S$6,$C36, 0,"TPI","AUTO"))=TRUE,_xll.PIArcVal(S$6,$C36, 0,"TPI","AUTO"),"")</f>
        <v>51.523078918457031</v>
      </c>
      <c r="T36" s="160">
        <f>IF(ISNUMBER(_xll.PIArcVal(T$6,$D36, 0,"TPI","AUTO"))=TRUE,_xll.PIArcVal(T$6,$D36, 0,"TPI","AUTO"),"")</f>
        <v>56.350315093994141</v>
      </c>
      <c r="U36" s="160">
        <f>IF(ISNUMBER(_xll.PIArcVal(U$6,$C36, 0,"TPI","AUTO"))=TRUE,_xll.PIArcVal(U$6,$C36, 0,"TPI","AUTO"),"")</f>
        <v>1.5074747800827026</v>
      </c>
      <c r="V36" s="160">
        <f>IF(ISNUMBER(_xll.PIArcVal(V$6,$D36, 0,"TPI","AUTO"))=TRUE,_xll.PIArcVal(V$6,$D36, 0,"TPI","AUTO"),"")</f>
        <v>0.97702711820602417</v>
      </c>
    </row>
    <row r="37" spans="2:22" ht="16.5" thickBot="1" x14ac:dyDescent="0.3">
      <c r="B37" s="118">
        <f t="shared" si="2"/>
        <v>46276</v>
      </c>
      <c r="C37" s="119">
        <f t="shared" si="0"/>
        <v>46276.770833333336</v>
      </c>
      <c r="D37" s="119">
        <f t="shared" si="1"/>
        <v>46277.270833333336</v>
      </c>
      <c r="E37" s="160">
        <f>IF(ISNUMBER(_xll.PIArcVal(E$6,$C37, 0,"TPI","AUTO"))=TRUE,_xll.PIArcVal(E$6,$C37, 0,"TPI","AUTO"),"")</f>
        <v>26.633718490600586</v>
      </c>
      <c r="F37" s="160">
        <f>IF(ISNUMBER(_xll.PIArcVal(F$6,$D37, 0,"TPI","AUTO"))=TRUE,_xll.PIArcVal(F$6,$D37, 0,"TPI","AUTO"),"")</f>
        <v>25.186441421508789</v>
      </c>
      <c r="G37" s="160">
        <f>IF(ISNUMBER(_xll.PIArcVal(G$6,$C37, 0,"TPI","AUTO"))=TRUE,_xll.PIArcVal(G$6,$C37, 0,"TPI","AUTO"),"")</f>
        <v>2.728614330291748</v>
      </c>
      <c r="H37" s="160">
        <f>IF(ISNUMBER(_xll.PIArcVal(H$6,$D37, 0,"TPI","AUTO"))=TRUE,_xll.PIArcVal(H$6,$D37, 0,"TPI","AUTO"),"")</f>
        <v>2.8998367786407471</v>
      </c>
      <c r="I37" s="160">
        <f>IF(ISNUMBER(_xll.PIArcVal(I$6,$C37, 0,"TPI","AUTO"))=TRUE,_xll.PIArcVal(I$6,$C37, 0,"TPI","AUTO"),"")</f>
        <v>29.400962829589844</v>
      </c>
      <c r="J37" s="160">
        <f>IF(ISNUMBER(_xll.PIArcVal(J$6,$D37, 0,"TPI","AUTO"))=TRUE,_xll.PIArcVal(J$6,$D37, 0,"TPI","AUTO"),"")</f>
        <v>28.211462020874023</v>
      </c>
      <c r="K37" s="160">
        <f>IF(ISNUMBER(_xll.PIArcVal(K$6,$C37, 0,"TPI","AUTO"))=TRUE,_xll.PIArcVal(K$6,$C37, 0,"TPI","AUTO"),"")</f>
        <v>26.973537445068359</v>
      </c>
      <c r="L37" s="160">
        <f>IF(ISNUMBER(_xll.PIArcVal(L$6,$D37, 0,"TPI","AUTO"))=TRUE,_xll.PIArcVal(L$6,$D37, 0,"TPI","AUTO"),"")</f>
        <v>26.553373336791992</v>
      </c>
      <c r="M37" s="160">
        <f>IF(ISNUMBER(_xll.PIArcVal(M$6,$C37, 0,"TPI","AUTO"))=TRUE,_xll.PIArcVal(M$6,$C37, 0,"TPI","AUTO"),"")</f>
        <v>0.30744925141334534</v>
      </c>
      <c r="N37" s="160">
        <f>IF(ISNUMBER(_xll.PIArcVal(N$6,$D37, 0,"TPI","AUTO"))=TRUE,_xll.PIArcVal(N$6,$D37, 0,"TPI","AUTO"),"")</f>
        <v>0.10706456750631332</v>
      </c>
      <c r="O37" s="160">
        <f>IF(ISNUMBER(_xll.PIArcVal(O$6,$C37, 0,"TPI","AUTO"))=TRUE,_xll.PIArcVal(O$6,$C37, 0,"TPI","AUTO"),"")</f>
        <v>29.247730255126953</v>
      </c>
      <c r="P37" s="160">
        <f>IF(ISNUMBER(_xll.PIArcVal(P$6,$D37, 0,"TPI","AUTO"))=TRUE,_xll.PIArcVal(P$6,$D37, 0,"TPI","AUTO"),"")</f>
        <v>28.81382942199707</v>
      </c>
      <c r="Q37" s="160">
        <f>IF(ISNUMBER(_xll.PIArcVal(Q$6,$C37, 0,"TPI","AUTO"))=TRUE,_xll.PIArcVal(Q$6,$C37, 0,"TPI","AUTO"),"")</f>
        <v>0.85412490367889404</v>
      </c>
      <c r="R37" s="160">
        <f>IF(ISNUMBER(_xll.PIArcVal(R$6,$D37, 0,"TPI","AUTO"))=TRUE,_xll.PIArcVal(R$6,$D37, 0,"TPI","AUTO"),"")</f>
        <v>0.73607480525970459</v>
      </c>
      <c r="S37" s="160">
        <f>IF(ISNUMBER(_xll.PIArcVal(S$6,$C37, 0,"TPI","AUTO"))=TRUE,_xll.PIArcVal(S$6,$C37, 0,"TPI","AUTO"),"")</f>
        <v>56.157756805419922</v>
      </c>
      <c r="T37" s="160">
        <f>IF(ISNUMBER(_xll.PIArcVal(T$6,$D37, 0,"TPI","AUTO"))=TRUE,_xll.PIArcVal(T$6,$D37, 0,"TPI","AUTO"),"")</f>
        <v>55.626434326171875</v>
      </c>
      <c r="U37" s="160">
        <f>IF(ISNUMBER(_xll.PIArcVal(U$6,$C37, 0,"TPI","AUTO"))=TRUE,_xll.PIArcVal(U$6,$C37, 0,"TPI","AUTO"),"")</f>
        <v>1.064218282699585</v>
      </c>
      <c r="V37" s="160">
        <f>IF(ISNUMBER(_xll.PIArcVal(V$6,$D37, 0,"TPI","AUTO"))=TRUE,_xll.PIArcVal(V$6,$D37, 0,"TPI","AUTO"),"")</f>
        <v>1.0956374406814575</v>
      </c>
    </row>
    <row r="38" spans="2:22" ht="16.5" thickBot="1" x14ac:dyDescent="0.3">
      <c r="B38" s="118">
        <f t="shared" si="2"/>
        <v>46277</v>
      </c>
      <c r="C38" s="119">
        <f t="shared" si="0"/>
        <v>46277.770833333336</v>
      </c>
      <c r="D38" s="119">
        <f t="shared" si="1"/>
        <v>46278.270833333336</v>
      </c>
      <c r="E38" s="160">
        <f>IF(ISNUMBER(_xll.PIArcVal(E$6,$C38, 0,"TPI","AUTO"))=TRUE,_xll.PIArcVal(E$6,$C38, 0,"TPI","AUTO"),"")</f>
        <v>25.249885559082031</v>
      </c>
      <c r="F38" s="160">
        <f>IF(ISNUMBER(_xll.PIArcVal(F$6,$D38, 0,"TPI","AUTO"))=TRUE,_xll.PIArcVal(F$6,$D38, 0,"TPI","AUTO"),"")</f>
        <v>24.969537734985352</v>
      </c>
      <c r="G38" s="160">
        <f>IF(ISNUMBER(_xll.PIArcVal(G$6,$C38, 0,"TPI","AUTO"))=TRUE,_xll.PIArcVal(G$6,$C38, 0,"TPI","AUTO"),"")</f>
        <v>2.8712384700775146</v>
      </c>
      <c r="H38" s="160">
        <f>IF(ISNUMBER(_xll.PIArcVal(H$6,$D38, 0,"TPI","AUTO"))=TRUE,_xll.PIArcVal(H$6,$D38, 0,"TPI","AUTO"),"")</f>
        <v>2.7573964595794678</v>
      </c>
      <c r="I38" s="160">
        <f>IF(ISNUMBER(_xll.PIArcVal(I$6,$C38, 0,"TPI","AUTO"))=TRUE,_xll.PIArcVal(I$6,$C38, 0,"TPI","AUTO"),"")</f>
        <v>28.095998764038086</v>
      </c>
      <c r="J38" s="160">
        <f>IF(ISNUMBER(_xll.PIArcVal(J$6,$D38, 0,"TPI","AUTO"))=TRUE,_xll.PIArcVal(J$6,$D38, 0,"TPI","AUTO"),"")</f>
        <v>28.106027603149414</v>
      </c>
      <c r="K38" s="160">
        <f>IF(ISNUMBER(_xll.PIArcVal(K$6,$C38, 0,"TPI","AUTO"))=TRUE,_xll.PIArcVal(K$6,$C38, 0,"TPI","AUTO"),"")</f>
        <v>27.450481414794922</v>
      </c>
      <c r="L38" s="160">
        <f>IF(ISNUMBER(_xll.PIArcVal(L$6,$D38, 0,"TPI","AUTO"))=TRUE,_xll.PIArcVal(L$6,$D38, 0,"TPI","AUTO"),"")</f>
        <v>26.031570434570313</v>
      </c>
      <c r="M38" s="160">
        <f>IF(ISNUMBER(_xll.PIArcVal(M$6,$C38, 0,"TPI","AUTO"))=TRUE,_xll.PIArcVal(M$6,$C38, 0,"TPI","AUTO"),"")</f>
        <v>0.10866567492485046</v>
      </c>
      <c r="N38" s="160">
        <f>IF(ISNUMBER(_xll.PIArcVal(N$6,$D38, 0,"TPI","AUTO"))=TRUE,_xll.PIArcVal(N$6,$D38, 0,"TPI","AUTO"),"")</f>
        <v>0.17398174107074738</v>
      </c>
      <c r="O38" s="160">
        <f>IF(ISNUMBER(_xll.PIArcVal(O$6,$C38, 0,"TPI","AUTO"))=TRUE,_xll.PIArcVal(O$6,$C38, 0,"TPI","AUTO"),"")</f>
        <v>29.284639358520508</v>
      </c>
      <c r="P38" s="160">
        <f>IF(ISNUMBER(_xll.PIArcVal(P$6,$D38, 0,"TPI","AUTO"))=TRUE,_xll.PIArcVal(P$6,$D38, 0,"TPI","AUTO"),"")</f>
        <v>28.868711471557617</v>
      </c>
      <c r="Q38" s="160">
        <f>IF(ISNUMBER(_xll.PIArcVal(Q$6,$C38, 0,"TPI","AUTO"))=TRUE,_xll.PIArcVal(Q$6,$C38, 0,"TPI","AUTO"),"")</f>
        <v>0.73820120096206665</v>
      </c>
      <c r="R38" s="160">
        <f>IF(ISNUMBER(_xll.PIArcVal(R$6,$D38, 0,"TPI","AUTO"))=TRUE,_xll.PIArcVal(R$6,$D38, 0,"TPI","AUTO"),"")</f>
        <v>0.7685895562171936</v>
      </c>
      <c r="S38" s="160">
        <f>IF(ISNUMBER(_xll.PIArcVal(S$6,$C38, 0,"TPI","AUTO"))=TRUE,_xll.PIArcVal(S$6,$C38, 0,"TPI","AUTO"),"")</f>
        <v>55.859203338623047</v>
      </c>
      <c r="T38" s="160">
        <f>IF(ISNUMBER(_xll.PIArcVal(T$6,$D38, 0,"TPI","AUTO"))=TRUE,_xll.PIArcVal(T$6,$D38, 0,"TPI","AUTO"),"")</f>
        <v>56.089130401611328</v>
      </c>
      <c r="U38" s="160">
        <f>IF(ISNUMBER(_xll.PIArcVal(U$6,$C38, 0,"TPI","AUTO"))=TRUE,_xll.PIArcVal(U$6,$C38, 0,"TPI","AUTO"),"")</f>
        <v>1.1127415895462036</v>
      </c>
      <c r="V38" s="160">
        <f>IF(ISNUMBER(_xll.PIArcVal(V$6,$D38, 0,"TPI","AUTO"))=TRUE,_xll.PIArcVal(V$6,$D38, 0,"TPI","AUTO"),"")</f>
        <v>1.0138088464736938</v>
      </c>
    </row>
    <row r="39" spans="2:22" ht="16.5" thickBot="1" x14ac:dyDescent="0.3">
      <c r="B39" s="118">
        <f t="shared" si="2"/>
        <v>46278</v>
      </c>
      <c r="C39" s="119">
        <f t="shared" si="0"/>
        <v>46278.770833333336</v>
      </c>
      <c r="D39" s="119">
        <f t="shared" si="1"/>
        <v>46279.270833333336</v>
      </c>
      <c r="E39" s="160">
        <f>IF(ISNUMBER(_xll.PIArcVal(E$6,$C39, 0,"TPI","AUTO"))=TRUE,_xll.PIArcVal(E$6,$C39, 0,"TPI","AUTO"),"")</f>
        <v>23.400463104248047</v>
      </c>
      <c r="F39" s="160" t="str">
        <f>IF(ISNUMBER(_xll.PIArcVal(F$6,$D39, 0,"TPI","AUTO"))=TRUE,_xll.PIArcVal(F$6,$D39, 0,"TPI","AUTO"),"")</f>
        <v/>
      </c>
      <c r="G39" s="160">
        <f>IF(ISNUMBER(_xll.PIArcVal(G$6,$C39, 0,"TPI","AUTO"))=TRUE,_xll.PIArcVal(G$6,$C39, 0,"TPI","AUTO"),"")</f>
        <v>1.8072060346603394</v>
      </c>
      <c r="H39" s="160" t="str">
        <f>IF(ISNUMBER(_xll.PIArcVal(H$6,$D39, 0,"TPI","AUTO"))=TRUE,_xll.PIArcVal(H$6,$D39, 0,"TPI","AUTO"),"")</f>
        <v/>
      </c>
      <c r="I39" s="160">
        <f>IF(ISNUMBER(_xll.PIArcVal(I$6,$C39, 0,"TPI","AUTO"))=TRUE,_xll.PIArcVal(I$6,$C39, 0,"TPI","AUTO"),"")</f>
        <v>27.310827255249023</v>
      </c>
      <c r="J39" s="160" t="str">
        <f>IF(ISNUMBER(_xll.PIArcVal(J$6,$D39, 0,"TPI","AUTO"))=TRUE,_xll.PIArcVal(J$6,$D39, 0,"TPI","AUTO"),"")</f>
        <v/>
      </c>
      <c r="K39" s="160">
        <f>IF(ISNUMBER(_xll.PIArcVal(K$6,$C39, 0,"TPI","AUTO"))=TRUE,_xll.PIArcVal(K$6,$C39, 0,"TPI","AUTO"),"")</f>
        <v>24.849987030029297</v>
      </c>
      <c r="L39" s="160" t="str">
        <f>IF(ISNUMBER(_xll.PIArcVal(L$6,$D39, 0,"TPI","AUTO"))=TRUE,_xll.PIArcVal(L$6,$D39, 0,"TPI","AUTO"),"")</f>
        <v/>
      </c>
      <c r="M39" s="160">
        <f>IF(ISNUMBER(_xll.PIArcVal(M$6,$C39, 0,"TPI","AUTO"))=TRUE,_xll.PIArcVal(M$6,$C39, 0,"TPI","AUTO"),"")</f>
        <v>7.5125448405742645E-2</v>
      </c>
      <c r="N39" s="160" t="str">
        <f>IF(ISNUMBER(_xll.PIArcVal(N$6,$D39, 0,"TPI","AUTO"))=TRUE,_xll.PIArcVal(N$6,$D39, 0,"TPI","AUTO"),"")</f>
        <v/>
      </c>
      <c r="O39" s="160">
        <f>IF(ISNUMBER(_xll.PIArcVal(O$6,$C39, 0,"TPI","AUTO"))=TRUE,_xll.PIArcVal(O$6,$C39, 0,"TPI","AUTO"),"")</f>
        <v>28.761812210083008</v>
      </c>
      <c r="P39" s="160" t="str">
        <f>IF(ISNUMBER(_xll.PIArcVal(P$6,$D39, 0,"TPI","AUTO"))=TRUE,_xll.PIArcVal(P$6,$D39, 0,"TPI","AUTO"),"")</f>
        <v/>
      </c>
      <c r="Q39" s="160">
        <f>IF(ISNUMBER(_xll.PIArcVal(Q$6,$C39, 0,"TPI","AUTO"))=TRUE,_xll.PIArcVal(Q$6,$C39, 0,"TPI","AUTO"),"")</f>
        <v>0.73974072933197021</v>
      </c>
      <c r="R39" s="160" t="str">
        <f>IF(ISNUMBER(_xll.PIArcVal(R$6,$D39, 0,"TPI","AUTO"))=TRUE,_xll.PIArcVal(R$6,$D39, 0,"TPI","AUTO"),"")</f>
        <v/>
      </c>
      <c r="S39" s="160">
        <f>IF(ISNUMBER(_xll.PIArcVal(S$6,$C39, 0,"TPI","AUTO"))=TRUE,_xll.PIArcVal(S$6,$C39, 0,"TPI","AUTO"),"")</f>
        <v>55.927764892578125</v>
      </c>
      <c r="T39" s="160" t="str">
        <f>IF(ISNUMBER(_xll.PIArcVal(T$6,$D39, 0,"TPI","AUTO"))=TRUE,_xll.PIArcVal(T$6,$D39, 0,"TPI","AUTO"),"")</f>
        <v/>
      </c>
      <c r="U39" s="160">
        <f>IF(ISNUMBER(_xll.PIArcVal(U$6,$C39, 0,"TPI","AUTO"))=TRUE,_xll.PIArcVal(U$6,$C39, 0,"TPI","AUTO"),"")</f>
        <v>0.97704309225082397</v>
      </c>
      <c r="V39" s="160" t="str">
        <f>IF(ISNUMBER(_xll.PIArcVal(V$6,$D39, 0,"TPI","AUTO"))=TRUE,_xll.PIArcVal(V$6,$D39, 0,"TPI","AUTO"),"")</f>
        <v/>
      </c>
    </row>
    <row r="40" spans="2:22" ht="15.75" x14ac:dyDescent="0.25">
      <c r="C40" s="119">
        <f>C39+1</f>
        <v>46279.770833333336</v>
      </c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</row>
    <row r="41" spans="2:22" x14ac:dyDescent="0.2">
      <c r="C41" s="61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</row>
    <row r="42" spans="2:22" x14ac:dyDescent="0.2">
      <c r="C42" s="61"/>
      <c r="D42" s="120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</row>
    <row r="43" spans="2:22" x14ac:dyDescent="0.2">
      <c r="C43" s="61"/>
      <c r="D43" s="120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</row>
    <row r="44" spans="2:22" x14ac:dyDescent="0.2">
      <c r="C44" s="61"/>
      <c r="D44" s="120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</row>
    <row r="45" spans="2:22" x14ac:dyDescent="0.2">
      <c r="C45" s="61"/>
      <c r="D45" s="120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</row>
    <row r="46" spans="2:22" x14ac:dyDescent="0.2">
      <c r="C46" s="61"/>
      <c r="D46" s="120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</row>
    <row r="47" spans="2:22" x14ac:dyDescent="0.2">
      <c r="C47" s="61"/>
      <c r="D47" s="120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</row>
    <row r="48" spans="2:22" x14ac:dyDescent="0.2">
      <c r="C48" s="61"/>
      <c r="D48" s="120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</row>
    <row r="49" spans="3:22" x14ac:dyDescent="0.2">
      <c r="C49" s="61"/>
      <c r="D49" s="120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</row>
    <row r="50" spans="3:22" x14ac:dyDescent="0.2">
      <c r="C50" s="61"/>
      <c r="D50" s="120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</row>
    <row r="51" spans="3:22" x14ac:dyDescent="0.2">
      <c r="C51" s="61"/>
      <c r="D51" s="120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</row>
    <row r="52" spans="3:22" x14ac:dyDescent="0.2">
      <c r="C52" s="61"/>
      <c r="D52" s="120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</row>
    <row r="53" spans="3:22" x14ac:dyDescent="0.2">
      <c r="C53" s="61"/>
      <c r="D53" s="120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</row>
    <row r="54" spans="3:22" x14ac:dyDescent="0.2">
      <c r="C54" s="61"/>
      <c r="D54" s="120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</row>
    <row r="55" spans="3:22" x14ac:dyDescent="0.2">
      <c r="C55" s="61"/>
      <c r="D55" s="120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</row>
    <row r="56" spans="3:22" x14ac:dyDescent="0.2">
      <c r="C56" s="61"/>
      <c r="D56" s="120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</row>
    <row r="57" spans="3:22" x14ac:dyDescent="0.2">
      <c r="C57" s="61"/>
      <c r="D57" s="120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</row>
    <row r="58" spans="3:22" x14ac:dyDescent="0.2">
      <c r="C58" s="61"/>
      <c r="D58" s="120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</row>
    <row r="59" spans="3:22" x14ac:dyDescent="0.2">
      <c r="C59" s="61"/>
      <c r="D59" s="120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</row>
    <row r="60" spans="3:22" x14ac:dyDescent="0.2">
      <c r="C60" s="61"/>
      <c r="D60" s="120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</row>
    <row r="61" spans="3:22" x14ac:dyDescent="0.2">
      <c r="C61" s="61"/>
      <c r="D61" s="120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</row>
    <row r="62" spans="3:22" x14ac:dyDescent="0.2">
      <c r="C62" s="61"/>
      <c r="D62" s="120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</row>
    <row r="63" spans="3:22" x14ac:dyDescent="0.2">
      <c r="C63" s="61"/>
      <c r="D63" s="120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</row>
    <row r="64" spans="3:22" x14ac:dyDescent="0.2">
      <c r="C64" s="61"/>
      <c r="D64" s="120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</row>
    <row r="65" spans="3:22" x14ac:dyDescent="0.2">
      <c r="C65" s="61"/>
      <c r="D65" s="120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</row>
    <row r="66" spans="3:22" x14ac:dyDescent="0.2">
      <c r="D66" s="83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</row>
    <row r="67" spans="3:22" x14ac:dyDescent="0.2">
      <c r="D67" s="83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</row>
    <row r="68" spans="3:22" x14ac:dyDescent="0.2">
      <c r="D68" s="83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</row>
    <row r="69" spans="3:22" x14ac:dyDescent="0.2">
      <c r="D69" s="83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</row>
    <row r="70" spans="3:22" x14ac:dyDescent="0.2">
      <c r="D70" s="83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</row>
    <row r="71" spans="3:22" x14ac:dyDescent="0.2">
      <c r="D71" s="83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</row>
    <row r="72" spans="3:22" x14ac:dyDescent="0.2">
      <c r="D72" s="83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</row>
    <row r="73" spans="3:22" x14ac:dyDescent="0.2">
      <c r="D73" s="83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3:22" x14ac:dyDescent="0.2">
      <c r="D74" s="83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</row>
    <row r="75" spans="3:22" x14ac:dyDescent="0.2">
      <c r="D75" s="83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</row>
    <row r="76" spans="3:22" x14ac:dyDescent="0.2">
      <c r="D76" s="83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</row>
    <row r="77" spans="3:22" x14ac:dyDescent="0.2">
      <c r="D77" s="83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</row>
    <row r="78" spans="3:22" x14ac:dyDescent="0.2">
      <c r="D78" s="83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3:22" x14ac:dyDescent="0.2">
      <c r="D79" s="83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3:22" x14ac:dyDescent="0.2">
      <c r="D80" s="83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</row>
    <row r="81" spans="4:22" x14ac:dyDescent="0.2">
      <c r="D81" s="83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4:22" x14ac:dyDescent="0.2">
      <c r="D82" s="83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4:22" x14ac:dyDescent="0.2">
      <c r="D83" s="83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4:22" x14ac:dyDescent="0.2">
      <c r="D84" s="83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</row>
    <row r="85" spans="4:22" x14ac:dyDescent="0.2">
      <c r="D85" s="83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4:22" x14ac:dyDescent="0.2">
      <c r="D86" s="83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4:22" x14ac:dyDescent="0.2">
      <c r="D87" s="83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4:22" x14ac:dyDescent="0.2">
      <c r="D88" s="83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</row>
    <row r="89" spans="4:22" x14ac:dyDescent="0.2">
      <c r="D89" s="83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4:22" x14ac:dyDescent="0.2">
      <c r="D90" s="83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4:22" x14ac:dyDescent="0.2">
      <c r="D91" s="83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4:22" x14ac:dyDescent="0.2">
      <c r="D92" s="83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4:22" x14ac:dyDescent="0.2">
      <c r="D93" s="83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</row>
    <row r="94" spans="4:22" x14ac:dyDescent="0.2">
      <c r="D94" s="83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4:22" x14ac:dyDescent="0.2">
      <c r="D95" s="83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4:22" x14ac:dyDescent="0.2">
      <c r="D96" s="83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4:22" x14ac:dyDescent="0.2">
      <c r="D97" s="83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4:22" x14ac:dyDescent="0.2">
      <c r="D98" s="83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4:22" x14ac:dyDescent="0.2">
      <c r="D99" s="83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4:22" x14ac:dyDescent="0.2">
      <c r="D100" s="83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4:22" x14ac:dyDescent="0.2">
      <c r="D101" s="83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4:22" x14ac:dyDescent="0.2">
      <c r="D102" s="83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4:22" x14ac:dyDescent="0.2">
      <c r="D103" s="83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4:22" x14ac:dyDescent="0.2">
      <c r="D104" s="83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</row>
    <row r="105" spans="4:22" x14ac:dyDescent="0.2">
      <c r="D105" s="83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</row>
    <row r="106" spans="4:22" x14ac:dyDescent="0.2">
      <c r="D106" s="83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4:22" x14ac:dyDescent="0.2">
      <c r="D107" s="83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4:22" x14ac:dyDescent="0.2">
      <c r="D108" s="83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</row>
    <row r="109" spans="4:22" x14ac:dyDescent="0.2">
      <c r="D109" s="83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</row>
    <row r="110" spans="4:22" x14ac:dyDescent="0.2">
      <c r="D110" s="83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4:22" x14ac:dyDescent="0.2">
      <c r="D111" s="83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4:22" x14ac:dyDescent="0.2">
      <c r="D112" s="83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</row>
    <row r="113" spans="4:22" x14ac:dyDescent="0.2">
      <c r="D113" s="83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4:22" x14ac:dyDescent="0.2">
      <c r="D114" s="83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4:22" x14ac:dyDescent="0.2">
      <c r="D115" s="83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4:22" x14ac:dyDescent="0.2">
      <c r="D116" s="83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4:22" x14ac:dyDescent="0.2">
      <c r="D117" s="83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4:22" x14ac:dyDescent="0.2">
      <c r="D118" s="83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4:22" x14ac:dyDescent="0.2">
      <c r="D119" s="83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4:22" x14ac:dyDescent="0.2">
      <c r="D120" s="83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4:22" x14ac:dyDescent="0.2">
      <c r="D121" s="83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4:22" x14ac:dyDescent="0.2">
      <c r="D122" s="83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4:22" x14ac:dyDescent="0.2">
      <c r="D123" s="83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4:22" x14ac:dyDescent="0.2">
      <c r="D124" s="83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</row>
    <row r="125" spans="4:22" x14ac:dyDescent="0.2">
      <c r="D125" s="83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4:22" x14ac:dyDescent="0.2">
      <c r="D126" s="83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4:22" x14ac:dyDescent="0.2">
      <c r="D127" s="83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4:22" x14ac:dyDescent="0.2">
      <c r="D128" s="83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</row>
    <row r="129" spans="4:22" x14ac:dyDescent="0.2">
      <c r="D129" s="83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4:22" x14ac:dyDescent="0.2">
      <c r="D130" s="83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</row>
    <row r="131" spans="4:22" x14ac:dyDescent="0.2">
      <c r="D131" s="83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</row>
    <row r="132" spans="4:22" x14ac:dyDescent="0.2">
      <c r="D132" s="83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</row>
    <row r="133" spans="4:22" x14ac:dyDescent="0.2">
      <c r="D133" s="83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</row>
    <row r="134" spans="4:22" x14ac:dyDescent="0.2">
      <c r="D134" s="83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</row>
    <row r="135" spans="4:22" x14ac:dyDescent="0.2">
      <c r="D135" s="83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</row>
    <row r="136" spans="4:22" x14ac:dyDescent="0.2">
      <c r="D136" s="83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</row>
    <row r="137" spans="4:22" x14ac:dyDescent="0.2">
      <c r="D137" s="83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</row>
    <row r="138" spans="4:22" x14ac:dyDescent="0.2">
      <c r="D138" s="83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</row>
    <row r="139" spans="4:22" x14ac:dyDescent="0.2">
      <c r="D139" s="83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</row>
    <row r="140" spans="4:22" x14ac:dyDescent="0.2">
      <c r="D140" s="83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</row>
    <row r="141" spans="4:22" x14ac:dyDescent="0.2">
      <c r="D141" s="83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</row>
    <row r="142" spans="4:22" x14ac:dyDescent="0.2">
      <c r="D142" s="83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</row>
    <row r="143" spans="4:22" x14ac:dyDescent="0.2">
      <c r="D143" s="83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</row>
    <row r="144" spans="4:22" x14ac:dyDescent="0.2">
      <c r="D144" s="83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</row>
    <row r="145" spans="4:22" x14ac:dyDescent="0.2">
      <c r="D145" s="83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</row>
    <row r="146" spans="4:22" x14ac:dyDescent="0.2">
      <c r="D146" s="83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</row>
    <row r="147" spans="4:22" x14ac:dyDescent="0.2">
      <c r="D147" s="83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</row>
    <row r="148" spans="4:22" x14ac:dyDescent="0.2">
      <c r="D148" s="83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</row>
    <row r="149" spans="4:22" x14ac:dyDescent="0.2">
      <c r="D149" s="83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</row>
    <row r="150" spans="4:22" x14ac:dyDescent="0.2">
      <c r="D150" s="83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4:22" x14ac:dyDescent="0.2">
      <c r="D151" s="83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4:22" x14ac:dyDescent="0.2">
      <c r="D152" s="83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</row>
    <row r="153" spans="4:22" x14ac:dyDescent="0.2">
      <c r="D153" s="83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</row>
    <row r="154" spans="4:22" x14ac:dyDescent="0.2">
      <c r="D154" s="83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4:22" x14ac:dyDescent="0.2">
      <c r="D155" s="83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4:22" x14ac:dyDescent="0.2">
      <c r="D156" s="83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</row>
    <row r="157" spans="4:22" x14ac:dyDescent="0.2">
      <c r="D157" s="83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</row>
    <row r="158" spans="4:22" x14ac:dyDescent="0.2">
      <c r="D158" s="83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</row>
    <row r="159" spans="4:22" x14ac:dyDescent="0.2">
      <c r="D159" s="83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</row>
    <row r="160" spans="4:22" x14ac:dyDescent="0.2">
      <c r="D160" s="83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</row>
    <row r="161" spans="4:22" x14ac:dyDescent="0.2">
      <c r="D161" s="83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</row>
    <row r="162" spans="4:22" x14ac:dyDescent="0.2">
      <c r="D162" s="83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4:22" x14ac:dyDescent="0.2">
      <c r="D163" s="83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4:22" x14ac:dyDescent="0.2">
      <c r="D164" s="83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</row>
    <row r="165" spans="4:22" x14ac:dyDescent="0.2">
      <c r="D165" s="83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</row>
    <row r="166" spans="4:22" x14ac:dyDescent="0.2">
      <c r="D166" s="83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</row>
    <row r="167" spans="4:22" x14ac:dyDescent="0.2">
      <c r="D167" s="83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</row>
    <row r="168" spans="4:22" x14ac:dyDescent="0.2">
      <c r="D168" s="83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</row>
    <row r="169" spans="4:22" x14ac:dyDescent="0.2">
      <c r="D169" s="83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</row>
    <row r="170" spans="4:22" x14ac:dyDescent="0.2">
      <c r="D170" s="83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</row>
    <row r="171" spans="4:22" x14ac:dyDescent="0.2">
      <c r="D171" s="83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</row>
    <row r="172" spans="4:22" x14ac:dyDescent="0.2">
      <c r="D172" s="83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</row>
    <row r="173" spans="4:22" x14ac:dyDescent="0.2">
      <c r="D173" s="83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</row>
    <row r="174" spans="4:22" x14ac:dyDescent="0.2">
      <c r="D174" s="83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</row>
    <row r="175" spans="4:22" x14ac:dyDescent="0.2">
      <c r="D175" s="83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</row>
    <row r="176" spans="4:22" x14ac:dyDescent="0.2">
      <c r="D176" s="83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</row>
    <row r="177" spans="4:22" x14ac:dyDescent="0.2">
      <c r="D177" s="83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</row>
    <row r="178" spans="4:22" x14ac:dyDescent="0.2">
      <c r="D178" s="83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</row>
    <row r="179" spans="4:22" x14ac:dyDescent="0.2">
      <c r="D179" s="83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</row>
    <row r="180" spans="4:22" x14ac:dyDescent="0.2">
      <c r="D180" s="83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</row>
    <row r="181" spans="4:22" x14ac:dyDescent="0.2">
      <c r="D181" s="83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</row>
    <row r="182" spans="4:22" x14ac:dyDescent="0.2">
      <c r="D182" s="83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</row>
    <row r="183" spans="4:22" x14ac:dyDescent="0.2">
      <c r="D183" s="83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</row>
    <row r="184" spans="4:22" x14ac:dyDescent="0.2">
      <c r="D184" s="83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</row>
    <row r="185" spans="4:22" x14ac:dyDescent="0.2">
      <c r="D185" s="83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</row>
    <row r="186" spans="4:22" x14ac:dyDescent="0.2">
      <c r="D186" s="83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</row>
    <row r="187" spans="4:22" x14ac:dyDescent="0.2">
      <c r="D187" s="83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</row>
    <row r="188" spans="4:22" x14ac:dyDescent="0.2">
      <c r="D188" s="83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</row>
    <row r="189" spans="4:22" x14ac:dyDescent="0.2">
      <c r="D189" s="83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</row>
    <row r="190" spans="4:22" x14ac:dyDescent="0.2">
      <c r="D190" s="83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4:22" x14ac:dyDescent="0.2">
      <c r="D191" s="83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4:22" x14ac:dyDescent="0.2">
      <c r="D192" s="83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</row>
    <row r="193" spans="4:22" x14ac:dyDescent="0.2">
      <c r="D193" s="83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</row>
    <row r="194" spans="4:22" x14ac:dyDescent="0.2">
      <c r="D194" s="83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</row>
    <row r="195" spans="4:22" x14ac:dyDescent="0.2">
      <c r="D195" s="83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</row>
    <row r="196" spans="4:22" x14ac:dyDescent="0.2">
      <c r="D196" s="83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</row>
    <row r="197" spans="4:22" x14ac:dyDescent="0.2">
      <c r="D197" s="83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</row>
    <row r="198" spans="4:22" x14ac:dyDescent="0.2">
      <c r="D198" s="83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</row>
    <row r="199" spans="4:22" x14ac:dyDescent="0.2">
      <c r="D199" s="83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</row>
    <row r="200" spans="4:22" x14ac:dyDescent="0.2">
      <c r="D200" s="83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</row>
    <row r="201" spans="4:22" x14ac:dyDescent="0.2">
      <c r="D201" s="83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</row>
    <row r="202" spans="4:22" x14ac:dyDescent="0.2">
      <c r="D202" s="83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</row>
    <row r="203" spans="4:22" x14ac:dyDescent="0.2">
      <c r="D203" s="83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</row>
    <row r="204" spans="4:22" x14ac:dyDescent="0.2">
      <c r="D204" s="83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</row>
    <row r="205" spans="4:22" x14ac:dyDescent="0.2">
      <c r="D205" s="83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</row>
    <row r="206" spans="4:22" x14ac:dyDescent="0.2">
      <c r="D206" s="83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</row>
    <row r="207" spans="4:22" x14ac:dyDescent="0.2">
      <c r="D207" s="83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</row>
    <row r="208" spans="4:22" x14ac:dyDescent="0.2">
      <c r="D208" s="83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</row>
    <row r="209" spans="4:22" x14ac:dyDescent="0.2">
      <c r="D209" s="83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</row>
    <row r="210" spans="4:22" x14ac:dyDescent="0.2">
      <c r="D210" s="83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4:22" x14ac:dyDescent="0.2">
      <c r="D211" s="83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4:22" x14ac:dyDescent="0.2">
      <c r="D212" s="83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</row>
    <row r="213" spans="4:22" x14ac:dyDescent="0.2">
      <c r="D213" s="83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</row>
    <row r="214" spans="4:22" x14ac:dyDescent="0.2">
      <c r="D214" s="83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4:22" x14ac:dyDescent="0.2">
      <c r="D215" s="83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4:22" x14ac:dyDescent="0.2">
      <c r="D216" s="83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</row>
    <row r="217" spans="4:22" x14ac:dyDescent="0.2">
      <c r="D217" s="83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</row>
    <row r="218" spans="4:22" x14ac:dyDescent="0.2">
      <c r="D218" s="83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</row>
    <row r="219" spans="4:22" x14ac:dyDescent="0.2">
      <c r="D219" s="83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</row>
    <row r="220" spans="4:22" x14ac:dyDescent="0.2">
      <c r="D220" s="83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</row>
    <row r="221" spans="4:22" x14ac:dyDescent="0.2">
      <c r="D221" s="83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</row>
    <row r="222" spans="4:22" x14ac:dyDescent="0.2">
      <c r="D222" s="83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</row>
    <row r="223" spans="4:22" x14ac:dyDescent="0.2">
      <c r="D223" s="83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</row>
    <row r="224" spans="4:22" x14ac:dyDescent="0.2">
      <c r="D224" s="83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</row>
    <row r="225" spans="4:22" x14ac:dyDescent="0.2">
      <c r="D225" s="83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</row>
    <row r="226" spans="4:22" x14ac:dyDescent="0.2">
      <c r="D226" s="83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</row>
    <row r="227" spans="4:22" x14ac:dyDescent="0.2">
      <c r="D227" s="83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</row>
    <row r="228" spans="4:22" x14ac:dyDescent="0.2">
      <c r="D228" s="83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</row>
    <row r="229" spans="4:22" x14ac:dyDescent="0.2">
      <c r="D229" s="83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</row>
    <row r="230" spans="4:22" x14ac:dyDescent="0.2">
      <c r="D230" s="83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</row>
    <row r="231" spans="4:22" x14ac:dyDescent="0.2">
      <c r="D231" s="83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</row>
    <row r="232" spans="4:22" x14ac:dyDescent="0.2">
      <c r="D232" s="83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</row>
    <row r="233" spans="4:22" x14ac:dyDescent="0.2">
      <c r="D233" s="83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</row>
    <row r="234" spans="4:22" x14ac:dyDescent="0.2">
      <c r="D234" s="83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4:22" x14ac:dyDescent="0.2">
      <c r="D235" s="83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4:22" x14ac:dyDescent="0.2">
      <c r="D236" s="83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</row>
    <row r="237" spans="4:22" x14ac:dyDescent="0.2">
      <c r="D237" s="83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</row>
    <row r="238" spans="4:22" x14ac:dyDescent="0.2">
      <c r="D238" s="83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</row>
    <row r="239" spans="4:22" x14ac:dyDescent="0.2">
      <c r="D239" s="83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</row>
    <row r="240" spans="4:22" x14ac:dyDescent="0.2">
      <c r="D240" s="83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</row>
    <row r="241" spans="4:22" x14ac:dyDescent="0.2">
      <c r="D241" s="83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</row>
    <row r="242" spans="4:22" x14ac:dyDescent="0.2">
      <c r="D242" s="83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</row>
    <row r="243" spans="4:22" x14ac:dyDescent="0.2">
      <c r="D243" s="83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</row>
    <row r="244" spans="4:22" x14ac:dyDescent="0.2">
      <c r="D244" s="83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</row>
    <row r="245" spans="4:22" x14ac:dyDescent="0.2">
      <c r="D245" s="83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</row>
    <row r="246" spans="4:22" x14ac:dyDescent="0.2">
      <c r="D246" s="83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</row>
    <row r="247" spans="4:22" x14ac:dyDescent="0.2">
      <c r="D247" s="83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</row>
    <row r="248" spans="4:22" x14ac:dyDescent="0.2">
      <c r="D248" s="83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</row>
    <row r="249" spans="4:22" x14ac:dyDescent="0.2">
      <c r="D249" s="83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</row>
    <row r="250" spans="4:22" x14ac:dyDescent="0.2">
      <c r="D250" s="83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4:22" x14ac:dyDescent="0.2">
      <c r="D251" s="83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4:22" x14ac:dyDescent="0.2">
      <c r="D252" s="83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</row>
    <row r="253" spans="4:22" x14ac:dyDescent="0.2">
      <c r="D253" s="83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</row>
    <row r="254" spans="4:22" x14ac:dyDescent="0.2">
      <c r="D254" s="83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4:22" x14ac:dyDescent="0.2">
      <c r="D255" s="83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</row>
    <row r="256" spans="4:22" x14ac:dyDescent="0.2">
      <c r="D256" s="83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</row>
    <row r="257" spans="4:22" x14ac:dyDescent="0.2">
      <c r="D257" s="83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</row>
    <row r="258" spans="4:22" x14ac:dyDescent="0.2">
      <c r="D258" s="83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</row>
    <row r="259" spans="4:22" x14ac:dyDescent="0.2">
      <c r="D259" s="83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</row>
    <row r="260" spans="4:22" x14ac:dyDescent="0.2">
      <c r="D260" s="83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</row>
    <row r="261" spans="4:22" x14ac:dyDescent="0.2">
      <c r="D261" s="83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</row>
    <row r="262" spans="4:22" x14ac:dyDescent="0.2">
      <c r="D262" s="83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</row>
    <row r="263" spans="4:22" x14ac:dyDescent="0.2">
      <c r="D263" s="83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</row>
    <row r="264" spans="4:22" x14ac:dyDescent="0.2">
      <c r="D264" s="83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</row>
    <row r="265" spans="4:22" x14ac:dyDescent="0.2">
      <c r="D265" s="83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</row>
    <row r="266" spans="4:22" x14ac:dyDescent="0.2">
      <c r="D266" s="83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</row>
    <row r="267" spans="4:22" x14ac:dyDescent="0.2">
      <c r="D267" s="83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</row>
    <row r="268" spans="4:22" x14ac:dyDescent="0.2">
      <c r="D268" s="83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</row>
    <row r="269" spans="4:22" x14ac:dyDescent="0.2">
      <c r="D269" s="83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</row>
    <row r="270" spans="4:22" x14ac:dyDescent="0.2">
      <c r="D270" s="83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</row>
    <row r="271" spans="4:22" x14ac:dyDescent="0.2">
      <c r="D271" s="83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</row>
    <row r="272" spans="4:22" x14ac:dyDescent="0.2">
      <c r="D272" s="83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</row>
    <row r="273" spans="4:22" x14ac:dyDescent="0.2">
      <c r="D273" s="83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</row>
    <row r="274" spans="4:22" x14ac:dyDescent="0.2">
      <c r="D274" s="83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</row>
    <row r="275" spans="4:22" x14ac:dyDescent="0.2">
      <c r="D275" s="83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</row>
    <row r="276" spans="4:22" x14ac:dyDescent="0.2">
      <c r="D276" s="83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</row>
    <row r="277" spans="4:22" x14ac:dyDescent="0.2">
      <c r="D277" s="83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</row>
    <row r="278" spans="4:22" x14ac:dyDescent="0.2">
      <c r="D278" s="83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</row>
    <row r="279" spans="4:22" x14ac:dyDescent="0.2">
      <c r="D279" s="83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</row>
    <row r="280" spans="4:22" x14ac:dyDescent="0.2">
      <c r="D280" s="83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</row>
    <row r="281" spans="4:22" x14ac:dyDescent="0.2">
      <c r="D281" s="83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</row>
    <row r="282" spans="4:22" x14ac:dyDescent="0.2">
      <c r="D282" s="83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</row>
    <row r="283" spans="4:22" x14ac:dyDescent="0.2">
      <c r="D283" s="83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</row>
    <row r="284" spans="4:22" x14ac:dyDescent="0.2">
      <c r="D284" s="83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</row>
    <row r="285" spans="4:22" x14ac:dyDescent="0.2">
      <c r="D285" s="83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</row>
    <row r="286" spans="4:22" x14ac:dyDescent="0.2">
      <c r="D286" s="83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</row>
    <row r="287" spans="4:22" x14ac:dyDescent="0.2">
      <c r="D287" s="83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</row>
    <row r="288" spans="4:22" x14ac:dyDescent="0.2">
      <c r="D288" s="83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</row>
    <row r="289" spans="4:22" x14ac:dyDescent="0.2">
      <c r="D289" s="83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</row>
    <row r="290" spans="4:22" x14ac:dyDescent="0.2">
      <c r="D290" s="83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4:22" x14ac:dyDescent="0.2">
      <c r="D291" s="83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4:22" x14ac:dyDescent="0.2">
      <c r="D292" s="83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</row>
    <row r="293" spans="4:22" x14ac:dyDescent="0.2">
      <c r="D293" s="83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</row>
    <row r="294" spans="4:22" x14ac:dyDescent="0.2">
      <c r="D294" s="83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4:22" x14ac:dyDescent="0.2">
      <c r="D295" s="83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4:22" x14ac:dyDescent="0.2">
      <c r="D296" s="83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</row>
    <row r="297" spans="4:22" x14ac:dyDescent="0.2">
      <c r="D297" s="83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</row>
    <row r="298" spans="4:22" x14ac:dyDescent="0.2">
      <c r="D298" s="83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4:22" x14ac:dyDescent="0.2">
      <c r="D299" s="83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4:22" x14ac:dyDescent="0.2">
      <c r="D300" s="83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</row>
    <row r="301" spans="4:22" x14ac:dyDescent="0.2">
      <c r="D301" s="83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</row>
    <row r="302" spans="4:22" x14ac:dyDescent="0.2">
      <c r="D302" s="83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4:22" x14ac:dyDescent="0.2">
      <c r="D303" s="83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</row>
    <row r="304" spans="4:22" x14ac:dyDescent="0.2">
      <c r="D304" s="83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</row>
    <row r="305" spans="4:22" x14ac:dyDescent="0.2">
      <c r="D305" s="83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</row>
    <row r="306" spans="4:22" x14ac:dyDescent="0.2">
      <c r="D306" s="83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</row>
    <row r="307" spans="4:22" x14ac:dyDescent="0.2">
      <c r="D307" s="83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</row>
    <row r="308" spans="4:22" x14ac:dyDescent="0.2">
      <c r="D308" s="83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</row>
    <row r="309" spans="4:22" x14ac:dyDescent="0.2">
      <c r="D309" s="83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</row>
    <row r="310" spans="4:22" x14ac:dyDescent="0.2">
      <c r="D310" s="83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</row>
    <row r="311" spans="4:22" x14ac:dyDescent="0.2">
      <c r="D311" s="83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</row>
    <row r="312" spans="4:22" x14ac:dyDescent="0.2">
      <c r="D312" s="83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</row>
    <row r="313" spans="4:22" x14ac:dyDescent="0.2">
      <c r="D313" s="83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</row>
    <row r="314" spans="4:22" x14ac:dyDescent="0.2">
      <c r="D314" s="83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4:22" x14ac:dyDescent="0.2">
      <c r="D315" s="83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4:22" x14ac:dyDescent="0.2">
      <c r="D316" s="83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</row>
    <row r="317" spans="4:22" x14ac:dyDescent="0.2">
      <c r="D317" s="83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</row>
    <row r="318" spans="4:22" x14ac:dyDescent="0.2">
      <c r="D318" s="83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</row>
    <row r="319" spans="4:22" x14ac:dyDescent="0.2">
      <c r="D319" s="83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</row>
    <row r="320" spans="4:22" x14ac:dyDescent="0.2">
      <c r="D320" s="83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</row>
    <row r="321" spans="4:22" x14ac:dyDescent="0.2">
      <c r="D321" s="83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</row>
    <row r="322" spans="4:22" x14ac:dyDescent="0.2">
      <c r="D322" s="83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</row>
    <row r="323" spans="4:22" x14ac:dyDescent="0.2">
      <c r="D323" s="83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</row>
    <row r="324" spans="4:22" x14ac:dyDescent="0.2">
      <c r="D324" s="83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</row>
    <row r="325" spans="4:22" x14ac:dyDescent="0.2">
      <c r="D325" s="83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</row>
    <row r="326" spans="4:22" x14ac:dyDescent="0.2">
      <c r="D326" s="83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</row>
    <row r="327" spans="4:22" x14ac:dyDescent="0.2">
      <c r="D327" s="83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</row>
    <row r="328" spans="4:22" x14ac:dyDescent="0.2">
      <c r="D328" s="83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</row>
    <row r="329" spans="4:22" x14ac:dyDescent="0.2">
      <c r="D329" s="83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</row>
    <row r="330" spans="4:22" x14ac:dyDescent="0.2">
      <c r="D330" s="83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</row>
    <row r="331" spans="4:22" x14ac:dyDescent="0.2">
      <c r="D331" s="83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</row>
    <row r="332" spans="4:22" x14ac:dyDescent="0.2">
      <c r="D332" s="83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</row>
    <row r="333" spans="4:22" x14ac:dyDescent="0.2">
      <c r="D333" s="83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</row>
    <row r="334" spans="4:22" x14ac:dyDescent="0.2">
      <c r="D334" s="83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</row>
    <row r="335" spans="4:22" x14ac:dyDescent="0.2">
      <c r="D335" s="83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</row>
    <row r="336" spans="4:22" x14ac:dyDescent="0.2">
      <c r="D336" s="83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</row>
    <row r="337" spans="4:22" x14ac:dyDescent="0.2">
      <c r="D337" s="83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</row>
    <row r="338" spans="4:22" x14ac:dyDescent="0.2">
      <c r="D338" s="83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</row>
    <row r="339" spans="4:22" x14ac:dyDescent="0.2">
      <c r="D339" s="83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</row>
    <row r="340" spans="4:22" x14ac:dyDescent="0.2">
      <c r="D340" s="83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</row>
    <row r="341" spans="4:22" x14ac:dyDescent="0.2">
      <c r="D341" s="83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</row>
    <row r="342" spans="4:22" x14ac:dyDescent="0.2">
      <c r="D342" s="83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</row>
    <row r="343" spans="4:22" x14ac:dyDescent="0.2">
      <c r="D343" s="83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</row>
    <row r="344" spans="4:22" x14ac:dyDescent="0.2">
      <c r="D344" s="83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</row>
    <row r="345" spans="4:22" x14ac:dyDescent="0.2">
      <c r="D345" s="83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</row>
    <row r="346" spans="4:22" x14ac:dyDescent="0.2">
      <c r="D346" s="83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4:22" x14ac:dyDescent="0.2">
      <c r="D347" s="83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4:22" x14ac:dyDescent="0.2">
      <c r="D348" s="83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</row>
    <row r="349" spans="4:22" x14ac:dyDescent="0.2">
      <c r="D349" s="83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</row>
    <row r="350" spans="4:22" x14ac:dyDescent="0.2">
      <c r="D350" s="83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</row>
    <row r="351" spans="4:22" x14ac:dyDescent="0.2">
      <c r="D351" s="83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</row>
    <row r="352" spans="4:22" x14ac:dyDescent="0.2">
      <c r="D352" s="83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</row>
    <row r="353" spans="4:22" x14ac:dyDescent="0.2">
      <c r="D353" s="83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</row>
    <row r="354" spans="4:22" x14ac:dyDescent="0.2">
      <c r="D354" s="83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</row>
    <row r="355" spans="4:22" x14ac:dyDescent="0.2">
      <c r="D355" s="83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</row>
    <row r="356" spans="4:22" x14ac:dyDescent="0.2">
      <c r="D356" s="83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</row>
    <row r="357" spans="4:22" x14ac:dyDescent="0.2">
      <c r="D357" s="83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</row>
    <row r="358" spans="4:22" x14ac:dyDescent="0.2">
      <c r="D358" s="83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</row>
    <row r="359" spans="4:22" x14ac:dyDescent="0.2">
      <c r="D359" s="83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</row>
    <row r="360" spans="4:22" x14ac:dyDescent="0.2">
      <c r="D360" s="83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</row>
    <row r="361" spans="4:22" x14ac:dyDescent="0.2">
      <c r="D361" s="83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</row>
    <row r="362" spans="4:22" x14ac:dyDescent="0.2">
      <c r="D362" s="83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</row>
    <row r="363" spans="4:22" x14ac:dyDescent="0.2">
      <c r="D363" s="83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</row>
    <row r="364" spans="4:22" x14ac:dyDescent="0.2">
      <c r="D364" s="83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</row>
    <row r="365" spans="4:22" x14ac:dyDescent="0.2">
      <c r="D365" s="83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</row>
    <row r="366" spans="4:22" x14ac:dyDescent="0.2">
      <c r="D366" s="83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</row>
    <row r="367" spans="4:22" x14ac:dyDescent="0.2">
      <c r="D367" s="83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</row>
    <row r="368" spans="4:22" x14ac:dyDescent="0.2">
      <c r="D368" s="83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</row>
    <row r="369" spans="4:22" x14ac:dyDescent="0.2">
      <c r="D369" s="83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</row>
    <row r="370" spans="4:22" x14ac:dyDescent="0.2">
      <c r="D370" s="83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</row>
    <row r="371" spans="4:22" x14ac:dyDescent="0.2">
      <c r="D371" s="83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</row>
    <row r="372" spans="4:22" x14ac:dyDescent="0.2">
      <c r="D372" s="83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</row>
    <row r="373" spans="4:22" x14ac:dyDescent="0.2">
      <c r="D373" s="83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</row>
    <row r="374" spans="4:22" x14ac:dyDescent="0.2">
      <c r="D374" s="83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</row>
    <row r="375" spans="4:22" x14ac:dyDescent="0.2">
      <c r="D375" s="83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</row>
    <row r="376" spans="4:22" x14ac:dyDescent="0.2">
      <c r="D376" s="83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</row>
    <row r="377" spans="4:22" x14ac:dyDescent="0.2">
      <c r="D377" s="83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</row>
    <row r="378" spans="4:22" x14ac:dyDescent="0.2">
      <c r="D378" s="83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</row>
    <row r="379" spans="4:22" x14ac:dyDescent="0.2">
      <c r="D379" s="83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</row>
    <row r="380" spans="4:22" x14ac:dyDescent="0.2">
      <c r="D380" s="83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</row>
    <row r="381" spans="4:22" x14ac:dyDescent="0.2">
      <c r="D381" s="83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</row>
    <row r="382" spans="4:22" x14ac:dyDescent="0.2">
      <c r="D382" s="83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</row>
    <row r="383" spans="4:22" x14ac:dyDescent="0.2">
      <c r="D383" s="83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</row>
    <row r="384" spans="4:22" x14ac:dyDescent="0.2">
      <c r="D384" s="83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</row>
    <row r="385" spans="4:22" x14ac:dyDescent="0.2">
      <c r="D385" s="83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</row>
    <row r="386" spans="4:22" x14ac:dyDescent="0.2">
      <c r="D386" s="83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</row>
    <row r="387" spans="4:22" x14ac:dyDescent="0.2">
      <c r="D387" s="83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</row>
    <row r="388" spans="4:22" x14ac:dyDescent="0.2">
      <c r="D388" s="83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</row>
    <row r="389" spans="4:22" x14ac:dyDescent="0.2">
      <c r="D389" s="83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</row>
    <row r="390" spans="4:22" x14ac:dyDescent="0.2">
      <c r="D390" s="83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</row>
    <row r="391" spans="4:22" x14ac:dyDescent="0.2">
      <c r="D391" s="83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</row>
    <row r="392" spans="4:22" x14ac:dyDescent="0.2">
      <c r="D392" s="83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</row>
    <row r="393" spans="4:22" x14ac:dyDescent="0.2">
      <c r="D393" s="83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</row>
    <row r="394" spans="4:22" x14ac:dyDescent="0.2">
      <c r="D394" s="83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</row>
    <row r="395" spans="4:22" x14ac:dyDescent="0.2">
      <c r="D395" s="83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</row>
    <row r="396" spans="4:22" x14ac:dyDescent="0.2">
      <c r="D396" s="83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</row>
    <row r="397" spans="4:22" x14ac:dyDescent="0.2">
      <c r="D397" s="83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</row>
    <row r="398" spans="4:22" x14ac:dyDescent="0.2">
      <c r="D398" s="83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</row>
    <row r="399" spans="4:22" x14ac:dyDescent="0.2">
      <c r="D399" s="83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</row>
    <row r="400" spans="4:22" x14ac:dyDescent="0.2">
      <c r="D400" s="83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</row>
    <row r="401" spans="4:22" x14ac:dyDescent="0.2">
      <c r="D401" s="83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</row>
    <row r="402" spans="4:22" x14ac:dyDescent="0.2">
      <c r="D402" s="83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</row>
    <row r="403" spans="4:22" x14ac:dyDescent="0.2">
      <c r="D403" s="83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</row>
    <row r="404" spans="4:22" x14ac:dyDescent="0.2">
      <c r="D404" s="83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</row>
    <row r="405" spans="4:22" x14ac:dyDescent="0.2">
      <c r="D405" s="83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</row>
    <row r="406" spans="4:22" x14ac:dyDescent="0.2">
      <c r="D406" s="83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</row>
    <row r="407" spans="4:22" x14ac:dyDescent="0.2">
      <c r="D407" s="83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</row>
    <row r="408" spans="4:22" x14ac:dyDescent="0.2">
      <c r="D408" s="83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</row>
    <row r="409" spans="4:22" x14ac:dyDescent="0.2">
      <c r="D409" s="83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</row>
    <row r="410" spans="4:22" x14ac:dyDescent="0.2">
      <c r="D410" s="83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</row>
    <row r="411" spans="4:22" x14ac:dyDescent="0.2">
      <c r="D411" s="83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</row>
    <row r="412" spans="4:22" x14ac:dyDescent="0.2">
      <c r="D412" s="83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</row>
    <row r="413" spans="4:22" x14ac:dyDescent="0.2">
      <c r="D413" s="83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</row>
    <row r="414" spans="4:22" x14ac:dyDescent="0.2">
      <c r="D414" s="83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4:22" x14ac:dyDescent="0.2">
      <c r="D415" s="83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</row>
    <row r="416" spans="4:22" x14ac:dyDescent="0.2">
      <c r="D416" s="83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</row>
    <row r="417" spans="4:22" x14ac:dyDescent="0.2">
      <c r="D417" s="83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</row>
    <row r="418" spans="4:22" x14ac:dyDescent="0.2">
      <c r="D418" s="83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</row>
    <row r="419" spans="4:22" x14ac:dyDescent="0.2">
      <c r="D419" s="83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</row>
    <row r="420" spans="4:22" x14ac:dyDescent="0.2">
      <c r="D420" s="83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</row>
    <row r="421" spans="4:22" x14ac:dyDescent="0.2">
      <c r="D421" s="83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</row>
    <row r="422" spans="4:22" x14ac:dyDescent="0.2">
      <c r="D422" s="83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</row>
    <row r="423" spans="4:22" x14ac:dyDescent="0.2">
      <c r="D423" s="83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</row>
    <row r="424" spans="4:22" x14ac:dyDescent="0.2">
      <c r="D424" s="83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</row>
    <row r="425" spans="4:22" x14ac:dyDescent="0.2">
      <c r="D425" s="83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</row>
    <row r="426" spans="4:22" x14ac:dyDescent="0.2">
      <c r="D426" s="83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4:22" x14ac:dyDescent="0.2">
      <c r="D427" s="83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4:22" x14ac:dyDescent="0.2">
      <c r="D428" s="83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</row>
    <row r="429" spans="4:22" x14ac:dyDescent="0.2">
      <c r="D429" s="83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</row>
    <row r="430" spans="4:22" x14ac:dyDescent="0.2">
      <c r="D430" s="83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4:22" x14ac:dyDescent="0.2">
      <c r="D431" s="83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4:22" x14ac:dyDescent="0.2">
      <c r="D432" s="83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</row>
    <row r="433" spans="4:22" x14ac:dyDescent="0.2">
      <c r="D433" s="83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</row>
    <row r="434" spans="4:22" x14ac:dyDescent="0.2">
      <c r="D434" s="83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</row>
    <row r="435" spans="4:22" x14ac:dyDescent="0.2">
      <c r="D435" s="83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</row>
    <row r="436" spans="4:22" x14ac:dyDescent="0.2">
      <c r="D436" s="83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</row>
    <row r="437" spans="4:22" x14ac:dyDescent="0.2">
      <c r="D437" s="83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</row>
    <row r="438" spans="4:22" x14ac:dyDescent="0.2">
      <c r="D438" s="83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</row>
    <row r="439" spans="4:22" x14ac:dyDescent="0.2">
      <c r="D439" s="83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</row>
    <row r="440" spans="4:22" x14ac:dyDescent="0.2">
      <c r="D440" s="83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</row>
    <row r="441" spans="4:22" x14ac:dyDescent="0.2">
      <c r="D441" s="83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</row>
    <row r="442" spans="4:22" x14ac:dyDescent="0.2">
      <c r="D442" s="83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</row>
    <row r="443" spans="4:22" x14ac:dyDescent="0.2">
      <c r="D443" s="83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</row>
    <row r="444" spans="4:22" x14ac:dyDescent="0.2">
      <c r="D444" s="83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</row>
    <row r="445" spans="4:22" x14ac:dyDescent="0.2">
      <c r="D445" s="83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</row>
    <row r="446" spans="4:22" x14ac:dyDescent="0.2">
      <c r="D446" s="83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</row>
    <row r="447" spans="4:22" x14ac:dyDescent="0.2">
      <c r="D447" s="83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</row>
    <row r="448" spans="4:22" x14ac:dyDescent="0.2">
      <c r="D448" s="83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</row>
    <row r="449" spans="4:22" x14ac:dyDescent="0.2">
      <c r="D449" s="83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</row>
    <row r="450" spans="4:22" x14ac:dyDescent="0.2">
      <c r="D450" s="83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</row>
    <row r="451" spans="4:22" x14ac:dyDescent="0.2">
      <c r="D451" s="83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</row>
    <row r="452" spans="4:22" x14ac:dyDescent="0.2">
      <c r="D452" s="83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</row>
    <row r="453" spans="4:22" x14ac:dyDescent="0.2">
      <c r="D453" s="83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</row>
    <row r="454" spans="4:22" x14ac:dyDescent="0.2">
      <c r="D454" s="83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</row>
    <row r="455" spans="4:22" x14ac:dyDescent="0.2">
      <c r="D455" s="83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</row>
    <row r="456" spans="4:22" x14ac:dyDescent="0.2">
      <c r="D456" s="83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</row>
    <row r="457" spans="4:22" x14ac:dyDescent="0.2">
      <c r="D457" s="83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</row>
    <row r="458" spans="4:22" x14ac:dyDescent="0.2">
      <c r="D458" s="83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</row>
    <row r="459" spans="4:22" x14ac:dyDescent="0.2">
      <c r="D459" s="83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</row>
    <row r="460" spans="4:22" x14ac:dyDescent="0.2">
      <c r="D460" s="83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</row>
    <row r="461" spans="4:22" x14ac:dyDescent="0.2">
      <c r="D461" s="83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</row>
    <row r="462" spans="4:22" x14ac:dyDescent="0.2">
      <c r="D462" s="83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</row>
    <row r="463" spans="4:22" x14ac:dyDescent="0.2">
      <c r="D463" s="83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</row>
    <row r="464" spans="4:22" x14ac:dyDescent="0.2">
      <c r="D464" s="83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</row>
    <row r="465" spans="4:22" x14ac:dyDescent="0.2">
      <c r="D465" s="83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</row>
    <row r="466" spans="4:22" x14ac:dyDescent="0.2">
      <c r="D466" s="83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</row>
    <row r="467" spans="4:22" x14ac:dyDescent="0.2">
      <c r="D467" s="83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</row>
    <row r="468" spans="4:22" x14ac:dyDescent="0.2">
      <c r="D468" s="83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</row>
    <row r="469" spans="4:22" x14ac:dyDescent="0.2">
      <c r="D469" s="83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</row>
    <row r="470" spans="4:22" x14ac:dyDescent="0.2">
      <c r="D470" s="83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</row>
    <row r="471" spans="4:22" x14ac:dyDescent="0.2">
      <c r="D471" s="83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</row>
    <row r="472" spans="4:22" x14ac:dyDescent="0.2">
      <c r="D472" s="83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</row>
    <row r="473" spans="4:22" x14ac:dyDescent="0.2">
      <c r="D473" s="83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</row>
    <row r="474" spans="4:22" x14ac:dyDescent="0.2">
      <c r="D474" s="83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</row>
    <row r="475" spans="4:22" x14ac:dyDescent="0.2">
      <c r="D475" s="83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</row>
    <row r="476" spans="4:22" x14ac:dyDescent="0.2">
      <c r="D476" s="83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</row>
    <row r="477" spans="4:22" x14ac:dyDescent="0.2">
      <c r="D477" s="83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</row>
    <row r="478" spans="4:22" x14ac:dyDescent="0.2">
      <c r="D478" s="83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</row>
    <row r="479" spans="4:22" x14ac:dyDescent="0.2">
      <c r="D479" s="83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</row>
    <row r="480" spans="4:22" x14ac:dyDescent="0.2">
      <c r="D480" s="83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</row>
    <row r="481" spans="4:22" x14ac:dyDescent="0.2">
      <c r="D481" s="83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</row>
    <row r="482" spans="4:22" x14ac:dyDescent="0.2">
      <c r="D482" s="83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</row>
    <row r="483" spans="4:22" x14ac:dyDescent="0.2">
      <c r="D483" s="83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</row>
    <row r="484" spans="4:22" x14ac:dyDescent="0.2">
      <c r="D484" s="83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</row>
    <row r="485" spans="4:22" x14ac:dyDescent="0.2">
      <c r="D485" s="83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</row>
    <row r="486" spans="4:22" x14ac:dyDescent="0.2">
      <c r="D486" s="83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</row>
    <row r="487" spans="4:22" x14ac:dyDescent="0.2">
      <c r="D487" s="83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</row>
    <row r="488" spans="4:22" x14ac:dyDescent="0.2">
      <c r="D488" s="83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</row>
    <row r="489" spans="4:22" x14ac:dyDescent="0.2">
      <c r="D489" s="83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</row>
    <row r="490" spans="4:22" x14ac:dyDescent="0.2">
      <c r="D490" s="83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</row>
    <row r="491" spans="4:22" x14ac:dyDescent="0.2">
      <c r="D491" s="83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</row>
    <row r="492" spans="4:22" x14ac:dyDescent="0.2">
      <c r="D492" s="83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</row>
    <row r="493" spans="4:22" x14ac:dyDescent="0.2">
      <c r="D493" s="83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</row>
    <row r="494" spans="4:22" x14ac:dyDescent="0.2">
      <c r="D494" s="83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</row>
    <row r="495" spans="4:22" x14ac:dyDescent="0.2">
      <c r="D495" s="83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</row>
    <row r="496" spans="4:22" x14ac:dyDescent="0.2">
      <c r="D496" s="83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</row>
    <row r="497" spans="4:22" x14ac:dyDescent="0.2">
      <c r="D497" s="83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</row>
    <row r="498" spans="4:22" x14ac:dyDescent="0.2">
      <c r="D498" s="83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</row>
    <row r="499" spans="4:22" x14ac:dyDescent="0.2">
      <c r="D499" s="83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</row>
    <row r="500" spans="4:22" x14ac:dyDescent="0.2">
      <c r="D500" s="83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</row>
    <row r="501" spans="4:22" x14ac:dyDescent="0.2">
      <c r="D501" s="83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</row>
    <row r="502" spans="4:22" x14ac:dyDescent="0.2">
      <c r="D502" s="83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</row>
    <row r="503" spans="4:22" x14ac:dyDescent="0.2">
      <c r="D503" s="83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</row>
    <row r="504" spans="4:22" x14ac:dyDescent="0.2">
      <c r="D504" s="83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</row>
    <row r="505" spans="4:22" x14ac:dyDescent="0.2">
      <c r="D505" s="83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</row>
    <row r="506" spans="4:22" x14ac:dyDescent="0.2">
      <c r="D506" s="83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</row>
    <row r="507" spans="4:22" x14ac:dyDescent="0.2">
      <c r="D507" s="83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</row>
    <row r="508" spans="4:22" x14ac:dyDescent="0.2">
      <c r="D508" s="83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</row>
    <row r="509" spans="4:22" x14ac:dyDescent="0.2">
      <c r="D509" s="83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</row>
    <row r="510" spans="4:22" x14ac:dyDescent="0.2">
      <c r="D510" s="83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</row>
    <row r="511" spans="4:22" x14ac:dyDescent="0.2">
      <c r="D511" s="83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</row>
    <row r="512" spans="4:22" x14ac:dyDescent="0.2">
      <c r="D512" s="83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</row>
    <row r="513" spans="4:22" x14ac:dyDescent="0.2">
      <c r="D513" s="83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</row>
    <row r="514" spans="4:22" x14ac:dyDescent="0.2">
      <c r="D514" s="83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</row>
    <row r="515" spans="4:22" x14ac:dyDescent="0.2">
      <c r="D515" s="83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</row>
    <row r="516" spans="4:22" x14ac:dyDescent="0.2">
      <c r="D516" s="83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</row>
    <row r="517" spans="4:22" x14ac:dyDescent="0.2">
      <c r="D517" s="83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</row>
    <row r="518" spans="4:22" x14ac:dyDescent="0.2">
      <c r="D518" s="83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</row>
    <row r="519" spans="4:22" x14ac:dyDescent="0.2">
      <c r="D519" s="83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</row>
    <row r="520" spans="4:22" x14ac:dyDescent="0.2">
      <c r="D520" s="83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</row>
    <row r="521" spans="4:22" x14ac:dyDescent="0.2">
      <c r="D521" s="83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</row>
    <row r="522" spans="4:22" x14ac:dyDescent="0.2">
      <c r="D522" s="83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</row>
    <row r="523" spans="4:22" x14ac:dyDescent="0.2">
      <c r="D523" s="83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</row>
    <row r="524" spans="4:22" x14ac:dyDescent="0.2">
      <c r="D524" s="83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</row>
    <row r="525" spans="4:22" x14ac:dyDescent="0.2">
      <c r="D525" s="83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</row>
    <row r="526" spans="4:22" x14ac:dyDescent="0.2">
      <c r="D526" s="83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</row>
    <row r="527" spans="4:22" x14ac:dyDescent="0.2">
      <c r="D527" s="83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</row>
    <row r="528" spans="4:22" x14ac:dyDescent="0.2">
      <c r="D528" s="83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</row>
    <row r="529" spans="4:22" x14ac:dyDescent="0.2">
      <c r="D529" s="83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</row>
    <row r="530" spans="4:22" x14ac:dyDescent="0.2">
      <c r="D530" s="83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</row>
    <row r="531" spans="4:22" x14ac:dyDescent="0.2">
      <c r="D531" s="83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</row>
    <row r="532" spans="4:22" x14ac:dyDescent="0.2">
      <c r="D532" s="83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</row>
    <row r="533" spans="4:22" x14ac:dyDescent="0.2">
      <c r="D533" s="83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</row>
    <row r="534" spans="4:22" x14ac:dyDescent="0.2">
      <c r="D534" s="83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</row>
    <row r="535" spans="4:22" x14ac:dyDescent="0.2">
      <c r="D535" s="83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</row>
    <row r="536" spans="4:22" x14ac:dyDescent="0.2">
      <c r="D536" s="83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</row>
    <row r="537" spans="4:22" x14ac:dyDescent="0.2">
      <c r="D537" s="83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</row>
    <row r="538" spans="4:22" x14ac:dyDescent="0.2">
      <c r="D538" s="83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</row>
    <row r="539" spans="4:22" x14ac:dyDescent="0.2">
      <c r="D539" s="83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</row>
    <row r="540" spans="4:22" x14ac:dyDescent="0.2">
      <c r="D540" s="83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</row>
    <row r="541" spans="4:22" x14ac:dyDescent="0.2">
      <c r="D541" s="83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</row>
    <row r="542" spans="4:22" x14ac:dyDescent="0.2">
      <c r="D542" s="83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</row>
    <row r="543" spans="4:22" x14ac:dyDescent="0.2">
      <c r="D543" s="83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</row>
    <row r="544" spans="4:22" x14ac:dyDescent="0.2">
      <c r="D544" s="83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</row>
    <row r="545" spans="4:22" x14ac:dyDescent="0.2">
      <c r="D545" s="83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</row>
    <row r="546" spans="4:22" x14ac:dyDescent="0.2">
      <c r="D546" s="83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</row>
    <row r="547" spans="4:22" x14ac:dyDescent="0.2">
      <c r="D547" s="83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</row>
    <row r="548" spans="4:22" x14ac:dyDescent="0.2">
      <c r="D548" s="83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</row>
    <row r="549" spans="4:22" x14ac:dyDescent="0.2">
      <c r="D549" s="83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</row>
    <row r="550" spans="4:22" x14ac:dyDescent="0.2">
      <c r="D550" s="83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</row>
    <row r="551" spans="4:22" x14ac:dyDescent="0.2">
      <c r="D551" s="83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</row>
    <row r="552" spans="4:22" x14ac:dyDescent="0.2">
      <c r="D552" s="83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</row>
    <row r="553" spans="4:22" x14ac:dyDescent="0.2">
      <c r="D553" s="83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</row>
    <row r="554" spans="4:22" x14ac:dyDescent="0.2">
      <c r="D554" s="83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</row>
    <row r="555" spans="4:22" x14ac:dyDescent="0.2">
      <c r="D555" s="83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</row>
    <row r="556" spans="4:22" x14ac:dyDescent="0.2">
      <c r="D556" s="83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</row>
    <row r="557" spans="4:22" x14ac:dyDescent="0.2">
      <c r="D557" s="83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</row>
    <row r="558" spans="4:22" x14ac:dyDescent="0.2">
      <c r="D558" s="83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</row>
    <row r="559" spans="4:22" x14ac:dyDescent="0.2">
      <c r="D559" s="83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</row>
    <row r="560" spans="4:22" x14ac:dyDescent="0.2">
      <c r="D560" s="83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</row>
    <row r="561" spans="4:22" x14ac:dyDescent="0.2">
      <c r="D561" s="83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</row>
    <row r="562" spans="4:22" x14ac:dyDescent="0.2">
      <c r="D562" s="83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</row>
    <row r="563" spans="4:22" x14ac:dyDescent="0.2">
      <c r="D563" s="83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</row>
    <row r="564" spans="4:22" x14ac:dyDescent="0.2">
      <c r="D564" s="83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</row>
    <row r="565" spans="4:22" x14ac:dyDescent="0.2">
      <c r="D565" s="83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</row>
    <row r="566" spans="4:22" x14ac:dyDescent="0.2">
      <c r="D566" s="83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</row>
    <row r="567" spans="4:22" x14ac:dyDescent="0.2">
      <c r="D567" s="83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</row>
    <row r="568" spans="4:22" x14ac:dyDescent="0.2">
      <c r="D568" s="83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</row>
    <row r="569" spans="4:22" x14ac:dyDescent="0.2">
      <c r="D569" s="83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</row>
    <row r="570" spans="4:22" x14ac:dyDescent="0.2">
      <c r="D570" s="83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</row>
    <row r="571" spans="4:22" x14ac:dyDescent="0.2">
      <c r="D571" s="83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</row>
    <row r="572" spans="4:22" x14ac:dyDescent="0.2">
      <c r="D572" s="83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</row>
    <row r="573" spans="4:22" x14ac:dyDescent="0.2">
      <c r="D573" s="83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</row>
    <row r="574" spans="4:22" x14ac:dyDescent="0.2">
      <c r="D574" s="83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</row>
    <row r="575" spans="4:22" x14ac:dyDescent="0.2">
      <c r="D575" s="83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</row>
    <row r="576" spans="4:22" x14ac:dyDescent="0.2">
      <c r="D576" s="83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</row>
    <row r="577" spans="4:22" x14ac:dyDescent="0.2">
      <c r="D577" s="83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</row>
    <row r="578" spans="4:22" x14ac:dyDescent="0.2">
      <c r="D578" s="83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</row>
    <row r="579" spans="4:22" x14ac:dyDescent="0.2">
      <c r="D579" s="83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</row>
    <row r="580" spans="4:22" x14ac:dyDescent="0.2">
      <c r="D580" s="83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</row>
    <row r="581" spans="4:22" x14ac:dyDescent="0.2">
      <c r="D581" s="83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</row>
    <row r="582" spans="4:22" x14ac:dyDescent="0.2">
      <c r="D582" s="83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</row>
    <row r="583" spans="4:22" x14ac:dyDescent="0.2">
      <c r="D583" s="83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</row>
    <row r="584" spans="4:22" x14ac:dyDescent="0.2">
      <c r="D584" s="83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</row>
    <row r="585" spans="4:22" x14ac:dyDescent="0.2">
      <c r="D585" s="83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</row>
    <row r="586" spans="4:22" x14ac:dyDescent="0.2">
      <c r="D586" s="83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</row>
    <row r="587" spans="4:22" x14ac:dyDescent="0.2">
      <c r="D587" s="83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</row>
    <row r="588" spans="4:22" x14ac:dyDescent="0.2">
      <c r="D588" s="83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</row>
    <row r="589" spans="4:22" x14ac:dyDescent="0.2">
      <c r="D589" s="83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</row>
    <row r="590" spans="4:22" x14ac:dyDescent="0.2">
      <c r="D590" s="83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</row>
    <row r="591" spans="4:22" x14ac:dyDescent="0.2">
      <c r="D591" s="83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</row>
    <row r="592" spans="4:22" x14ac:dyDescent="0.2">
      <c r="D592" s="83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</row>
    <row r="593" spans="4:22" x14ac:dyDescent="0.2">
      <c r="D593" s="83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</row>
    <row r="594" spans="4:22" x14ac:dyDescent="0.2">
      <c r="D594" s="83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</row>
    <row r="595" spans="4:22" x14ac:dyDescent="0.2">
      <c r="D595" s="83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</row>
    <row r="596" spans="4:22" x14ac:dyDescent="0.2">
      <c r="D596" s="83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</row>
    <row r="597" spans="4:22" x14ac:dyDescent="0.2">
      <c r="D597" s="83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</row>
    <row r="598" spans="4:22" x14ac:dyDescent="0.2">
      <c r="D598" s="83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</row>
    <row r="599" spans="4:22" x14ac:dyDescent="0.2">
      <c r="D599" s="83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</row>
    <row r="600" spans="4:22" x14ac:dyDescent="0.2">
      <c r="D600" s="83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</row>
    <row r="601" spans="4:22" x14ac:dyDescent="0.2">
      <c r="D601" s="83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</row>
    <row r="602" spans="4:22" x14ac:dyDescent="0.2">
      <c r="D602" s="83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</row>
    <row r="603" spans="4:22" x14ac:dyDescent="0.2">
      <c r="D603" s="83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</row>
    <row r="604" spans="4:22" x14ac:dyDescent="0.2">
      <c r="D604" s="83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</row>
    <row r="605" spans="4:22" x14ac:dyDescent="0.2">
      <c r="D605" s="83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</row>
    <row r="606" spans="4:22" x14ac:dyDescent="0.2">
      <c r="D606" s="83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</row>
    <row r="607" spans="4:22" x14ac:dyDescent="0.2">
      <c r="D607" s="83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</row>
    <row r="608" spans="4:22" x14ac:dyDescent="0.2">
      <c r="D608" s="83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</row>
    <row r="609" spans="4:22" x14ac:dyDescent="0.2">
      <c r="D609" s="83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</row>
    <row r="610" spans="4:22" x14ac:dyDescent="0.2">
      <c r="D610" s="83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</row>
    <row r="611" spans="4:22" x14ac:dyDescent="0.2">
      <c r="D611" s="83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</row>
    <row r="612" spans="4:22" x14ac:dyDescent="0.2">
      <c r="D612" s="83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</row>
    <row r="613" spans="4:22" x14ac:dyDescent="0.2">
      <c r="D613" s="83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</row>
    <row r="614" spans="4:22" x14ac:dyDescent="0.2">
      <c r="D614" s="83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</row>
    <row r="615" spans="4:22" x14ac:dyDescent="0.2">
      <c r="D615" s="83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</row>
    <row r="616" spans="4:22" x14ac:dyDescent="0.2">
      <c r="D616" s="83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</row>
    <row r="617" spans="4:22" x14ac:dyDescent="0.2">
      <c r="D617" s="83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</row>
    <row r="618" spans="4:22" x14ac:dyDescent="0.2">
      <c r="D618" s="83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</row>
    <row r="619" spans="4:22" x14ac:dyDescent="0.2">
      <c r="D619" s="83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</row>
    <row r="620" spans="4:22" x14ac:dyDescent="0.2">
      <c r="D620" s="83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</row>
    <row r="621" spans="4:22" x14ac:dyDescent="0.2">
      <c r="D621" s="83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</row>
    <row r="622" spans="4:22" x14ac:dyDescent="0.2">
      <c r="D622" s="83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</row>
    <row r="623" spans="4:22" x14ac:dyDescent="0.2">
      <c r="D623" s="83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</row>
    <row r="624" spans="4:22" x14ac:dyDescent="0.2">
      <c r="D624" s="83"/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</row>
    <row r="625" spans="4:22" x14ac:dyDescent="0.2">
      <c r="D625" s="83"/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</row>
    <row r="626" spans="4:22" x14ac:dyDescent="0.2">
      <c r="D626" s="83"/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</row>
    <row r="627" spans="4:22" x14ac:dyDescent="0.2">
      <c r="D627" s="83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</row>
    <row r="628" spans="4:22" x14ac:dyDescent="0.2">
      <c r="D628" s="83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</row>
    <row r="629" spans="4:22" x14ac:dyDescent="0.2">
      <c r="D629" s="83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</row>
    <row r="630" spans="4:22" x14ac:dyDescent="0.2">
      <c r="D630" s="83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</row>
    <row r="631" spans="4:22" x14ac:dyDescent="0.2">
      <c r="D631" s="83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</row>
    <row r="632" spans="4:22" x14ac:dyDescent="0.2">
      <c r="D632" s="83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  <c r="S632" s="84"/>
      <c r="T632" s="84"/>
      <c r="U632" s="84"/>
      <c r="V632" s="84"/>
    </row>
    <row r="633" spans="4:22" x14ac:dyDescent="0.2">
      <c r="D633" s="83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</row>
    <row r="634" spans="4:22" x14ac:dyDescent="0.2">
      <c r="D634" s="83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</row>
    <row r="635" spans="4:22" x14ac:dyDescent="0.2">
      <c r="D635" s="83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</row>
    <row r="636" spans="4:22" x14ac:dyDescent="0.2">
      <c r="D636" s="83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</row>
    <row r="637" spans="4:22" x14ac:dyDescent="0.2">
      <c r="D637" s="83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</row>
    <row r="638" spans="4:22" x14ac:dyDescent="0.2">
      <c r="D638" s="83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</row>
    <row r="639" spans="4:22" x14ac:dyDescent="0.2">
      <c r="D639" s="83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</row>
    <row r="640" spans="4:22" x14ac:dyDescent="0.2">
      <c r="D640" s="83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</row>
    <row r="641" spans="4:22" x14ac:dyDescent="0.2">
      <c r="D641" s="83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</row>
    <row r="642" spans="4:22" x14ac:dyDescent="0.2">
      <c r="D642" s="83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</row>
    <row r="643" spans="4:22" x14ac:dyDescent="0.2">
      <c r="D643" s="83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</row>
    <row r="644" spans="4:22" x14ac:dyDescent="0.2">
      <c r="D644" s="83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</row>
    <row r="645" spans="4:22" x14ac:dyDescent="0.2">
      <c r="D645" s="83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</row>
    <row r="646" spans="4:22" x14ac:dyDescent="0.2">
      <c r="D646" s="83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</row>
    <row r="647" spans="4:22" x14ac:dyDescent="0.2">
      <c r="D647" s="83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</row>
    <row r="648" spans="4:22" x14ac:dyDescent="0.2">
      <c r="D648" s="83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</row>
    <row r="649" spans="4:22" x14ac:dyDescent="0.2">
      <c r="D649" s="83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</row>
    <row r="650" spans="4:22" x14ac:dyDescent="0.2">
      <c r="D650" s="83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</row>
    <row r="651" spans="4:22" x14ac:dyDescent="0.2">
      <c r="D651" s="83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</row>
    <row r="652" spans="4:22" x14ac:dyDescent="0.2">
      <c r="D652" s="83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</row>
    <row r="653" spans="4:22" x14ac:dyDescent="0.2">
      <c r="D653" s="83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</row>
    <row r="654" spans="4:22" x14ac:dyDescent="0.2">
      <c r="D654" s="83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</row>
    <row r="655" spans="4:22" x14ac:dyDescent="0.2">
      <c r="D655" s="83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</row>
    <row r="656" spans="4:22" x14ac:dyDescent="0.2">
      <c r="D656" s="83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</row>
    <row r="657" spans="4:22" x14ac:dyDescent="0.2">
      <c r="D657" s="83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</row>
    <row r="658" spans="4:22" x14ac:dyDescent="0.2">
      <c r="D658" s="83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</row>
    <row r="659" spans="4:22" x14ac:dyDescent="0.2">
      <c r="D659" s="83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</row>
    <row r="660" spans="4:22" x14ac:dyDescent="0.2">
      <c r="D660" s="83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</row>
    <row r="661" spans="4:22" x14ac:dyDescent="0.2">
      <c r="D661" s="83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</row>
    <row r="662" spans="4:22" x14ac:dyDescent="0.2">
      <c r="D662" s="83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</row>
    <row r="663" spans="4:22" x14ac:dyDescent="0.2">
      <c r="D663" s="83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</row>
    <row r="664" spans="4:22" x14ac:dyDescent="0.2">
      <c r="D664" s="83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</row>
    <row r="665" spans="4:22" x14ac:dyDescent="0.2">
      <c r="D665" s="83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</row>
    <row r="666" spans="4:22" x14ac:dyDescent="0.2">
      <c r="D666" s="83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  <c r="S666" s="84"/>
      <c r="T666" s="84"/>
      <c r="U666" s="84"/>
      <c r="V666" s="84"/>
    </row>
    <row r="667" spans="4:22" x14ac:dyDescent="0.2">
      <c r="D667" s="83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</row>
    <row r="668" spans="4:22" x14ac:dyDescent="0.2">
      <c r="D668" s="83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</row>
    <row r="669" spans="4:22" x14ac:dyDescent="0.2">
      <c r="D669" s="83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</row>
    <row r="670" spans="4:22" x14ac:dyDescent="0.2">
      <c r="D670" s="83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</row>
    <row r="671" spans="4:22" x14ac:dyDescent="0.2">
      <c r="D671" s="83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</row>
    <row r="672" spans="4:22" x14ac:dyDescent="0.2">
      <c r="D672" s="83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</row>
    <row r="673" spans="4:22" x14ac:dyDescent="0.2">
      <c r="D673" s="83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</row>
    <row r="674" spans="4:22" x14ac:dyDescent="0.2">
      <c r="D674" s="83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</row>
    <row r="675" spans="4:22" x14ac:dyDescent="0.2">
      <c r="D675" s="83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</row>
    <row r="676" spans="4:22" x14ac:dyDescent="0.2">
      <c r="D676" s="83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</row>
    <row r="677" spans="4:22" x14ac:dyDescent="0.2">
      <c r="D677" s="83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</row>
    <row r="678" spans="4:22" x14ac:dyDescent="0.2">
      <c r="D678" s="83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</row>
    <row r="679" spans="4:22" x14ac:dyDescent="0.2">
      <c r="D679" s="83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</row>
    <row r="680" spans="4:22" x14ac:dyDescent="0.2">
      <c r="D680" s="83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</row>
    <row r="681" spans="4:22" x14ac:dyDescent="0.2">
      <c r="D681" s="83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</row>
    <row r="682" spans="4:22" x14ac:dyDescent="0.2">
      <c r="D682" s="83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</row>
    <row r="683" spans="4:22" x14ac:dyDescent="0.2">
      <c r="D683" s="83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  <c r="S683" s="84"/>
      <c r="T683" s="84"/>
      <c r="U683" s="84"/>
      <c r="V683" s="84"/>
    </row>
    <row r="684" spans="4:22" x14ac:dyDescent="0.2">
      <c r="D684" s="83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</row>
    <row r="685" spans="4:22" x14ac:dyDescent="0.2">
      <c r="D685" s="83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</row>
    <row r="686" spans="4:22" x14ac:dyDescent="0.2">
      <c r="D686" s="83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</row>
    <row r="687" spans="4:22" x14ac:dyDescent="0.2">
      <c r="D687" s="83"/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</row>
    <row r="688" spans="4:22" x14ac:dyDescent="0.2">
      <c r="D688" s="83"/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</row>
    <row r="689" spans="4:22" x14ac:dyDescent="0.2">
      <c r="D689" s="83"/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</row>
    <row r="690" spans="4:22" x14ac:dyDescent="0.2">
      <c r="D690" s="83"/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</row>
    <row r="691" spans="4:22" x14ac:dyDescent="0.2">
      <c r="D691" s="83"/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</row>
    <row r="692" spans="4:22" x14ac:dyDescent="0.2">
      <c r="D692" s="83"/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</row>
    <row r="693" spans="4:22" x14ac:dyDescent="0.2">
      <c r="D693" s="83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</row>
    <row r="694" spans="4:22" x14ac:dyDescent="0.2">
      <c r="D694" s="83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</row>
    <row r="695" spans="4:22" x14ac:dyDescent="0.2">
      <c r="D695" s="83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</row>
    <row r="696" spans="4:22" x14ac:dyDescent="0.2">
      <c r="D696" s="83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</row>
    <row r="697" spans="4:22" x14ac:dyDescent="0.2">
      <c r="D697" s="83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</row>
    <row r="698" spans="4:22" x14ac:dyDescent="0.2">
      <c r="D698" s="83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</row>
    <row r="699" spans="4:22" x14ac:dyDescent="0.2">
      <c r="D699" s="83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</row>
    <row r="700" spans="4:22" x14ac:dyDescent="0.2">
      <c r="D700" s="83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  <c r="S700" s="84"/>
      <c r="T700" s="84"/>
      <c r="U700" s="84"/>
      <c r="V700" s="84"/>
    </row>
    <row r="701" spans="4:22" x14ac:dyDescent="0.2">
      <c r="D701" s="83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</row>
    <row r="702" spans="4:22" x14ac:dyDescent="0.2">
      <c r="D702" s="83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</row>
    <row r="703" spans="4:22" x14ac:dyDescent="0.2">
      <c r="D703" s="83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</row>
    <row r="704" spans="4:22" x14ac:dyDescent="0.2">
      <c r="D704" s="83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</row>
    <row r="705" spans="4:22" x14ac:dyDescent="0.2">
      <c r="D705" s="83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</row>
    <row r="706" spans="4:22" x14ac:dyDescent="0.2">
      <c r="D706" s="83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</row>
    <row r="707" spans="4:22" x14ac:dyDescent="0.2">
      <c r="D707" s="83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</row>
    <row r="708" spans="4:22" x14ac:dyDescent="0.2">
      <c r="D708" s="83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</row>
    <row r="709" spans="4:22" x14ac:dyDescent="0.2">
      <c r="D709" s="83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</row>
    <row r="710" spans="4:22" x14ac:dyDescent="0.2">
      <c r="D710" s="83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</row>
    <row r="711" spans="4:22" x14ac:dyDescent="0.2">
      <c r="D711" s="83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</row>
    <row r="712" spans="4:22" x14ac:dyDescent="0.2">
      <c r="D712" s="83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</row>
    <row r="713" spans="4:22" x14ac:dyDescent="0.2">
      <c r="D713" s="83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</row>
    <row r="714" spans="4:22" x14ac:dyDescent="0.2">
      <c r="D714" s="83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</row>
    <row r="715" spans="4:22" x14ac:dyDescent="0.2">
      <c r="D715" s="83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</row>
    <row r="716" spans="4:22" x14ac:dyDescent="0.2">
      <c r="D716" s="83"/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</row>
    <row r="717" spans="4:22" x14ac:dyDescent="0.2">
      <c r="D717" s="83"/>
      <c r="E717" s="84"/>
      <c r="F717" s="84"/>
      <c r="G717" s="84"/>
      <c r="H717" s="84"/>
      <c r="I717" s="84"/>
      <c r="J717" s="84"/>
      <c r="K717" s="84"/>
      <c r="L717" s="84"/>
      <c r="M717" s="84"/>
      <c r="N717" s="84"/>
      <c r="O717" s="84"/>
      <c r="P717" s="84"/>
      <c r="Q717" s="84"/>
      <c r="R717" s="84"/>
      <c r="S717" s="84"/>
      <c r="T717" s="84"/>
      <c r="U717" s="84"/>
      <c r="V717" s="84"/>
    </row>
    <row r="718" spans="4:22" x14ac:dyDescent="0.2">
      <c r="D718" s="83"/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</row>
    <row r="719" spans="4:22" x14ac:dyDescent="0.2">
      <c r="D719" s="83"/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</row>
    <row r="720" spans="4:22" x14ac:dyDescent="0.2"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</row>
    <row r="721" spans="5:22" x14ac:dyDescent="0.2"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</row>
    <row r="722" spans="5:22" x14ac:dyDescent="0.2"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</row>
    <row r="723" spans="5:22" x14ac:dyDescent="0.2"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</row>
    <row r="724" spans="5:22" x14ac:dyDescent="0.2"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</row>
    <row r="725" spans="5:22" x14ac:dyDescent="0.2"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</row>
    <row r="726" spans="5:22" x14ac:dyDescent="0.2"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</row>
    <row r="727" spans="5:22" x14ac:dyDescent="0.2"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</row>
    <row r="728" spans="5:22" x14ac:dyDescent="0.2"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</row>
    <row r="729" spans="5:22" x14ac:dyDescent="0.2"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</row>
    <row r="730" spans="5:22" x14ac:dyDescent="0.2"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</row>
    <row r="731" spans="5:22" x14ac:dyDescent="0.2"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</row>
    <row r="732" spans="5:22" x14ac:dyDescent="0.2"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</row>
    <row r="733" spans="5:22" x14ac:dyDescent="0.2"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</row>
    <row r="734" spans="5:22" x14ac:dyDescent="0.2"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  <c r="S734" s="84"/>
      <c r="T734" s="84"/>
      <c r="U734" s="84"/>
      <c r="V734" s="84"/>
    </row>
    <row r="735" spans="5:22" x14ac:dyDescent="0.2"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</row>
    <row r="736" spans="5:22" x14ac:dyDescent="0.2"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</row>
    <row r="737" spans="5:22" x14ac:dyDescent="0.2"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</row>
    <row r="738" spans="5:22" x14ac:dyDescent="0.2"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</row>
    <row r="739" spans="5:22" x14ac:dyDescent="0.2"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</row>
    <row r="740" spans="5:22" x14ac:dyDescent="0.2"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</row>
    <row r="741" spans="5:22" x14ac:dyDescent="0.2"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</row>
    <row r="742" spans="5:22" x14ac:dyDescent="0.2"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</row>
    <row r="743" spans="5:22" x14ac:dyDescent="0.2"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</row>
    <row r="744" spans="5:22" x14ac:dyDescent="0.2"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</row>
    <row r="745" spans="5:22" x14ac:dyDescent="0.2"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</row>
    <row r="746" spans="5:22" x14ac:dyDescent="0.2"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</row>
    <row r="747" spans="5:22" x14ac:dyDescent="0.2"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</row>
    <row r="748" spans="5:22" x14ac:dyDescent="0.2"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</row>
    <row r="749" spans="5:22" x14ac:dyDescent="0.2"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</row>
    <row r="750" spans="5:22" x14ac:dyDescent="0.2"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</row>
    <row r="751" spans="5:22" x14ac:dyDescent="0.2"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  <c r="S751" s="84"/>
      <c r="T751" s="84"/>
      <c r="U751" s="84"/>
      <c r="V751" s="84"/>
    </row>
    <row r="752" spans="5:22" x14ac:dyDescent="0.2"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</row>
    <row r="753" spans="5:22" x14ac:dyDescent="0.2"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</row>
    <row r="754" spans="5:22" x14ac:dyDescent="0.2"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</row>
    <row r="755" spans="5:22" x14ac:dyDescent="0.2"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</row>
    <row r="756" spans="5:22" x14ac:dyDescent="0.2"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</row>
    <row r="757" spans="5:22" x14ac:dyDescent="0.2"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</row>
    <row r="758" spans="5:22" x14ac:dyDescent="0.2"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</row>
    <row r="759" spans="5:22" x14ac:dyDescent="0.2"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</row>
    <row r="760" spans="5:22" x14ac:dyDescent="0.2"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</row>
    <row r="761" spans="5:22" x14ac:dyDescent="0.2"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</row>
    <row r="762" spans="5:22" x14ac:dyDescent="0.2"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</row>
    <row r="763" spans="5:22" x14ac:dyDescent="0.2"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</row>
    <row r="764" spans="5:22" x14ac:dyDescent="0.2"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</row>
    <row r="765" spans="5:22" x14ac:dyDescent="0.2"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</row>
    <row r="766" spans="5:22" x14ac:dyDescent="0.2"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</row>
    <row r="767" spans="5:22" x14ac:dyDescent="0.2"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</row>
    <row r="768" spans="5:22" x14ac:dyDescent="0.2">
      <c r="E768" s="84"/>
      <c r="F768" s="84"/>
      <c r="G768" s="84"/>
      <c r="H768" s="84"/>
      <c r="I768" s="84"/>
      <c r="J768" s="84"/>
      <c r="K768" s="84"/>
      <c r="L768" s="84"/>
      <c r="M768" s="84"/>
      <c r="N768" s="84"/>
      <c r="O768" s="84"/>
      <c r="P768" s="84"/>
      <c r="Q768" s="84"/>
      <c r="R768" s="84"/>
      <c r="S768" s="84"/>
      <c r="T768" s="84"/>
      <c r="U768" s="84"/>
      <c r="V768" s="84"/>
    </row>
    <row r="769" spans="5:22" x14ac:dyDescent="0.2"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</row>
    <row r="770" spans="5:22" x14ac:dyDescent="0.2"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</row>
    <row r="771" spans="5:22" x14ac:dyDescent="0.2"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</row>
    <row r="772" spans="5:22" x14ac:dyDescent="0.2"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</row>
    <row r="773" spans="5:22" x14ac:dyDescent="0.2"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</row>
    <row r="774" spans="5:22" x14ac:dyDescent="0.2"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</row>
    <row r="775" spans="5:22" x14ac:dyDescent="0.2"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</row>
    <row r="776" spans="5:22" x14ac:dyDescent="0.2"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</row>
    <row r="777" spans="5:22" x14ac:dyDescent="0.2"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</row>
    <row r="778" spans="5:22" x14ac:dyDescent="0.2"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</row>
    <row r="779" spans="5:22" x14ac:dyDescent="0.2"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</row>
    <row r="780" spans="5:22" x14ac:dyDescent="0.2"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</row>
    <row r="781" spans="5:22" x14ac:dyDescent="0.2"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</row>
    <row r="782" spans="5:22" x14ac:dyDescent="0.2"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</row>
    <row r="783" spans="5:22" x14ac:dyDescent="0.2"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</row>
    <row r="784" spans="5:22" x14ac:dyDescent="0.2"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</row>
    <row r="785" spans="5:22" x14ac:dyDescent="0.2"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  <c r="S785" s="84"/>
      <c r="T785" s="84"/>
      <c r="U785" s="84"/>
      <c r="V785" s="84"/>
    </row>
    <row r="786" spans="5:22" x14ac:dyDescent="0.2"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</row>
    <row r="787" spans="5:22" x14ac:dyDescent="0.2"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</row>
    <row r="788" spans="5:22" x14ac:dyDescent="0.2"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</row>
    <row r="789" spans="5:22" x14ac:dyDescent="0.2"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</row>
    <row r="790" spans="5:22" x14ac:dyDescent="0.2"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</row>
    <row r="791" spans="5:22" x14ac:dyDescent="0.2"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</row>
    <row r="792" spans="5:22" x14ac:dyDescent="0.2"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</row>
    <row r="793" spans="5:22" x14ac:dyDescent="0.2"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</row>
    <row r="794" spans="5:22" x14ac:dyDescent="0.2"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</row>
    <row r="795" spans="5:22" x14ac:dyDescent="0.2"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</row>
    <row r="796" spans="5:22" x14ac:dyDescent="0.2"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</row>
    <row r="797" spans="5:22" x14ac:dyDescent="0.2"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</row>
    <row r="798" spans="5:22" x14ac:dyDescent="0.2"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</row>
    <row r="799" spans="5:22" x14ac:dyDescent="0.2"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</row>
    <row r="800" spans="5:22" x14ac:dyDescent="0.2"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</row>
    <row r="801" spans="5:22" x14ac:dyDescent="0.2"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</row>
    <row r="802" spans="5:22" x14ac:dyDescent="0.2"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  <c r="S802" s="84"/>
      <c r="T802" s="84"/>
      <c r="U802" s="84"/>
      <c r="V802" s="84"/>
    </row>
    <row r="803" spans="5:22" x14ac:dyDescent="0.2"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</row>
    <row r="804" spans="5:22" x14ac:dyDescent="0.2"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</row>
    <row r="805" spans="5:22" x14ac:dyDescent="0.2"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</row>
    <row r="806" spans="5:22" x14ac:dyDescent="0.2"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</row>
    <row r="807" spans="5:22" x14ac:dyDescent="0.2"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</row>
    <row r="808" spans="5:22" x14ac:dyDescent="0.2"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</row>
    <row r="809" spans="5:22" x14ac:dyDescent="0.2"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</row>
    <row r="810" spans="5:22" x14ac:dyDescent="0.2"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</row>
    <row r="811" spans="5:22" x14ac:dyDescent="0.2"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</row>
    <row r="812" spans="5:22" x14ac:dyDescent="0.2"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</row>
    <row r="813" spans="5:22" x14ac:dyDescent="0.2"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</row>
    <row r="814" spans="5:22" x14ac:dyDescent="0.2"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</row>
    <row r="815" spans="5:22" x14ac:dyDescent="0.2"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</row>
    <row r="816" spans="5:22" x14ac:dyDescent="0.2"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</row>
    <row r="817" spans="5:22" x14ac:dyDescent="0.2"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</row>
    <row r="818" spans="5:22" x14ac:dyDescent="0.2"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</row>
    <row r="819" spans="5:22" x14ac:dyDescent="0.2"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  <c r="S819" s="84"/>
      <c r="T819" s="84"/>
      <c r="U819" s="84"/>
      <c r="V819" s="84"/>
    </row>
    <row r="820" spans="5:22" x14ac:dyDescent="0.2"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</row>
    <row r="821" spans="5:22" x14ac:dyDescent="0.2"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</row>
    <row r="822" spans="5:22" x14ac:dyDescent="0.2"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</row>
    <row r="823" spans="5:22" x14ac:dyDescent="0.2"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</row>
    <row r="824" spans="5:22" x14ac:dyDescent="0.2"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</row>
    <row r="825" spans="5:22" x14ac:dyDescent="0.2"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</row>
    <row r="826" spans="5:22" x14ac:dyDescent="0.2"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</row>
    <row r="827" spans="5:22" x14ac:dyDescent="0.2"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</row>
    <row r="828" spans="5:22" x14ac:dyDescent="0.2"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</row>
    <row r="829" spans="5:22" x14ac:dyDescent="0.2"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</row>
    <row r="830" spans="5:22" x14ac:dyDescent="0.2"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</row>
    <row r="831" spans="5:22" x14ac:dyDescent="0.2"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</row>
    <row r="832" spans="5:22" x14ac:dyDescent="0.2"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</row>
    <row r="833" spans="5:22" x14ac:dyDescent="0.2"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</row>
    <row r="834" spans="5:22" x14ac:dyDescent="0.2"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</row>
    <row r="835" spans="5:22" x14ac:dyDescent="0.2"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</row>
    <row r="836" spans="5:22" x14ac:dyDescent="0.2"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  <c r="S836" s="84"/>
      <c r="T836" s="84"/>
      <c r="U836" s="84"/>
      <c r="V836" s="84"/>
    </row>
    <row r="837" spans="5:22" x14ac:dyDescent="0.2"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</row>
    <row r="838" spans="5:22" x14ac:dyDescent="0.2"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</row>
    <row r="839" spans="5:22" x14ac:dyDescent="0.2"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</row>
    <row r="840" spans="5:22" x14ac:dyDescent="0.2"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</row>
    <row r="841" spans="5:22" x14ac:dyDescent="0.2"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</row>
    <row r="842" spans="5:22" x14ac:dyDescent="0.2"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</row>
    <row r="843" spans="5:22" x14ac:dyDescent="0.2"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</row>
    <row r="844" spans="5:22" x14ac:dyDescent="0.2"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</row>
    <row r="845" spans="5:22" x14ac:dyDescent="0.2"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</row>
    <row r="846" spans="5:22" x14ac:dyDescent="0.2"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</row>
    <row r="847" spans="5:22" x14ac:dyDescent="0.2"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</row>
    <row r="848" spans="5:22" x14ac:dyDescent="0.2"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</row>
    <row r="849" spans="5:22" x14ac:dyDescent="0.2"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</row>
    <row r="850" spans="5:22" x14ac:dyDescent="0.2"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</row>
    <row r="851" spans="5:22" x14ac:dyDescent="0.2"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</row>
    <row r="852" spans="5:22" x14ac:dyDescent="0.2"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</row>
    <row r="853" spans="5:22" x14ac:dyDescent="0.2"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  <c r="S853" s="84"/>
      <c r="T853" s="84"/>
      <c r="U853" s="84"/>
      <c r="V853" s="84"/>
    </row>
    <row r="854" spans="5:22" x14ac:dyDescent="0.2"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</row>
    <row r="855" spans="5:22" x14ac:dyDescent="0.2"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</row>
    <row r="856" spans="5:22" x14ac:dyDescent="0.2"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</row>
    <row r="857" spans="5:22" x14ac:dyDescent="0.2"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</row>
    <row r="858" spans="5:22" x14ac:dyDescent="0.2"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</row>
    <row r="859" spans="5:22" x14ac:dyDescent="0.2"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</row>
    <row r="860" spans="5:22" x14ac:dyDescent="0.2"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</row>
    <row r="861" spans="5:22" x14ac:dyDescent="0.2"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</row>
    <row r="862" spans="5:22" x14ac:dyDescent="0.2"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</row>
    <row r="863" spans="5:22" x14ac:dyDescent="0.2"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</row>
    <row r="864" spans="5:22" x14ac:dyDescent="0.2"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</row>
    <row r="865" spans="5:22" x14ac:dyDescent="0.2"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</row>
    <row r="866" spans="5:22" x14ac:dyDescent="0.2"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</row>
    <row r="867" spans="5:22" x14ac:dyDescent="0.2"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</row>
    <row r="868" spans="5:22" x14ac:dyDescent="0.2"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</row>
    <row r="869" spans="5:22" x14ac:dyDescent="0.2"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</row>
    <row r="870" spans="5:22" x14ac:dyDescent="0.2"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  <c r="S870" s="84"/>
      <c r="T870" s="84"/>
      <c r="U870" s="84"/>
      <c r="V870" s="84"/>
    </row>
    <row r="871" spans="5:22" x14ac:dyDescent="0.2"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4"/>
      <c r="V871" s="84"/>
    </row>
    <row r="872" spans="5:22" x14ac:dyDescent="0.2"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4"/>
      <c r="V872" s="84"/>
    </row>
    <row r="873" spans="5:22" x14ac:dyDescent="0.2"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4"/>
      <c r="V873" s="84"/>
    </row>
    <row r="874" spans="5:22" x14ac:dyDescent="0.2"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4"/>
      <c r="V874" s="84"/>
    </row>
    <row r="875" spans="5:22" x14ac:dyDescent="0.2"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4"/>
      <c r="V875" s="84"/>
    </row>
    <row r="876" spans="5:22" x14ac:dyDescent="0.2"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4"/>
      <c r="V876" s="84"/>
    </row>
    <row r="877" spans="5:22" x14ac:dyDescent="0.2"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4"/>
      <c r="V877" s="84"/>
    </row>
    <row r="878" spans="5:22" x14ac:dyDescent="0.2"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4"/>
      <c r="V878" s="84"/>
    </row>
    <row r="879" spans="5:22" x14ac:dyDescent="0.2"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4"/>
      <c r="V879" s="84"/>
    </row>
    <row r="880" spans="5:22" x14ac:dyDescent="0.2"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4"/>
      <c r="V880" s="84"/>
    </row>
    <row r="881" spans="5:22" x14ac:dyDescent="0.2"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4"/>
      <c r="V881" s="84"/>
    </row>
    <row r="882" spans="5:22" x14ac:dyDescent="0.2"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4"/>
      <c r="V882" s="84"/>
    </row>
    <row r="883" spans="5:22" x14ac:dyDescent="0.2"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4"/>
      <c r="V883" s="84"/>
    </row>
    <row r="884" spans="5:22" x14ac:dyDescent="0.2"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4"/>
      <c r="V884" s="84"/>
    </row>
    <row r="885" spans="5:22" x14ac:dyDescent="0.2"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4"/>
      <c r="V885" s="84"/>
    </row>
    <row r="886" spans="5:22" x14ac:dyDescent="0.2"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4"/>
      <c r="V886" s="84"/>
    </row>
    <row r="887" spans="5:22" x14ac:dyDescent="0.2"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  <c r="S887" s="84"/>
      <c r="T887" s="84"/>
      <c r="U887" s="84"/>
      <c r="V887" s="84"/>
    </row>
    <row r="888" spans="5:22" x14ac:dyDescent="0.2"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4"/>
      <c r="V888" s="84"/>
    </row>
    <row r="889" spans="5:22" x14ac:dyDescent="0.2"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4"/>
      <c r="V889" s="84"/>
    </row>
    <row r="890" spans="5:22" x14ac:dyDescent="0.2"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4"/>
      <c r="V890" s="84"/>
    </row>
    <row r="891" spans="5:22" x14ac:dyDescent="0.2"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4"/>
      <c r="V891" s="84"/>
    </row>
    <row r="892" spans="5:22" x14ac:dyDescent="0.2"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4"/>
      <c r="V892" s="84"/>
    </row>
    <row r="893" spans="5:22" x14ac:dyDescent="0.2"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4"/>
      <c r="V893" s="84"/>
    </row>
    <row r="894" spans="5:22" x14ac:dyDescent="0.2"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4"/>
      <c r="V894" s="84"/>
    </row>
    <row r="895" spans="5:22" x14ac:dyDescent="0.2"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4"/>
      <c r="V895" s="84"/>
    </row>
    <row r="896" spans="5:22" x14ac:dyDescent="0.2"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4"/>
      <c r="V896" s="84"/>
    </row>
    <row r="897" spans="5:22" x14ac:dyDescent="0.2"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4"/>
      <c r="V897" s="84"/>
    </row>
    <row r="898" spans="5:22" x14ac:dyDescent="0.2"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4"/>
      <c r="V898" s="84"/>
    </row>
    <row r="899" spans="5:22" x14ac:dyDescent="0.2"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4"/>
      <c r="V899" s="84"/>
    </row>
    <row r="900" spans="5:22" x14ac:dyDescent="0.2"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4"/>
      <c r="V900" s="84"/>
    </row>
    <row r="901" spans="5:22" x14ac:dyDescent="0.2"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4"/>
      <c r="V901" s="84"/>
    </row>
    <row r="902" spans="5:22" x14ac:dyDescent="0.2"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4"/>
      <c r="V902" s="84"/>
    </row>
    <row r="903" spans="5:22" x14ac:dyDescent="0.2"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4"/>
      <c r="V903" s="84"/>
    </row>
    <row r="904" spans="5:22" x14ac:dyDescent="0.2"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  <c r="R904" s="84"/>
      <c r="S904" s="84"/>
      <c r="T904" s="84"/>
      <c r="U904" s="84"/>
      <c r="V904" s="84"/>
    </row>
    <row r="905" spans="5:22" x14ac:dyDescent="0.2"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4"/>
      <c r="V905" s="84"/>
    </row>
    <row r="906" spans="5:22" x14ac:dyDescent="0.2"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4"/>
      <c r="V906" s="84"/>
    </row>
    <row r="907" spans="5:22" x14ac:dyDescent="0.2"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4"/>
      <c r="V907" s="84"/>
    </row>
    <row r="908" spans="5:22" x14ac:dyDescent="0.2"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4"/>
      <c r="V908" s="84"/>
    </row>
    <row r="909" spans="5:22" x14ac:dyDescent="0.2"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4"/>
      <c r="V909" s="84"/>
    </row>
    <row r="910" spans="5:22" x14ac:dyDescent="0.2"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4"/>
      <c r="V910" s="84"/>
    </row>
    <row r="911" spans="5:22" x14ac:dyDescent="0.2"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4"/>
      <c r="V911" s="84"/>
    </row>
    <row r="912" spans="5:22" x14ac:dyDescent="0.2"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4"/>
      <c r="V912" s="84"/>
    </row>
    <row r="913" spans="5:22" x14ac:dyDescent="0.2"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4"/>
      <c r="V913" s="84"/>
    </row>
    <row r="914" spans="5:22" x14ac:dyDescent="0.2"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4"/>
      <c r="V914" s="84"/>
    </row>
    <row r="915" spans="5:22" x14ac:dyDescent="0.2"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4"/>
      <c r="V915" s="84"/>
    </row>
    <row r="916" spans="5:22" x14ac:dyDescent="0.2"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4"/>
      <c r="V916" s="84"/>
    </row>
    <row r="917" spans="5:22" x14ac:dyDescent="0.2"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4"/>
      <c r="V917" s="84"/>
    </row>
    <row r="918" spans="5:22" x14ac:dyDescent="0.2"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4"/>
      <c r="V918" s="84"/>
    </row>
    <row r="919" spans="5:22" x14ac:dyDescent="0.2"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4"/>
      <c r="V919" s="84"/>
    </row>
    <row r="920" spans="5:22" x14ac:dyDescent="0.2"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4"/>
      <c r="V920" s="84"/>
    </row>
    <row r="921" spans="5:22" x14ac:dyDescent="0.2"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  <c r="S921" s="84"/>
      <c r="T921" s="84"/>
      <c r="U921" s="84"/>
      <c r="V921" s="84"/>
    </row>
    <row r="922" spans="5:22" x14ac:dyDescent="0.2"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4"/>
      <c r="V922" s="84"/>
    </row>
    <row r="923" spans="5:22" x14ac:dyDescent="0.2"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4"/>
      <c r="V923" s="84"/>
    </row>
    <row r="924" spans="5:22" x14ac:dyDescent="0.2"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4"/>
      <c r="V924" s="84"/>
    </row>
    <row r="925" spans="5:22" x14ac:dyDescent="0.2"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4"/>
      <c r="V925" s="84"/>
    </row>
    <row r="926" spans="5:22" x14ac:dyDescent="0.2"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4"/>
      <c r="V926" s="84"/>
    </row>
    <row r="927" spans="5:22" x14ac:dyDescent="0.2"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4"/>
      <c r="V927" s="84"/>
    </row>
    <row r="928" spans="5:22" x14ac:dyDescent="0.2"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4"/>
      <c r="V928" s="84"/>
    </row>
    <row r="929" spans="5:22" x14ac:dyDescent="0.2"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4"/>
      <c r="V929" s="84"/>
    </row>
    <row r="930" spans="5:22" x14ac:dyDescent="0.2"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4"/>
      <c r="V930" s="84"/>
    </row>
    <row r="931" spans="5:22" x14ac:dyDescent="0.2"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4"/>
      <c r="V931" s="84"/>
    </row>
    <row r="932" spans="5:22" x14ac:dyDescent="0.2"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4"/>
      <c r="V932" s="84"/>
    </row>
    <row r="933" spans="5:22" x14ac:dyDescent="0.2"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4"/>
      <c r="V933" s="84"/>
    </row>
    <row r="934" spans="5:22" x14ac:dyDescent="0.2"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4"/>
      <c r="V934" s="84"/>
    </row>
    <row r="935" spans="5:22" x14ac:dyDescent="0.2"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4"/>
      <c r="V935" s="84"/>
    </row>
    <row r="936" spans="5:22" x14ac:dyDescent="0.2"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4"/>
      <c r="V936" s="84"/>
    </row>
    <row r="937" spans="5:22" x14ac:dyDescent="0.2"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4"/>
      <c r="V937" s="84"/>
    </row>
    <row r="938" spans="5:22" x14ac:dyDescent="0.2"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  <c r="S938" s="84"/>
      <c r="T938" s="84"/>
      <c r="U938" s="84"/>
      <c r="V938" s="84"/>
    </row>
    <row r="939" spans="5:22" x14ac:dyDescent="0.2"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4"/>
      <c r="V939" s="84"/>
    </row>
    <row r="940" spans="5:22" x14ac:dyDescent="0.2"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4"/>
      <c r="V940" s="84"/>
    </row>
    <row r="941" spans="5:22" x14ac:dyDescent="0.2"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4"/>
      <c r="V941" s="84"/>
    </row>
    <row r="942" spans="5:22" x14ac:dyDescent="0.2"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4"/>
      <c r="V942" s="84"/>
    </row>
    <row r="943" spans="5:22" x14ac:dyDescent="0.2"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5:22" x14ac:dyDescent="0.2"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spans="5:22" x14ac:dyDescent="0.2"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4"/>
      <c r="V945" s="84"/>
    </row>
    <row r="946" spans="5:22" x14ac:dyDescent="0.2"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4"/>
      <c r="V946" s="84"/>
    </row>
    <row r="947" spans="5:22" x14ac:dyDescent="0.2"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4"/>
      <c r="V947" s="84"/>
    </row>
    <row r="948" spans="5:22" x14ac:dyDescent="0.2"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4"/>
      <c r="V948" s="84"/>
    </row>
    <row r="949" spans="5:22" x14ac:dyDescent="0.2"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4"/>
      <c r="V949" s="84"/>
    </row>
    <row r="950" spans="5:22" x14ac:dyDescent="0.2"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4"/>
      <c r="V950" s="84"/>
    </row>
    <row r="951" spans="5:22" x14ac:dyDescent="0.2"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4"/>
      <c r="V951" s="84"/>
    </row>
    <row r="952" spans="5:22" x14ac:dyDescent="0.2"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4"/>
      <c r="V952" s="84"/>
    </row>
    <row r="953" spans="5:22" x14ac:dyDescent="0.2"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V953" s="84"/>
    </row>
    <row r="954" spans="5:22" x14ac:dyDescent="0.2"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4"/>
      <c r="V954" s="84"/>
    </row>
    <row r="955" spans="5:22" x14ac:dyDescent="0.2">
      <c r="E955" s="84"/>
      <c r="F955" s="84"/>
      <c r="G955" s="84"/>
      <c r="H955" s="84"/>
      <c r="I955" s="84"/>
      <c r="J955" s="84"/>
      <c r="K955" s="84"/>
      <c r="L955" s="84"/>
      <c r="M955" s="84"/>
      <c r="N955" s="84"/>
      <c r="O955" s="84"/>
      <c r="P955" s="84"/>
      <c r="Q955" s="84"/>
      <c r="R955" s="84"/>
      <c r="S955" s="84"/>
      <c r="T955" s="84"/>
      <c r="U955" s="84"/>
      <c r="V955" s="84"/>
    </row>
    <row r="956" spans="5:22" x14ac:dyDescent="0.2"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4"/>
      <c r="V956" s="84"/>
    </row>
    <row r="957" spans="5:22" x14ac:dyDescent="0.2"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4"/>
      <c r="V957" s="84"/>
    </row>
    <row r="958" spans="5:22" x14ac:dyDescent="0.2"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4"/>
      <c r="V958" s="84"/>
    </row>
    <row r="959" spans="5:22" x14ac:dyDescent="0.2"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4"/>
      <c r="V959" s="84"/>
    </row>
    <row r="960" spans="5:22" x14ac:dyDescent="0.2"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4"/>
      <c r="V960" s="84"/>
    </row>
    <row r="961" spans="5:22" x14ac:dyDescent="0.2"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4"/>
      <c r="V961" s="84"/>
    </row>
    <row r="962" spans="5:22" x14ac:dyDescent="0.2"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4"/>
      <c r="V962" s="84"/>
    </row>
    <row r="963" spans="5:22" x14ac:dyDescent="0.2"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4"/>
      <c r="V963" s="84"/>
    </row>
    <row r="964" spans="5:22" x14ac:dyDescent="0.2"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4"/>
      <c r="V964" s="84"/>
    </row>
    <row r="965" spans="5:22" x14ac:dyDescent="0.2"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4"/>
      <c r="V965" s="84"/>
    </row>
    <row r="966" spans="5:22" x14ac:dyDescent="0.2"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4"/>
      <c r="V966" s="84"/>
    </row>
    <row r="967" spans="5:22" x14ac:dyDescent="0.2"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4"/>
      <c r="V967" s="84"/>
    </row>
    <row r="968" spans="5:22" x14ac:dyDescent="0.2"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4"/>
      <c r="V968" s="84"/>
    </row>
    <row r="969" spans="5:22" x14ac:dyDescent="0.2"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4"/>
      <c r="V969" s="84"/>
    </row>
    <row r="970" spans="5:22" x14ac:dyDescent="0.2"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4"/>
      <c r="V970" s="84"/>
    </row>
    <row r="971" spans="5:22" x14ac:dyDescent="0.2"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4"/>
      <c r="V971" s="84"/>
    </row>
    <row r="972" spans="5:22" x14ac:dyDescent="0.2"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  <c r="S972" s="84"/>
      <c r="T972" s="84"/>
      <c r="U972" s="84"/>
      <c r="V972" s="84"/>
    </row>
    <row r="973" spans="5:22" x14ac:dyDescent="0.2"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4"/>
      <c r="V973" s="84"/>
    </row>
    <row r="974" spans="5:22" x14ac:dyDescent="0.2"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4"/>
      <c r="V974" s="84"/>
    </row>
    <row r="975" spans="5:22" x14ac:dyDescent="0.2"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4"/>
      <c r="V975" s="84"/>
    </row>
    <row r="976" spans="5:22" x14ac:dyDescent="0.2"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4"/>
      <c r="V976" s="84"/>
    </row>
    <row r="977" spans="5:22" x14ac:dyDescent="0.2"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4"/>
      <c r="V977" s="84"/>
    </row>
    <row r="978" spans="5:22" x14ac:dyDescent="0.2"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4"/>
      <c r="V978" s="84"/>
    </row>
    <row r="979" spans="5:22" x14ac:dyDescent="0.2"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</row>
    <row r="980" spans="5:22" x14ac:dyDescent="0.2"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</row>
    <row r="981" spans="5:22" x14ac:dyDescent="0.2"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</row>
    <row r="982" spans="5:22" x14ac:dyDescent="0.2"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</row>
    <row r="983" spans="5:22" x14ac:dyDescent="0.2"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</row>
    <row r="984" spans="5:22" x14ac:dyDescent="0.2"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4"/>
      <c r="V984" s="84"/>
    </row>
    <row r="985" spans="5:22" x14ac:dyDescent="0.2"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4"/>
      <c r="V985" s="84"/>
    </row>
    <row r="986" spans="5:22" x14ac:dyDescent="0.2"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4"/>
      <c r="V986" s="84"/>
    </row>
    <row r="987" spans="5:22" x14ac:dyDescent="0.2"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4"/>
      <c r="V987" s="84"/>
    </row>
    <row r="988" spans="5:22" x14ac:dyDescent="0.2"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4"/>
      <c r="V988" s="84"/>
    </row>
    <row r="989" spans="5:22" x14ac:dyDescent="0.2"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  <c r="S989" s="84"/>
      <c r="T989" s="84"/>
      <c r="U989" s="84"/>
      <c r="V989" s="84"/>
    </row>
    <row r="990" spans="5:22" x14ac:dyDescent="0.2"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4"/>
      <c r="V990" s="84"/>
    </row>
    <row r="991" spans="5:22" x14ac:dyDescent="0.2"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4"/>
      <c r="V991" s="84"/>
    </row>
    <row r="992" spans="5:22" x14ac:dyDescent="0.2"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4"/>
      <c r="V992" s="84"/>
    </row>
    <row r="993" spans="5:22" x14ac:dyDescent="0.2"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4"/>
      <c r="V993" s="84"/>
    </row>
    <row r="994" spans="5:22" x14ac:dyDescent="0.2"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4"/>
      <c r="V994" s="84"/>
    </row>
    <row r="995" spans="5:22" x14ac:dyDescent="0.2"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4"/>
      <c r="V995" s="84"/>
    </row>
    <row r="996" spans="5:22" x14ac:dyDescent="0.2"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4"/>
      <c r="V996" s="84"/>
    </row>
    <row r="997" spans="5:22" x14ac:dyDescent="0.2"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4"/>
      <c r="V997" s="84"/>
    </row>
    <row r="998" spans="5:22" x14ac:dyDescent="0.2"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4"/>
      <c r="V998" s="84"/>
    </row>
    <row r="999" spans="5:22" x14ac:dyDescent="0.2"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</row>
    <row r="1000" spans="5:22" x14ac:dyDescent="0.2"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</row>
    <row r="1001" spans="5:22" x14ac:dyDescent="0.2"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</row>
    <row r="1002" spans="5:22" x14ac:dyDescent="0.2"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</row>
    <row r="1003" spans="5:22" x14ac:dyDescent="0.2"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</row>
    <row r="1004" spans="5:22" x14ac:dyDescent="0.2"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</row>
    <row r="1005" spans="5:22" x14ac:dyDescent="0.2"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</row>
    <row r="1006" spans="5:22" x14ac:dyDescent="0.2"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  <c r="R1006" s="84"/>
      <c r="S1006" s="84"/>
      <c r="T1006" s="84"/>
      <c r="U1006" s="84"/>
      <c r="V1006" s="84"/>
    </row>
    <row r="1007" spans="5:22" x14ac:dyDescent="0.2"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</row>
    <row r="1008" spans="5:22" x14ac:dyDescent="0.2"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</row>
    <row r="1009" spans="5:22" x14ac:dyDescent="0.2"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</row>
    <row r="1010" spans="5:22" x14ac:dyDescent="0.2"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</row>
    <row r="1011" spans="5:22" x14ac:dyDescent="0.2"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</row>
    <row r="1012" spans="5:22" x14ac:dyDescent="0.2"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</row>
    <row r="1013" spans="5:22" x14ac:dyDescent="0.2"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</row>
    <row r="1014" spans="5:22" x14ac:dyDescent="0.2"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</row>
    <row r="1015" spans="5:22" x14ac:dyDescent="0.2"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</row>
    <row r="1016" spans="5:22" x14ac:dyDescent="0.2"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</row>
    <row r="1017" spans="5:22" x14ac:dyDescent="0.2"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</row>
    <row r="1018" spans="5:22" x14ac:dyDescent="0.2"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</row>
    <row r="1019" spans="5:22" x14ac:dyDescent="0.2"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</row>
    <row r="1020" spans="5:22" x14ac:dyDescent="0.2"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</row>
    <row r="1021" spans="5:22" x14ac:dyDescent="0.2"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</row>
    <row r="1022" spans="5:22" x14ac:dyDescent="0.2"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</row>
    <row r="1023" spans="5:22" x14ac:dyDescent="0.2"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  <c r="S1023" s="84"/>
      <c r="T1023" s="84"/>
      <c r="U1023" s="84"/>
      <c r="V1023" s="84"/>
    </row>
    <row r="1024" spans="5:22" x14ac:dyDescent="0.2"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</row>
    <row r="1025" spans="5:22" x14ac:dyDescent="0.2"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</row>
    <row r="1026" spans="5:22" x14ac:dyDescent="0.2"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</row>
    <row r="1027" spans="5:22" x14ac:dyDescent="0.2"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</row>
    <row r="1028" spans="5:22" x14ac:dyDescent="0.2"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</row>
    <row r="1029" spans="5:22" x14ac:dyDescent="0.2"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</row>
    <row r="1030" spans="5:22" x14ac:dyDescent="0.2"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</row>
    <row r="1031" spans="5:22" x14ac:dyDescent="0.2"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</row>
    <row r="1032" spans="5:22" x14ac:dyDescent="0.2"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</row>
    <row r="1033" spans="5:22" x14ac:dyDescent="0.2"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</row>
    <row r="1034" spans="5:22" x14ac:dyDescent="0.2"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</row>
    <row r="1035" spans="5:22" x14ac:dyDescent="0.2"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</row>
    <row r="1036" spans="5:22" x14ac:dyDescent="0.2"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</row>
    <row r="1037" spans="5:22" x14ac:dyDescent="0.2"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</row>
    <row r="1038" spans="5:22" x14ac:dyDescent="0.2"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</row>
    <row r="1039" spans="5:22" x14ac:dyDescent="0.2"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</row>
    <row r="1040" spans="5:22" x14ac:dyDescent="0.2"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  <c r="S1040" s="84"/>
      <c r="T1040" s="84"/>
      <c r="U1040" s="84"/>
      <c r="V1040" s="84"/>
    </row>
    <row r="1041" spans="5:22" x14ac:dyDescent="0.2"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</row>
    <row r="1042" spans="5:22" x14ac:dyDescent="0.2"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</row>
    <row r="1043" spans="5:22" x14ac:dyDescent="0.2"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</row>
    <row r="1044" spans="5:22" x14ac:dyDescent="0.2"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</row>
    <row r="1045" spans="5:22" x14ac:dyDescent="0.2"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</row>
    <row r="1046" spans="5:22" x14ac:dyDescent="0.2"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</row>
    <row r="1047" spans="5:22" x14ac:dyDescent="0.2"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</row>
    <row r="1048" spans="5:22" x14ac:dyDescent="0.2"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</row>
    <row r="1049" spans="5:22" x14ac:dyDescent="0.2"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</row>
    <row r="1050" spans="5:22" x14ac:dyDescent="0.2"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</row>
    <row r="1051" spans="5:22" x14ac:dyDescent="0.2"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</row>
    <row r="1052" spans="5:22" x14ac:dyDescent="0.2"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</row>
    <row r="1053" spans="5:22" x14ac:dyDescent="0.2"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</row>
    <row r="1054" spans="5:22" x14ac:dyDescent="0.2"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</row>
    <row r="1055" spans="5:22" x14ac:dyDescent="0.2"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</row>
    <row r="1056" spans="5:22" x14ac:dyDescent="0.2"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</row>
    <row r="1057" spans="5:22" x14ac:dyDescent="0.2"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  <c r="R1057" s="84"/>
      <c r="S1057" s="84"/>
      <c r="T1057" s="84"/>
      <c r="U1057" s="84"/>
      <c r="V1057" s="84"/>
    </row>
    <row r="1058" spans="5:22" x14ac:dyDescent="0.2"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  <c r="R1058" s="84"/>
      <c r="S1058" s="84"/>
      <c r="T1058" s="84"/>
      <c r="U1058" s="84"/>
      <c r="V1058" s="84"/>
    </row>
    <row r="1059" spans="5:22" x14ac:dyDescent="0.2"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  <c r="S1059" s="84"/>
      <c r="T1059" s="84"/>
      <c r="U1059" s="84"/>
      <c r="V1059" s="84"/>
    </row>
    <row r="1060" spans="5:22" x14ac:dyDescent="0.2"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  <c r="S1060" s="84"/>
      <c r="T1060" s="84"/>
      <c r="U1060" s="84"/>
      <c r="V1060" s="84"/>
    </row>
    <row r="1061" spans="5:22" x14ac:dyDescent="0.2"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  <c r="S1061" s="84"/>
      <c r="T1061" s="84"/>
      <c r="U1061" s="84"/>
      <c r="V1061" s="84"/>
    </row>
    <row r="1062" spans="5:22" x14ac:dyDescent="0.2"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  <c r="S1062" s="84"/>
      <c r="T1062" s="84"/>
      <c r="U1062" s="84"/>
      <c r="V1062" s="84"/>
    </row>
    <row r="1063" spans="5:22" x14ac:dyDescent="0.2"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  <c r="S1063" s="84"/>
      <c r="T1063" s="84"/>
      <c r="U1063" s="84"/>
      <c r="V1063" s="84"/>
    </row>
    <row r="1064" spans="5:22" x14ac:dyDescent="0.2"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  <c r="S1064" s="84"/>
      <c r="T1064" s="84"/>
      <c r="U1064" s="84"/>
      <c r="V1064" s="84"/>
    </row>
    <row r="1065" spans="5:22" x14ac:dyDescent="0.2"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  <c r="S1065" s="84"/>
      <c r="T1065" s="84"/>
      <c r="U1065" s="84"/>
      <c r="V1065" s="84"/>
    </row>
    <row r="1066" spans="5:22" x14ac:dyDescent="0.2"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  <c r="S1066" s="84"/>
      <c r="T1066" s="84"/>
      <c r="U1066" s="84"/>
      <c r="V1066" s="84"/>
    </row>
    <row r="1067" spans="5:22" x14ac:dyDescent="0.2"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  <c r="S1067" s="84"/>
      <c r="T1067" s="84"/>
      <c r="U1067" s="84"/>
      <c r="V1067" s="84"/>
    </row>
    <row r="1068" spans="5:22" x14ac:dyDescent="0.2"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  <c r="S1068" s="84"/>
      <c r="T1068" s="84"/>
      <c r="U1068" s="84"/>
      <c r="V1068" s="84"/>
    </row>
    <row r="1069" spans="5:22" x14ac:dyDescent="0.2"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  <c r="S1069" s="84"/>
      <c r="T1069" s="84"/>
      <c r="U1069" s="84"/>
      <c r="V1069" s="84"/>
    </row>
    <row r="1070" spans="5:22" x14ac:dyDescent="0.2"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  <c r="S1070" s="84"/>
      <c r="T1070" s="84"/>
      <c r="U1070" s="84"/>
      <c r="V1070" s="84"/>
    </row>
    <row r="1071" spans="5:22" x14ac:dyDescent="0.2"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  <c r="S1071" s="84"/>
      <c r="T1071" s="84"/>
      <c r="U1071" s="84"/>
      <c r="V1071" s="84"/>
    </row>
    <row r="1072" spans="5:22" x14ac:dyDescent="0.2"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  <c r="S1072" s="84"/>
      <c r="T1072" s="84"/>
      <c r="U1072" s="84"/>
      <c r="V1072" s="84"/>
    </row>
    <row r="1073" spans="5:22" x14ac:dyDescent="0.2"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  <c r="S1073" s="84"/>
      <c r="T1073" s="84"/>
      <c r="U1073" s="84"/>
      <c r="V1073" s="84"/>
    </row>
    <row r="1074" spans="5:22" x14ac:dyDescent="0.2"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  <c r="S1074" s="84"/>
      <c r="T1074" s="84"/>
      <c r="U1074" s="84"/>
      <c r="V1074" s="84"/>
    </row>
    <row r="1075" spans="5:22" x14ac:dyDescent="0.2"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  <c r="S1075" s="84"/>
      <c r="T1075" s="84"/>
      <c r="U1075" s="84"/>
      <c r="V1075" s="84"/>
    </row>
    <row r="1076" spans="5:22" x14ac:dyDescent="0.2"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  <c r="S1076" s="84"/>
      <c r="T1076" s="84"/>
      <c r="U1076" s="84"/>
      <c r="V1076" s="84"/>
    </row>
    <row r="1077" spans="5:22" x14ac:dyDescent="0.2"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  <c r="S1077" s="84"/>
      <c r="T1077" s="84"/>
      <c r="U1077" s="84"/>
      <c r="V1077" s="84"/>
    </row>
    <row r="1078" spans="5:22" x14ac:dyDescent="0.2"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  <c r="S1078" s="84"/>
      <c r="T1078" s="84"/>
      <c r="U1078" s="84"/>
      <c r="V1078" s="84"/>
    </row>
    <row r="1079" spans="5:22" x14ac:dyDescent="0.2"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  <c r="S1079" s="84"/>
      <c r="T1079" s="84"/>
      <c r="U1079" s="84"/>
      <c r="V1079" s="84"/>
    </row>
    <row r="1080" spans="5:22" x14ac:dyDescent="0.2"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  <c r="S1080" s="84"/>
      <c r="T1080" s="84"/>
      <c r="U1080" s="84"/>
      <c r="V1080" s="84"/>
    </row>
    <row r="1081" spans="5:22" x14ac:dyDescent="0.2"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  <c r="S1081" s="84"/>
      <c r="T1081" s="84"/>
      <c r="U1081" s="84"/>
      <c r="V1081" s="84"/>
    </row>
    <row r="1082" spans="5:22" x14ac:dyDescent="0.2"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  <c r="S1082" s="84"/>
      <c r="T1082" s="84"/>
      <c r="U1082" s="84"/>
      <c r="V1082" s="84"/>
    </row>
    <row r="1083" spans="5:22" x14ac:dyDescent="0.2"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  <c r="S1083" s="84"/>
      <c r="T1083" s="84"/>
      <c r="U1083" s="84"/>
      <c r="V1083" s="84"/>
    </row>
    <row r="1084" spans="5:22" x14ac:dyDescent="0.2"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  <c r="S1084" s="84"/>
      <c r="T1084" s="84"/>
      <c r="U1084" s="84"/>
      <c r="V1084" s="84"/>
    </row>
    <row r="1085" spans="5:22" x14ac:dyDescent="0.2"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  <c r="S1085" s="84"/>
      <c r="T1085" s="84"/>
      <c r="U1085" s="84"/>
      <c r="V1085" s="84"/>
    </row>
    <row r="1086" spans="5:22" x14ac:dyDescent="0.2"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  <c r="S1086" s="84"/>
      <c r="T1086" s="84"/>
      <c r="U1086" s="84"/>
      <c r="V1086" s="84"/>
    </row>
    <row r="1087" spans="5:22" x14ac:dyDescent="0.2"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  <c r="S1087" s="84"/>
      <c r="T1087" s="84"/>
      <c r="U1087" s="84"/>
      <c r="V1087" s="84"/>
    </row>
    <row r="1088" spans="5:22" x14ac:dyDescent="0.2"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  <c r="S1088" s="84"/>
      <c r="T1088" s="84"/>
      <c r="U1088" s="84"/>
      <c r="V1088" s="84"/>
    </row>
    <row r="1089" spans="5:22" x14ac:dyDescent="0.2"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  <c r="S1089" s="84"/>
      <c r="T1089" s="84"/>
      <c r="U1089" s="84"/>
      <c r="V1089" s="84"/>
    </row>
    <row r="1090" spans="5:22" x14ac:dyDescent="0.2"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  <c r="S1090" s="84"/>
      <c r="T1090" s="84"/>
      <c r="U1090" s="84"/>
      <c r="V1090" s="84"/>
    </row>
    <row r="1091" spans="5:22" x14ac:dyDescent="0.2"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  <c r="S1091" s="84"/>
      <c r="T1091" s="84"/>
      <c r="U1091" s="84"/>
      <c r="V1091" s="84"/>
    </row>
    <row r="1092" spans="5:22" x14ac:dyDescent="0.2"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  <c r="S1092" s="84"/>
      <c r="T1092" s="84"/>
      <c r="U1092" s="84"/>
      <c r="V1092" s="84"/>
    </row>
    <row r="1093" spans="5:22" x14ac:dyDescent="0.2"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  <c r="S1093" s="84"/>
      <c r="T1093" s="84"/>
      <c r="U1093" s="84"/>
      <c r="V1093" s="84"/>
    </row>
    <row r="1094" spans="5:22" x14ac:dyDescent="0.2"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  <c r="S1094" s="84"/>
      <c r="T1094" s="84"/>
      <c r="U1094" s="84"/>
      <c r="V1094" s="84"/>
    </row>
    <row r="1095" spans="5:22" x14ac:dyDescent="0.2"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  <c r="R1095" s="84"/>
      <c r="S1095" s="84"/>
      <c r="T1095" s="84"/>
      <c r="U1095" s="84"/>
      <c r="V1095" s="84"/>
    </row>
    <row r="1096" spans="5:22" x14ac:dyDescent="0.2"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  <c r="R1096" s="84"/>
      <c r="S1096" s="84"/>
      <c r="T1096" s="84"/>
      <c r="U1096" s="84"/>
      <c r="V1096" s="84"/>
    </row>
    <row r="1097" spans="5:22" x14ac:dyDescent="0.2"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  <c r="R1097" s="84"/>
      <c r="S1097" s="84"/>
      <c r="T1097" s="84"/>
      <c r="U1097" s="84"/>
      <c r="V1097" s="84"/>
    </row>
    <row r="1098" spans="5:22" x14ac:dyDescent="0.2">
      <c r="E1098" s="84"/>
      <c r="F1098" s="84"/>
      <c r="G1098" s="84"/>
      <c r="H1098" s="84"/>
      <c r="I1098" s="84"/>
      <c r="J1098" s="84"/>
      <c r="K1098" s="84"/>
      <c r="L1098" s="84"/>
      <c r="M1098" s="84"/>
      <c r="N1098" s="84"/>
      <c r="O1098" s="84"/>
      <c r="P1098" s="84"/>
      <c r="Q1098" s="84"/>
      <c r="R1098" s="84"/>
      <c r="S1098" s="84"/>
      <c r="T1098" s="84"/>
      <c r="U1098" s="84"/>
      <c r="V1098" s="84"/>
    </row>
    <row r="1099" spans="5:22" x14ac:dyDescent="0.2">
      <c r="E1099" s="84"/>
      <c r="F1099" s="84"/>
      <c r="G1099" s="84"/>
      <c r="H1099" s="84"/>
      <c r="I1099" s="84"/>
      <c r="J1099" s="84"/>
      <c r="K1099" s="84"/>
      <c r="L1099" s="84"/>
      <c r="M1099" s="84"/>
      <c r="N1099" s="84"/>
      <c r="O1099" s="84"/>
      <c r="P1099" s="84"/>
      <c r="Q1099" s="84"/>
      <c r="R1099" s="84"/>
      <c r="S1099" s="84"/>
      <c r="T1099" s="84"/>
      <c r="U1099" s="84"/>
      <c r="V1099" s="84"/>
    </row>
    <row r="1100" spans="5:22" x14ac:dyDescent="0.2">
      <c r="E1100" s="84"/>
      <c r="F1100" s="84"/>
      <c r="G1100" s="84"/>
      <c r="H1100" s="84"/>
      <c r="I1100" s="84"/>
      <c r="J1100" s="84"/>
      <c r="K1100" s="84"/>
      <c r="L1100" s="84"/>
      <c r="M1100" s="84"/>
      <c r="N1100" s="84"/>
      <c r="O1100" s="84"/>
      <c r="P1100" s="84"/>
      <c r="Q1100" s="84"/>
      <c r="R1100" s="84"/>
      <c r="S1100" s="84"/>
      <c r="T1100" s="84"/>
      <c r="U1100" s="84"/>
      <c r="V1100" s="84"/>
    </row>
    <row r="1101" spans="5:22" x14ac:dyDescent="0.2">
      <c r="E1101" s="84"/>
      <c r="F1101" s="84"/>
      <c r="G1101" s="84"/>
      <c r="H1101" s="84"/>
      <c r="I1101" s="84"/>
      <c r="J1101" s="84"/>
      <c r="K1101" s="84"/>
      <c r="L1101" s="84"/>
      <c r="M1101" s="84"/>
      <c r="N1101" s="84"/>
      <c r="O1101" s="84"/>
      <c r="P1101" s="84"/>
      <c r="Q1101" s="84"/>
      <c r="R1101" s="84"/>
      <c r="S1101" s="84"/>
      <c r="T1101" s="84"/>
      <c r="U1101" s="84"/>
      <c r="V1101" s="84"/>
    </row>
    <row r="1102" spans="5:22" x14ac:dyDescent="0.2">
      <c r="E1102" s="84"/>
      <c r="F1102" s="84"/>
      <c r="G1102" s="84"/>
      <c r="H1102" s="84"/>
      <c r="I1102" s="84"/>
      <c r="J1102" s="84"/>
      <c r="K1102" s="84"/>
      <c r="L1102" s="84"/>
      <c r="M1102" s="84"/>
      <c r="N1102" s="84"/>
      <c r="O1102" s="84"/>
      <c r="P1102" s="84"/>
      <c r="Q1102" s="84"/>
      <c r="R1102" s="84"/>
      <c r="S1102" s="84"/>
      <c r="T1102" s="84"/>
      <c r="U1102" s="84"/>
      <c r="V1102" s="84"/>
    </row>
    <row r="1103" spans="5:22" x14ac:dyDescent="0.2">
      <c r="E1103" s="84"/>
      <c r="F1103" s="84"/>
      <c r="G1103" s="84"/>
      <c r="H1103" s="84"/>
      <c r="I1103" s="84"/>
      <c r="J1103" s="84"/>
      <c r="K1103" s="84"/>
      <c r="L1103" s="84"/>
      <c r="M1103" s="84"/>
      <c r="N1103" s="84"/>
      <c r="O1103" s="84"/>
      <c r="P1103" s="84"/>
      <c r="Q1103" s="84"/>
      <c r="R1103" s="84"/>
      <c r="S1103" s="84"/>
      <c r="T1103" s="84"/>
      <c r="U1103" s="84"/>
      <c r="V1103" s="84"/>
    </row>
    <row r="1104" spans="5:22" x14ac:dyDescent="0.2">
      <c r="E1104" s="84"/>
      <c r="F1104" s="84"/>
      <c r="G1104" s="84"/>
      <c r="H1104" s="84"/>
      <c r="I1104" s="84"/>
      <c r="J1104" s="84"/>
      <c r="K1104" s="84"/>
      <c r="L1104" s="84"/>
      <c r="M1104" s="84"/>
      <c r="N1104" s="84"/>
      <c r="O1104" s="84"/>
      <c r="P1104" s="84"/>
      <c r="Q1104" s="84"/>
      <c r="R1104" s="84"/>
      <c r="S1104" s="84"/>
      <c r="T1104" s="84"/>
      <c r="U1104" s="84"/>
      <c r="V1104" s="84"/>
    </row>
    <row r="1105" spans="5:22" x14ac:dyDescent="0.2">
      <c r="E1105" s="84"/>
      <c r="F1105" s="84"/>
      <c r="G1105" s="84"/>
      <c r="H1105" s="84"/>
      <c r="I1105" s="84"/>
      <c r="J1105" s="84"/>
      <c r="K1105" s="84"/>
      <c r="L1105" s="84"/>
      <c r="M1105" s="84"/>
      <c r="N1105" s="84"/>
      <c r="O1105" s="84"/>
      <c r="P1105" s="84"/>
      <c r="Q1105" s="84"/>
      <c r="R1105" s="84"/>
      <c r="S1105" s="84"/>
      <c r="T1105" s="84"/>
      <c r="U1105" s="84"/>
      <c r="V1105" s="84"/>
    </row>
    <row r="1106" spans="5:22" x14ac:dyDescent="0.2">
      <c r="E1106" s="84"/>
      <c r="F1106" s="84"/>
      <c r="G1106" s="84"/>
      <c r="H1106" s="84"/>
      <c r="I1106" s="84"/>
      <c r="J1106" s="84"/>
      <c r="K1106" s="84"/>
      <c r="L1106" s="84"/>
      <c r="M1106" s="84"/>
      <c r="N1106" s="84"/>
      <c r="O1106" s="84"/>
      <c r="P1106" s="84"/>
      <c r="Q1106" s="84"/>
      <c r="R1106" s="84"/>
      <c r="S1106" s="84"/>
      <c r="T1106" s="84"/>
      <c r="U1106" s="84"/>
      <c r="V1106" s="84"/>
    </row>
    <row r="1107" spans="5:22" x14ac:dyDescent="0.2"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  <c r="S1107" s="84"/>
      <c r="T1107" s="84"/>
      <c r="U1107" s="84"/>
      <c r="V1107" s="84"/>
    </row>
    <row r="1108" spans="5:22" x14ac:dyDescent="0.2"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  <c r="S1108" s="84"/>
      <c r="T1108" s="84"/>
      <c r="U1108" s="84"/>
      <c r="V1108" s="84"/>
    </row>
    <row r="1109" spans="5:22" x14ac:dyDescent="0.2"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  <c r="S1109" s="84"/>
      <c r="T1109" s="84"/>
      <c r="U1109" s="84"/>
      <c r="V1109" s="84"/>
    </row>
    <row r="1110" spans="5:22" x14ac:dyDescent="0.2"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  <c r="S1110" s="84"/>
      <c r="T1110" s="84"/>
      <c r="U1110" s="84"/>
      <c r="V1110" s="84"/>
    </row>
    <row r="1111" spans="5:22" x14ac:dyDescent="0.2"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  <c r="S1111" s="84"/>
      <c r="T1111" s="84"/>
      <c r="U1111" s="84"/>
      <c r="V1111" s="84"/>
    </row>
    <row r="1112" spans="5:22" x14ac:dyDescent="0.2"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  <c r="S1112" s="84"/>
      <c r="T1112" s="84"/>
      <c r="U1112" s="84"/>
      <c r="V1112" s="84"/>
    </row>
    <row r="1113" spans="5:22" x14ac:dyDescent="0.2"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  <c r="S1113" s="84"/>
      <c r="T1113" s="84"/>
      <c r="U1113" s="84"/>
      <c r="V1113" s="84"/>
    </row>
    <row r="1114" spans="5:22" x14ac:dyDescent="0.2"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  <c r="S1114" s="84"/>
      <c r="T1114" s="84"/>
      <c r="U1114" s="84"/>
      <c r="V1114" s="84"/>
    </row>
    <row r="1115" spans="5:22" x14ac:dyDescent="0.2"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  <c r="S1115" s="84"/>
      <c r="T1115" s="84"/>
      <c r="U1115" s="84"/>
      <c r="V1115" s="84"/>
    </row>
    <row r="1116" spans="5:22" x14ac:dyDescent="0.2"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  <c r="S1116" s="84"/>
      <c r="T1116" s="84"/>
      <c r="U1116" s="84"/>
      <c r="V1116" s="84"/>
    </row>
    <row r="1117" spans="5:22" x14ac:dyDescent="0.2"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  <c r="S1117" s="84"/>
      <c r="T1117" s="84"/>
      <c r="U1117" s="84"/>
      <c r="V1117" s="84"/>
    </row>
    <row r="1118" spans="5:22" x14ac:dyDescent="0.2"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  <c r="S1118" s="84"/>
      <c r="T1118" s="84"/>
      <c r="U1118" s="84"/>
      <c r="V1118" s="84"/>
    </row>
    <row r="1119" spans="5:22" x14ac:dyDescent="0.2"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  <c r="S1119" s="84"/>
      <c r="T1119" s="84"/>
      <c r="U1119" s="84"/>
      <c r="V1119" s="84"/>
    </row>
    <row r="1120" spans="5:22" x14ac:dyDescent="0.2"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  <c r="S1120" s="84"/>
      <c r="T1120" s="84"/>
      <c r="U1120" s="84"/>
      <c r="V1120" s="84"/>
    </row>
    <row r="1121" spans="5:22" x14ac:dyDescent="0.2"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  <c r="S1121" s="84"/>
      <c r="T1121" s="84"/>
      <c r="U1121" s="84"/>
      <c r="V1121" s="84"/>
    </row>
    <row r="1122" spans="5:22" x14ac:dyDescent="0.2"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  <c r="S1122" s="84"/>
      <c r="T1122" s="84"/>
      <c r="U1122" s="84"/>
      <c r="V1122" s="84"/>
    </row>
    <row r="1123" spans="5:22" x14ac:dyDescent="0.2"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  <c r="S1123" s="84"/>
      <c r="T1123" s="84"/>
      <c r="U1123" s="84"/>
      <c r="V1123" s="84"/>
    </row>
    <row r="1124" spans="5:22" x14ac:dyDescent="0.2"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  <c r="S1124" s="84"/>
      <c r="T1124" s="84"/>
      <c r="U1124" s="84"/>
      <c r="V1124" s="84"/>
    </row>
    <row r="1125" spans="5:22" x14ac:dyDescent="0.2"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  <c r="S1125" s="84"/>
      <c r="T1125" s="84"/>
      <c r="U1125" s="84"/>
      <c r="V1125" s="84"/>
    </row>
    <row r="1126" spans="5:22" x14ac:dyDescent="0.2"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  <c r="S1126" s="84"/>
      <c r="T1126" s="84"/>
      <c r="U1126" s="84"/>
      <c r="V1126" s="84"/>
    </row>
    <row r="1127" spans="5:22" x14ac:dyDescent="0.2"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  <c r="S1127" s="84"/>
      <c r="T1127" s="84"/>
      <c r="U1127" s="84"/>
      <c r="V1127" s="84"/>
    </row>
    <row r="1128" spans="5:22" x14ac:dyDescent="0.2"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  <c r="S1128" s="84"/>
      <c r="T1128" s="84"/>
      <c r="U1128" s="84"/>
      <c r="V1128" s="84"/>
    </row>
    <row r="1129" spans="5:22" x14ac:dyDescent="0.2"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  <c r="S1129" s="84"/>
      <c r="T1129" s="84"/>
      <c r="U1129" s="84"/>
      <c r="V1129" s="84"/>
    </row>
    <row r="1130" spans="5:22" x14ac:dyDescent="0.2">
      <c r="E1130" s="84"/>
      <c r="F1130" s="84"/>
      <c r="G1130" s="84"/>
      <c r="H1130" s="84"/>
      <c r="I1130" s="84"/>
      <c r="J1130" s="84"/>
      <c r="K1130" s="84"/>
      <c r="L1130" s="84"/>
      <c r="M1130" s="84"/>
      <c r="N1130" s="84"/>
      <c r="O1130" s="84"/>
      <c r="P1130" s="84"/>
      <c r="Q1130" s="84"/>
      <c r="R1130" s="84"/>
      <c r="S1130" s="84"/>
      <c r="T1130" s="84"/>
      <c r="U1130" s="84"/>
      <c r="V1130" s="84"/>
    </row>
    <row r="1131" spans="5:22" x14ac:dyDescent="0.2"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  <c r="S1131" s="84"/>
      <c r="T1131" s="84"/>
      <c r="U1131" s="84"/>
      <c r="V1131" s="84"/>
    </row>
    <row r="1132" spans="5:22" x14ac:dyDescent="0.2"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  <c r="S1132" s="84"/>
      <c r="T1132" s="84"/>
      <c r="U1132" s="84"/>
      <c r="V1132" s="84"/>
    </row>
    <row r="1133" spans="5:22" x14ac:dyDescent="0.2"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  <c r="S1133" s="84"/>
      <c r="T1133" s="84"/>
      <c r="U1133" s="84"/>
      <c r="V1133" s="84"/>
    </row>
    <row r="1134" spans="5:22" x14ac:dyDescent="0.2"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  <c r="S1134" s="84"/>
      <c r="T1134" s="84"/>
      <c r="U1134" s="84"/>
      <c r="V1134" s="84"/>
    </row>
    <row r="1135" spans="5:22" x14ac:dyDescent="0.2"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  <c r="S1135" s="84"/>
      <c r="T1135" s="84"/>
      <c r="U1135" s="84"/>
      <c r="V1135" s="84"/>
    </row>
    <row r="1136" spans="5:22" x14ac:dyDescent="0.2"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  <c r="S1136" s="84"/>
      <c r="T1136" s="84"/>
      <c r="U1136" s="84"/>
      <c r="V1136" s="84"/>
    </row>
    <row r="1137" spans="5:22" x14ac:dyDescent="0.2"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  <c r="S1137" s="84"/>
      <c r="T1137" s="84"/>
      <c r="U1137" s="84"/>
      <c r="V1137" s="84"/>
    </row>
    <row r="1138" spans="5:22" x14ac:dyDescent="0.2"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  <c r="S1138" s="84"/>
      <c r="T1138" s="84"/>
      <c r="U1138" s="84"/>
      <c r="V1138" s="84"/>
    </row>
    <row r="1139" spans="5:22" x14ac:dyDescent="0.2"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  <c r="S1139" s="84"/>
      <c r="T1139" s="84"/>
      <c r="U1139" s="84"/>
      <c r="V1139" s="84"/>
    </row>
    <row r="1140" spans="5:22" x14ac:dyDescent="0.2"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  <c r="S1140" s="84"/>
      <c r="T1140" s="84"/>
      <c r="U1140" s="84"/>
      <c r="V1140" s="84"/>
    </row>
    <row r="1141" spans="5:22" x14ac:dyDescent="0.2"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  <c r="S1141" s="84"/>
      <c r="T1141" s="84"/>
      <c r="U1141" s="84"/>
      <c r="V1141" s="84"/>
    </row>
    <row r="1142" spans="5:22" x14ac:dyDescent="0.2"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  <c r="S1142" s="84"/>
      <c r="T1142" s="84"/>
      <c r="U1142" s="84"/>
      <c r="V1142" s="84"/>
    </row>
    <row r="1143" spans="5:22" x14ac:dyDescent="0.2"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  <c r="R1143" s="84"/>
      <c r="S1143" s="84"/>
      <c r="T1143" s="84"/>
      <c r="U1143" s="84"/>
      <c r="V1143" s="84"/>
    </row>
    <row r="1144" spans="5:22" x14ac:dyDescent="0.2"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  <c r="R1144" s="84"/>
      <c r="S1144" s="84"/>
      <c r="T1144" s="84"/>
      <c r="U1144" s="84"/>
      <c r="V1144" s="84"/>
    </row>
    <row r="1145" spans="5:22" x14ac:dyDescent="0.2"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  <c r="R1145" s="84"/>
      <c r="S1145" s="84"/>
      <c r="T1145" s="84"/>
      <c r="U1145" s="84"/>
      <c r="V1145" s="84"/>
    </row>
    <row r="1146" spans="5:22" x14ac:dyDescent="0.2"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  <c r="R1146" s="84"/>
      <c r="S1146" s="84"/>
      <c r="T1146" s="84"/>
      <c r="U1146" s="84"/>
      <c r="V1146" s="84"/>
    </row>
    <row r="1147" spans="5:22" x14ac:dyDescent="0.2"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  <c r="R1147" s="84"/>
      <c r="S1147" s="84"/>
      <c r="T1147" s="84"/>
      <c r="U1147" s="84"/>
      <c r="V1147" s="84"/>
    </row>
    <row r="1148" spans="5:22" x14ac:dyDescent="0.2"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  <c r="R1148" s="84"/>
      <c r="S1148" s="84"/>
      <c r="T1148" s="84"/>
      <c r="U1148" s="84"/>
      <c r="V1148" s="84"/>
    </row>
    <row r="1149" spans="5:22" x14ac:dyDescent="0.2"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  <c r="R1149" s="84"/>
      <c r="S1149" s="84"/>
      <c r="T1149" s="84"/>
      <c r="U1149" s="84"/>
      <c r="V1149" s="84"/>
    </row>
    <row r="1150" spans="5:22" x14ac:dyDescent="0.2"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  <c r="R1150" s="84"/>
      <c r="S1150" s="84"/>
      <c r="T1150" s="84"/>
      <c r="U1150" s="84"/>
      <c r="V1150" s="84"/>
    </row>
    <row r="1151" spans="5:22" x14ac:dyDescent="0.2"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  <c r="R1151" s="84"/>
      <c r="S1151" s="84"/>
      <c r="T1151" s="84"/>
      <c r="U1151" s="84"/>
      <c r="V1151" s="84"/>
    </row>
    <row r="1152" spans="5:22" x14ac:dyDescent="0.2"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  <c r="R1152" s="84"/>
      <c r="S1152" s="84"/>
      <c r="T1152" s="84"/>
      <c r="U1152" s="84"/>
      <c r="V1152" s="84"/>
    </row>
    <row r="1153" spans="5:22" x14ac:dyDescent="0.2"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  <c r="S1153" s="84"/>
      <c r="T1153" s="84"/>
      <c r="U1153" s="84"/>
      <c r="V1153" s="84"/>
    </row>
    <row r="1154" spans="5:22" x14ac:dyDescent="0.2"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  <c r="S1154" s="84"/>
      <c r="T1154" s="84"/>
      <c r="U1154" s="84"/>
      <c r="V1154" s="84"/>
    </row>
    <row r="1155" spans="5:22" x14ac:dyDescent="0.2"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  <c r="S1155" s="84"/>
      <c r="T1155" s="84"/>
      <c r="U1155" s="84"/>
      <c r="V1155" s="84"/>
    </row>
    <row r="1156" spans="5:22" x14ac:dyDescent="0.2"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  <c r="S1156" s="84"/>
      <c r="T1156" s="84"/>
      <c r="U1156" s="84"/>
      <c r="V1156" s="84"/>
    </row>
    <row r="1157" spans="5:22" x14ac:dyDescent="0.2"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  <c r="S1157" s="84"/>
      <c r="T1157" s="84"/>
      <c r="U1157" s="84"/>
      <c r="V1157" s="84"/>
    </row>
    <row r="1158" spans="5:22" x14ac:dyDescent="0.2"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  <c r="S1158" s="84"/>
      <c r="T1158" s="84"/>
      <c r="U1158" s="84"/>
      <c r="V1158" s="84"/>
    </row>
    <row r="1159" spans="5:22" x14ac:dyDescent="0.2"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  <c r="S1159" s="84"/>
      <c r="T1159" s="84"/>
      <c r="U1159" s="84"/>
      <c r="V1159" s="84"/>
    </row>
    <row r="1160" spans="5:22" x14ac:dyDescent="0.2"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  <c r="S1160" s="84"/>
      <c r="T1160" s="84"/>
      <c r="U1160" s="84"/>
      <c r="V1160" s="84"/>
    </row>
    <row r="1161" spans="5:22" x14ac:dyDescent="0.2"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  <c r="S1161" s="84"/>
      <c r="T1161" s="84"/>
      <c r="U1161" s="84"/>
      <c r="V1161" s="84"/>
    </row>
    <row r="1162" spans="5:22" x14ac:dyDescent="0.2"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  <c r="S1162" s="84"/>
      <c r="T1162" s="84"/>
      <c r="U1162" s="84"/>
      <c r="V1162" s="84"/>
    </row>
    <row r="1163" spans="5:22" x14ac:dyDescent="0.2"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  <c r="S1163" s="84"/>
      <c r="T1163" s="84"/>
      <c r="U1163" s="84"/>
      <c r="V1163" s="84"/>
    </row>
    <row r="1164" spans="5:22" x14ac:dyDescent="0.2"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  <c r="S1164" s="84"/>
      <c r="T1164" s="84"/>
      <c r="U1164" s="84"/>
      <c r="V1164" s="84"/>
    </row>
    <row r="1165" spans="5:22" x14ac:dyDescent="0.2"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  <c r="S1165" s="84"/>
      <c r="T1165" s="84"/>
      <c r="U1165" s="84"/>
      <c r="V1165" s="84"/>
    </row>
    <row r="1166" spans="5:22" x14ac:dyDescent="0.2"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  <c r="S1166" s="84"/>
      <c r="T1166" s="84"/>
      <c r="U1166" s="84"/>
      <c r="V1166" s="84"/>
    </row>
    <row r="1167" spans="5:22" x14ac:dyDescent="0.2"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  <c r="S1167" s="84"/>
      <c r="T1167" s="84"/>
      <c r="U1167" s="84"/>
      <c r="V1167" s="84"/>
    </row>
    <row r="1168" spans="5:22" x14ac:dyDescent="0.2"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  <c r="S1168" s="84"/>
      <c r="T1168" s="84"/>
      <c r="U1168" s="84"/>
      <c r="V1168" s="84"/>
    </row>
    <row r="1169" spans="5:22" x14ac:dyDescent="0.2"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  <c r="S1169" s="84"/>
      <c r="T1169" s="84"/>
      <c r="U1169" s="84"/>
      <c r="V1169" s="84"/>
    </row>
    <row r="1170" spans="5:22" x14ac:dyDescent="0.2"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  <c r="S1170" s="84"/>
      <c r="T1170" s="84"/>
      <c r="U1170" s="84"/>
      <c r="V1170" s="84"/>
    </row>
    <row r="1171" spans="5:22" x14ac:dyDescent="0.2"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  <c r="S1171" s="84"/>
      <c r="T1171" s="84"/>
      <c r="U1171" s="84"/>
      <c r="V1171" s="84"/>
    </row>
    <row r="1172" spans="5:22" x14ac:dyDescent="0.2"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  <c r="S1172" s="84"/>
      <c r="T1172" s="84"/>
      <c r="U1172" s="84"/>
      <c r="V1172" s="84"/>
    </row>
    <row r="1173" spans="5:22" x14ac:dyDescent="0.2"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  <c r="S1173" s="84"/>
      <c r="T1173" s="84"/>
      <c r="U1173" s="84"/>
      <c r="V1173" s="84"/>
    </row>
    <row r="1174" spans="5:22" x14ac:dyDescent="0.2"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  <c r="S1174" s="84"/>
      <c r="T1174" s="84"/>
      <c r="U1174" s="84"/>
      <c r="V1174" s="84"/>
    </row>
    <row r="1175" spans="5:22" x14ac:dyDescent="0.2"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  <c r="S1175" s="84"/>
      <c r="T1175" s="84"/>
      <c r="U1175" s="84"/>
      <c r="V1175" s="84"/>
    </row>
    <row r="1176" spans="5:22" x14ac:dyDescent="0.2"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  <c r="R1176" s="84"/>
      <c r="S1176" s="84"/>
      <c r="T1176" s="84"/>
      <c r="U1176" s="84"/>
      <c r="V1176" s="84"/>
    </row>
    <row r="1177" spans="5:22" x14ac:dyDescent="0.2"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  <c r="R1177" s="84"/>
      <c r="S1177" s="84"/>
      <c r="T1177" s="84"/>
      <c r="U1177" s="84"/>
      <c r="V1177" s="84"/>
    </row>
    <row r="1178" spans="5:22" x14ac:dyDescent="0.2"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  <c r="R1178" s="84"/>
      <c r="S1178" s="84"/>
      <c r="T1178" s="84"/>
      <c r="U1178" s="84"/>
      <c r="V1178" s="84"/>
    </row>
    <row r="1179" spans="5:22" x14ac:dyDescent="0.2"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  <c r="S1179" s="84"/>
      <c r="T1179" s="84"/>
      <c r="U1179" s="84"/>
      <c r="V1179" s="84"/>
    </row>
    <row r="1180" spans="5:22" x14ac:dyDescent="0.2"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  <c r="S1180" s="84"/>
      <c r="T1180" s="84"/>
      <c r="U1180" s="84"/>
      <c r="V1180" s="84"/>
    </row>
    <row r="1181" spans="5:22" x14ac:dyDescent="0.2"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  <c r="S1181" s="84"/>
      <c r="T1181" s="84"/>
      <c r="U1181" s="84"/>
      <c r="V1181" s="84"/>
    </row>
    <row r="1182" spans="5:22" x14ac:dyDescent="0.2"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  <c r="S1182" s="84"/>
      <c r="T1182" s="84"/>
      <c r="U1182" s="84"/>
      <c r="V1182" s="84"/>
    </row>
    <row r="1183" spans="5:22" x14ac:dyDescent="0.2"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  <c r="S1183" s="84"/>
      <c r="T1183" s="84"/>
      <c r="U1183" s="84"/>
      <c r="V1183" s="84"/>
    </row>
    <row r="1184" spans="5:22" x14ac:dyDescent="0.2"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  <c r="S1184" s="84"/>
      <c r="T1184" s="84"/>
      <c r="U1184" s="84"/>
      <c r="V1184" s="84"/>
    </row>
    <row r="1185" spans="5:22" x14ac:dyDescent="0.2"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  <c r="S1185" s="84"/>
      <c r="T1185" s="84"/>
      <c r="U1185" s="84"/>
      <c r="V1185" s="84"/>
    </row>
    <row r="1186" spans="5:22" x14ac:dyDescent="0.2"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  <c r="S1186" s="84"/>
      <c r="T1186" s="84"/>
      <c r="U1186" s="84"/>
      <c r="V1186" s="84"/>
    </row>
    <row r="1187" spans="5:22" x14ac:dyDescent="0.2"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  <c r="S1187" s="84"/>
      <c r="T1187" s="84"/>
      <c r="U1187" s="84"/>
      <c r="V1187" s="84"/>
    </row>
    <row r="1188" spans="5:22" x14ac:dyDescent="0.2"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  <c r="S1188" s="84"/>
      <c r="T1188" s="84"/>
      <c r="U1188" s="84"/>
      <c r="V1188" s="84"/>
    </row>
    <row r="1189" spans="5:22" x14ac:dyDescent="0.2"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  <c r="S1189" s="84"/>
      <c r="T1189" s="84"/>
      <c r="U1189" s="84"/>
      <c r="V1189" s="84"/>
    </row>
    <row r="1190" spans="5:22" x14ac:dyDescent="0.2"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  <c r="S1190" s="84"/>
      <c r="T1190" s="84"/>
      <c r="U1190" s="84"/>
      <c r="V1190" s="84"/>
    </row>
    <row r="1191" spans="5:22" x14ac:dyDescent="0.2">
      <c r="E1191" s="84"/>
      <c r="F1191" s="84"/>
      <c r="G1191" s="84"/>
      <c r="H1191" s="84"/>
      <c r="I1191" s="84"/>
      <c r="J1191" s="84"/>
      <c r="K1191" s="84"/>
      <c r="L1191" s="84"/>
      <c r="M1191" s="84"/>
      <c r="N1191" s="84"/>
      <c r="O1191" s="84"/>
      <c r="P1191" s="84"/>
      <c r="Q1191" s="84"/>
      <c r="R1191" s="84"/>
      <c r="S1191" s="84"/>
      <c r="T1191" s="84"/>
      <c r="U1191" s="84"/>
      <c r="V1191" s="84"/>
    </row>
    <row r="1192" spans="5:22" x14ac:dyDescent="0.2">
      <c r="E1192" s="84"/>
      <c r="F1192" s="84"/>
      <c r="G1192" s="84"/>
      <c r="H1192" s="84"/>
      <c r="I1192" s="84"/>
      <c r="J1192" s="84"/>
      <c r="K1192" s="84"/>
      <c r="L1192" s="84"/>
      <c r="M1192" s="84"/>
      <c r="N1192" s="84"/>
      <c r="O1192" s="84"/>
      <c r="P1192" s="84"/>
      <c r="Q1192" s="84"/>
      <c r="R1192" s="84"/>
      <c r="S1192" s="84"/>
      <c r="T1192" s="84"/>
      <c r="U1192" s="84"/>
      <c r="V1192" s="84"/>
    </row>
    <row r="1193" spans="5:22" x14ac:dyDescent="0.2">
      <c r="E1193" s="84"/>
      <c r="F1193" s="84"/>
      <c r="G1193" s="84"/>
      <c r="H1193" s="84"/>
      <c r="I1193" s="84"/>
      <c r="J1193" s="84"/>
      <c r="K1193" s="84"/>
      <c r="L1193" s="84"/>
      <c r="M1193" s="84"/>
      <c r="N1193" s="84"/>
      <c r="O1193" s="84"/>
      <c r="P1193" s="84"/>
      <c r="Q1193" s="84"/>
      <c r="R1193" s="84"/>
      <c r="S1193" s="84"/>
      <c r="T1193" s="84"/>
      <c r="U1193" s="84"/>
      <c r="V1193" s="84"/>
    </row>
    <row r="1194" spans="5:22" x14ac:dyDescent="0.2">
      <c r="E1194" s="84"/>
      <c r="F1194" s="84"/>
      <c r="G1194" s="84"/>
      <c r="H1194" s="84"/>
      <c r="I1194" s="84"/>
      <c r="J1194" s="84"/>
      <c r="K1194" s="84"/>
      <c r="L1194" s="84"/>
      <c r="M1194" s="84"/>
      <c r="N1194" s="84"/>
      <c r="O1194" s="84"/>
      <c r="P1194" s="84"/>
      <c r="Q1194" s="84"/>
      <c r="R1194" s="84"/>
      <c r="S1194" s="84"/>
      <c r="T1194" s="84"/>
      <c r="U1194" s="84"/>
      <c r="V1194" s="84"/>
    </row>
    <row r="1195" spans="5:22" x14ac:dyDescent="0.2">
      <c r="E1195" s="84"/>
      <c r="F1195" s="84"/>
      <c r="G1195" s="84"/>
      <c r="H1195" s="84"/>
      <c r="I1195" s="84"/>
      <c r="J1195" s="84"/>
      <c r="K1195" s="84"/>
      <c r="L1195" s="84"/>
      <c r="M1195" s="84"/>
      <c r="N1195" s="84"/>
      <c r="O1195" s="84"/>
      <c r="P1195" s="84"/>
      <c r="Q1195" s="84"/>
      <c r="R1195" s="84"/>
      <c r="S1195" s="84"/>
      <c r="T1195" s="84"/>
      <c r="U1195" s="84"/>
      <c r="V1195" s="84"/>
    </row>
    <row r="1196" spans="5:22" x14ac:dyDescent="0.2">
      <c r="E1196" s="84"/>
      <c r="F1196" s="84"/>
      <c r="G1196" s="84"/>
      <c r="H1196" s="84"/>
      <c r="I1196" s="84"/>
      <c r="J1196" s="84"/>
      <c r="K1196" s="84"/>
      <c r="L1196" s="84"/>
      <c r="M1196" s="84"/>
      <c r="N1196" s="84"/>
      <c r="O1196" s="84"/>
      <c r="P1196" s="84"/>
      <c r="Q1196" s="84"/>
      <c r="R1196" s="84"/>
      <c r="S1196" s="84"/>
      <c r="T1196" s="84"/>
      <c r="U1196" s="84"/>
      <c r="V1196" s="84"/>
    </row>
    <row r="1197" spans="5:22" x14ac:dyDescent="0.2">
      <c r="E1197" s="84"/>
      <c r="F1197" s="84"/>
      <c r="G1197" s="84"/>
      <c r="H1197" s="84"/>
      <c r="I1197" s="84"/>
      <c r="J1197" s="84"/>
      <c r="K1197" s="84"/>
      <c r="L1197" s="84"/>
      <c r="M1197" s="84"/>
      <c r="N1197" s="84"/>
      <c r="O1197" s="84"/>
      <c r="P1197" s="84"/>
      <c r="Q1197" s="84"/>
      <c r="R1197" s="84"/>
      <c r="S1197" s="84"/>
      <c r="T1197" s="84"/>
      <c r="U1197" s="84"/>
      <c r="V1197" s="84"/>
    </row>
    <row r="1198" spans="5:22" x14ac:dyDescent="0.2">
      <c r="E1198" s="84"/>
      <c r="F1198" s="84"/>
      <c r="G1198" s="84"/>
      <c r="H1198" s="84"/>
      <c r="I1198" s="84"/>
      <c r="J1198" s="84"/>
      <c r="K1198" s="84"/>
      <c r="L1198" s="84"/>
      <c r="M1198" s="84"/>
      <c r="N1198" s="84"/>
      <c r="O1198" s="84"/>
      <c r="P1198" s="84"/>
      <c r="Q1198" s="84"/>
      <c r="R1198" s="84"/>
      <c r="S1198" s="84"/>
      <c r="T1198" s="84"/>
      <c r="U1198" s="84"/>
      <c r="V1198" s="84"/>
    </row>
    <row r="1199" spans="5:22" x14ac:dyDescent="0.2"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  <c r="S1199" s="84"/>
      <c r="T1199" s="84"/>
      <c r="U1199" s="84"/>
      <c r="V1199" s="84"/>
    </row>
    <row r="1200" spans="5:22" x14ac:dyDescent="0.2"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  <c r="S1200" s="84"/>
      <c r="T1200" s="84"/>
      <c r="U1200" s="84"/>
      <c r="V1200" s="84"/>
    </row>
    <row r="1201" spans="5:22" x14ac:dyDescent="0.2"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  <c r="S1201" s="84"/>
      <c r="T1201" s="84"/>
      <c r="U1201" s="84"/>
      <c r="V1201" s="84"/>
    </row>
    <row r="1202" spans="5:22" x14ac:dyDescent="0.2"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  <c r="S1202" s="84"/>
      <c r="T1202" s="84"/>
      <c r="U1202" s="84"/>
      <c r="V1202" s="84"/>
    </row>
    <row r="1203" spans="5:22" x14ac:dyDescent="0.2"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  <c r="S1203" s="84"/>
      <c r="T1203" s="84"/>
      <c r="U1203" s="84"/>
      <c r="V1203" s="84"/>
    </row>
    <row r="1204" spans="5:22" x14ac:dyDescent="0.2"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  <c r="S1204" s="84"/>
      <c r="T1204" s="84"/>
      <c r="U1204" s="84"/>
      <c r="V1204" s="84"/>
    </row>
    <row r="1205" spans="5:22" x14ac:dyDescent="0.2"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  <c r="S1205" s="84"/>
      <c r="T1205" s="84"/>
      <c r="U1205" s="84"/>
      <c r="V1205" s="84"/>
    </row>
    <row r="1206" spans="5:22" x14ac:dyDescent="0.2"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  <c r="S1206" s="84"/>
      <c r="T1206" s="84"/>
      <c r="U1206" s="84"/>
      <c r="V1206" s="84"/>
    </row>
    <row r="1207" spans="5:22" x14ac:dyDescent="0.2"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  <c r="S1207" s="84"/>
      <c r="T1207" s="84"/>
      <c r="U1207" s="84"/>
      <c r="V1207" s="84"/>
    </row>
    <row r="1208" spans="5:22" x14ac:dyDescent="0.2"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  <c r="S1208" s="84"/>
      <c r="T1208" s="84"/>
      <c r="U1208" s="84"/>
      <c r="V1208" s="84"/>
    </row>
    <row r="1209" spans="5:22" x14ac:dyDescent="0.2"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  <c r="S1209" s="84"/>
      <c r="T1209" s="84"/>
      <c r="U1209" s="84"/>
      <c r="V1209" s="84"/>
    </row>
    <row r="1210" spans="5:22" x14ac:dyDescent="0.2"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  <c r="S1210" s="84"/>
      <c r="T1210" s="84"/>
      <c r="U1210" s="84"/>
      <c r="V1210" s="84"/>
    </row>
    <row r="1211" spans="5:22" x14ac:dyDescent="0.2"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  <c r="S1211" s="84"/>
      <c r="T1211" s="84"/>
      <c r="U1211" s="84"/>
      <c r="V1211" s="84"/>
    </row>
    <row r="1212" spans="5:22" x14ac:dyDescent="0.2"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  <c r="S1212" s="84"/>
      <c r="T1212" s="84"/>
      <c r="U1212" s="84"/>
      <c r="V1212" s="84"/>
    </row>
    <row r="1213" spans="5:22" x14ac:dyDescent="0.2"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  <c r="S1213" s="84"/>
      <c r="T1213" s="84"/>
      <c r="U1213" s="84"/>
      <c r="V1213" s="84"/>
    </row>
    <row r="1214" spans="5:22" x14ac:dyDescent="0.2"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  <c r="S1214" s="84"/>
      <c r="T1214" s="84"/>
      <c r="U1214" s="84"/>
      <c r="V1214" s="84"/>
    </row>
    <row r="1215" spans="5:22" x14ac:dyDescent="0.2"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  <c r="S1215" s="84"/>
      <c r="T1215" s="84"/>
      <c r="U1215" s="84"/>
      <c r="V1215" s="84"/>
    </row>
    <row r="1216" spans="5:22" x14ac:dyDescent="0.2"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  <c r="S1216" s="84"/>
      <c r="T1216" s="84"/>
      <c r="U1216" s="84"/>
      <c r="V1216" s="84"/>
    </row>
    <row r="1217" spans="5:22" x14ac:dyDescent="0.2"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  <c r="S1217" s="84"/>
      <c r="T1217" s="84"/>
      <c r="U1217" s="84"/>
      <c r="V1217" s="84"/>
    </row>
    <row r="1218" spans="5:22" x14ac:dyDescent="0.2"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  <c r="S1218" s="84"/>
      <c r="T1218" s="84"/>
      <c r="U1218" s="84"/>
      <c r="V1218" s="84"/>
    </row>
    <row r="1219" spans="5:22" x14ac:dyDescent="0.2"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  <c r="S1219" s="84"/>
      <c r="T1219" s="84"/>
      <c r="U1219" s="84"/>
      <c r="V1219" s="84"/>
    </row>
    <row r="1220" spans="5:22" x14ac:dyDescent="0.2"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  <c r="S1220" s="84"/>
      <c r="T1220" s="84"/>
      <c r="U1220" s="84"/>
      <c r="V1220" s="84"/>
    </row>
    <row r="1221" spans="5:22" x14ac:dyDescent="0.2"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  <c r="S1221" s="84"/>
      <c r="T1221" s="84"/>
      <c r="U1221" s="84"/>
      <c r="V1221" s="84"/>
    </row>
    <row r="1222" spans="5:22" x14ac:dyDescent="0.2">
      <c r="E1222" s="84"/>
      <c r="F1222" s="84"/>
      <c r="G1222" s="84"/>
      <c r="H1222" s="84"/>
      <c r="I1222" s="84"/>
      <c r="J1222" s="84"/>
      <c r="K1222" s="84"/>
      <c r="L1222" s="84"/>
      <c r="M1222" s="84"/>
      <c r="N1222" s="84"/>
      <c r="O1222" s="84"/>
      <c r="P1222" s="84"/>
      <c r="Q1222" s="84"/>
      <c r="R1222" s="84"/>
      <c r="S1222" s="84"/>
      <c r="T1222" s="84"/>
      <c r="U1222" s="84"/>
      <c r="V1222" s="84"/>
    </row>
    <row r="1223" spans="5:22" x14ac:dyDescent="0.2">
      <c r="E1223" s="84"/>
      <c r="F1223" s="84"/>
      <c r="G1223" s="84"/>
      <c r="H1223" s="84"/>
      <c r="I1223" s="84"/>
      <c r="J1223" s="84"/>
      <c r="K1223" s="84"/>
      <c r="L1223" s="84"/>
      <c r="M1223" s="84"/>
      <c r="N1223" s="84"/>
      <c r="O1223" s="84"/>
      <c r="P1223" s="84"/>
      <c r="Q1223" s="84"/>
      <c r="R1223" s="84"/>
      <c r="S1223" s="84"/>
      <c r="T1223" s="84"/>
      <c r="U1223" s="84"/>
      <c r="V1223" s="84"/>
    </row>
    <row r="1224" spans="5:22" x14ac:dyDescent="0.2">
      <c r="E1224" s="84"/>
      <c r="F1224" s="84"/>
      <c r="G1224" s="84"/>
      <c r="H1224" s="84"/>
      <c r="I1224" s="84"/>
      <c r="J1224" s="84"/>
      <c r="K1224" s="84"/>
      <c r="L1224" s="84"/>
      <c r="M1224" s="84"/>
      <c r="N1224" s="84"/>
      <c r="O1224" s="84"/>
      <c r="P1224" s="84"/>
      <c r="Q1224" s="84"/>
      <c r="R1224" s="84"/>
      <c r="S1224" s="84"/>
      <c r="T1224" s="84"/>
      <c r="U1224" s="84"/>
      <c r="V1224" s="84"/>
    </row>
    <row r="1225" spans="5:22" x14ac:dyDescent="0.2">
      <c r="E1225" s="84"/>
      <c r="F1225" s="84"/>
      <c r="G1225" s="84"/>
      <c r="H1225" s="84"/>
      <c r="I1225" s="84"/>
      <c r="J1225" s="84"/>
      <c r="K1225" s="84"/>
      <c r="L1225" s="84"/>
      <c r="M1225" s="84"/>
      <c r="N1225" s="84"/>
      <c r="O1225" s="84"/>
      <c r="P1225" s="84"/>
      <c r="Q1225" s="84"/>
      <c r="R1225" s="84"/>
      <c r="S1225" s="84"/>
      <c r="T1225" s="84"/>
      <c r="U1225" s="84"/>
      <c r="V1225" s="84"/>
    </row>
    <row r="1226" spans="5:22" x14ac:dyDescent="0.2">
      <c r="E1226" s="84"/>
      <c r="F1226" s="84"/>
      <c r="G1226" s="84"/>
      <c r="H1226" s="84"/>
      <c r="I1226" s="84"/>
      <c r="J1226" s="84"/>
      <c r="K1226" s="84"/>
      <c r="L1226" s="84"/>
      <c r="M1226" s="84"/>
      <c r="N1226" s="84"/>
      <c r="O1226" s="84"/>
      <c r="P1226" s="84"/>
      <c r="Q1226" s="84"/>
      <c r="R1226" s="84"/>
      <c r="S1226" s="84"/>
      <c r="T1226" s="84"/>
      <c r="U1226" s="84"/>
      <c r="V1226" s="84"/>
    </row>
    <row r="1227" spans="5:22" x14ac:dyDescent="0.2"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  <c r="S1227" s="84"/>
      <c r="T1227" s="84"/>
      <c r="U1227" s="84"/>
      <c r="V1227" s="84"/>
    </row>
    <row r="1228" spans="5:22" x14ac:dyDescent="0.2"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  <c r="S1228" s="84"/>
      <c r="T1228" s="84"/>
      <c r="U1228" s="84"/>
      <c r="V1228" s="84"/>
    </row>
    <row r="1229" spans="5:22" x14ac:dyDescent="0.2"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  <c r="S1229" s="84"/>
      <c r="T1229" s="84"/>
      <c r="U1229" s="84"/>
      <c r="V1229" s="84"/>
    </row>
    <row r="1230" spans="5:22" x14ac:dyDescent="0.2"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  <c r="S1230" s="84"/>
      <c r="T1230" s="84"/>
      <c r="U1230" s="84"/>
      <c r="V1230" s="84"/>
    </row>
    <row r="1231" spans="5:22" x14ac:dyDescent="0.2"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  <c r="S1231" s="84"/>
      <c r="T1231" s="84"/>
      <c r="U1231" s="84"/>
      <c r="V1231" s="84"/>
    </row>
    <row r="1232" spans="5:22" x14ac:dyDescent="0.2"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  <c r="S1232" s="84"/>
      <c r="T1232" s="84"/>
      <c r="U1232" s="84"/>
      <c r="V1232" s="84"/>
    </row>
    <row r="1233" spans="5:22" x14ac:dyDescent="0.2"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  <c r="S1233" s="84"/>
      <c r="T1233" s="84"/>
      <c r="U1233" s="84"/>
      <c r="V1233" s="84"/>
    </row>
    <row r="1234" spans="5:22" x14ac:dyDescent="0.2"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  <c r="S1234" s="84"/>
      <c r="T1234" s="84"/>
      <c r="U1234" s="84"/>
      <c r="V1234" s="84"/>
    </row>
    <row r="1235" spans="5:22" x14ac:dyDescent="0.2"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  <c r="S1235" s="84"/>
      <c r="T1235" s="84"/>
      <c r="U1235" s="84"/>
      <c r="V1235" s="84"/>
    </row>
    <row r="1236" spans="5:22" x14ac:dyDescent="0.2"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  <c r="S1236" s="84"/>
      <c r="T1236" s="84"/>
      <c r="U1236" s="84"/>
      <c r="V1236" s="84"/>
    </row>
    <row r="1237" spans="5:22" x14ac:dyDescent="0.2"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  <c r="S1237" s="84"/>
      <c r="T1237" s="84"/>
      <c r="U1237" s="84"/>
      <c r="V1237" s="84"/>
    </row>
    <row r="1238" spans="5:22" x14ac:dyDescent="0.2"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  <c r="S1238" s="84"/>
      <c r="T1238" s="84"/>
      <c r="U1238" s="84"/>
      <c r="V1238" s="84"/>
    </row>
    <row r="1239" spans="5:22" x14ac:dyDescent="0.2"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  <c r="R1239" s="84"/>
      <c r="S1239" s="84"/>
      <c r="T1239" s="84"/>
      <c r="U1239" s="84"/>
      <c r="V1239" s="84"/>
    </row>
    <row r="1240" spans="5:22" x14ac:dyDescent="0.2"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  <c r="R1240" s="84"/>
      <c r="S1240" s="84"/>
      <c r="T1240" s="84"/>
      <c r="U1240" s="84"/>
      <c r="V1240" s="84"/>
    </row>
    <row r="1241" spans="5:22" x14ac:dyDescent="0.2"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  <c r="R1241" s="84"/>
      <c r="S1241" s="84"/>
      <c r="T1241" s="84"/>
      <c r="U1241" s="84"/>
      <c r="V1241" s="84"/>
    </row>
    <row r="1242" spans="5:22" x14ac:dyDescent="0.2"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  <c r="R1242" s="84"/>
      <c r="S1242" s="84"/>
      <c r="T1242" s="84"/>
      <c r="U1242" s="84"/>
      <c r="V1242" s="84"/>
    </row>
    <row r="1243" spans="5:22" x14ac:dyDescent="0.2"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  <c r="R1243" s="84"/>
      <c r="S1243" s="84"/>
      <c r="T1243" s="84"/>
      <c r="U1243" s="84"/>
      <c r="V1243" s="84"/>
    </row>
    <row r="1244" spans="5:22" x14ac:dyDescent="0.2"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  <c r="R1244" s="84"/>
      <c r="S1244" s="84"/>
      <c r="T1244" s="84"/>
      <c r="U1244" s="84"/>
      <c r="V1244" s="84"/>
    </row>
    <row r="1245" spans="5:22" x14ac:dyDescent="0.2"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  <c r="S1245" s="84"/>
      <c r="T1245" s="84"/>
      <c r="U1245" s="84"/>
      <c r="V1245" s="84"/>
    </row>
    <row r="1246" spans="5:22" x14ac:dyDescent="0.2"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  <c r="S1246" s="84"/>
      <c r="T1246" s="84"/>
      <c r="U1246" s="84"/>
      <c r="V1246" s="84"/>
    </row>
    <row r="1247" spans="5:22" x14ac:dyDescent="0.2"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  <c r="S1247" s="84"/>
      <c r="T1247" s="84"/>
      <c r="U1247" s="84"/>
      <c r="V1247" s="84"/>
    </row>
    <row r="1248" spans="5:22" x14ac:dyDescent="0.2"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  <c r="S1248" s="84"/>
      <c r="T1248" s="84"/>
      <c r="U1248" s="84"/>
      <c r="V1248" s="84"/>
    </row>
    <row r="1249" spans="5:22" x14ac:dyDescent="0.2"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  <c r="S1249" s="84"/>
      <c r="T1249" s="84"/>
      <c r="U1249" s="84"/>
      <c r="V1249" s="84"/>
    </row>
    <row r="1250" spans="5:22" x14ac:dyDescent="0.2"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  <c r="S1250" s="84"/>
      <c r="T1250" s="84"/>
      <c r="U1250" s="84"/>
      <c r="V1250" s="84"/>
    </row>
    <row r="1251" spans="5:22" x14ac:dyDescent="0.2"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  <c r="S1251" s="84"/>
      <c r="T1251" s="84"/>
      <c r="U1251" s="84"/>
      <c r="V1251" s="84"/>
    </row>
    <row r="1252" spans="5:22" x14ac:dyDescent="0.2"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  <c r="S1252" s="84"/>
      <c r="T1252" s="84"/>
      <c r="U1252" s="84"/>
      <c r="V1252" s="84"/>
    </row>
    <row r="1253" spans="5:22" x14ac:dyDescent="0.2"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  <c r="S1253" s="84"/>
      <c r="T1253" s="84"/>
      <c r="U1253" s="84"/>
      <c r="V1253" s="84"/>
    </row>
    <row r="1254" spans="5:22" x14ac:dyDescent="0.2"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  <c r="S1254" s="84"/>
      <c r="T1254" s="84"/>
      <c r="U1254" s="84"/>
      <c r="V1254" s="84"/>
    </row>
    <row r="1255" spans="5:22" x14ac:dyDescent="0.2"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  <c r="S1255" s="84"/>
      <c r="T1255" s="84"/>
      <c r="U1255" s="84"/>
      <c r="V1255" s="84"/>
    </row>
    <row r="1256" spans="5:22" x14ac:dyDescent="0.2"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  <c r="S1256" s="84"/>
      <c r="T1256" s="84"/>
      <c r="U1256" s="84"/>
      <c r="V1256" s="84"/>
    </row>
    <row r="1257" spans="5:22" x14ac:dyDescent="0.2"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  <c r="S1257" s="84"/>
      <c r="T1257" s="84"/>
      <c r="U1257" s="84"/>
      <c r="V1257" s="84"/>
    </row>
    <row r="1258" spans="5:22" x14ac:dyDescent="0.2"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  <c r="S1258" s="84"/>
      <c r="T1258" s="84"/>
      <c r="U1258" s="84"/>
      <c r="V1258" s="84"/>
    </row>
    <row r="1259" spans="5:22" x14ac:dyDescent="0.2"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  <c r="S1259" s="84"/>
      <c r="T1259" s="84"/>
      <c r="U1259" s="84"/>
      <c r="V1259" s="84"/>
    </row>
    <row r="1260" spans="5:22" x14ac:dyDescent="0.2"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  <c r="S1260" s="84"/>
      <c r="T1260" s="84"/>
      <c r="U1260" s="84"/>
      <c r="V1260" s="84"/>
    </row>
    <row r="1261" spans="5:22" x14ac:dyDescent="0.2"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  <c r="S1261" s="84"/>
      <c r="T1261" s="84"/>
      <c r="U1261" s="84"/>
      <c r="V1261" s="84"/>
    </row>
    <row r="1262" spans="5:22" x14ac:dyDescent="0.2"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  <c r="S1262" s="84"/>
      <c r="T1262" s="84"/>
      <c r="U1262" s="84"/>
      <c r="V1262" s="84"/>
    </row>
    <row r="1263" spans="5:22" x14ac:dyDescent="0.2"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  <c r="S1263" s="84"/>
      <c r="T1263" s="84"/>
      <c r="U1263" s="84"/>
      <c r="V1263" s="84"/>
    </row>
    <row r="1264" spans="5:22" x14ac:dyDescent="0.2"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  <c r="S1264" s="84"/>
      <c r="T1264" s="84"/>
      <c r="U1264" s="84"/>
      <c r="V1264" s="84"/>
    </row>
    <row r="1265" spans="5:22" x14ac:dyDescent="0.2"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  <c r="S1265" s="84"/>
      <c r="T1265" s="84"/>
      <c r="U1265" s="84"/>
      <c r="V1265" s="84"/>
    </row>
    <row r="1266" spans="5:22" x14ac:dyDescent="0.2"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  <c r="S1266" s="84"/>
      <c r="T1266" s="84"/>
      <c r="U1266" s="84"/>
      <c r="V1266" s="84"/>
    </row>
    <row r="1267" spans="5:22" x14ac:dyDescent="0.2"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  <c r="S1267" s="84"/>
      <c r="T1267" s="84"/>
      <c r="U1267" s="84"/>
      <c r="V1267" s="84"/>
    </row>
    <row r="1268" spans="5:22" x14ac:dyDescent="0.2"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  <c r="R1268" s="84"/>
      <c r="S1268" s="84"/>
      <c r="T1268" s="84"/>
      <c r="U1268" s="84"/>
      <c r="V1268" s="84"/>
    </row>
    <row r="1269" spans="5:22" x14ac:dyDescent="0.2"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  <c r="R1269" s="84"/>
      <c r="S1269" s="84"/>
      <c r="T1269" s="84"/>
      <c r="U1269" s="84"/>
      <c r="V1269" s="84"/>
    </row>
    <row r="1270" spans="5:22" x14ac:dyDescent="0.2"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  <c r="R1270" s="84"/>
      <c r="S1270" s="84"/>
      <c r="T1270" s="84"/>
      <c r="U1270" s="84"/>
      <c r="V1270" s="84"/>
    </row>
    <row r="1271" spans="5:22" x14ac:dyDescent="0.2"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  <c r="R1271" s="84"/>
      <c r="S1271" s="84"/>
      <c r="T1271" s="84"/>
      <c r="U1271" s="84"/>
      <c r="V1271" s="84"/>
    </row>
    <row r="1272" spans="5:22" x14ac:dyDescent="0.2"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  <c r="R1272" s="84"/>
      <c r="S1272" s="84"/>
      <c r="T1272" s="84"/>
      <c r="U1272" s="84"/>
      <c r="V1272" s="84"/>
    </row>
    <row r="1273" spans="5:22" x14ac:dyDescent="0.2"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  <c r="R1273" s="84"/>
      <c r="S1273" s="84"/>
      <c r="T1273" s="84"/>
      <c r="U1273" s="84"/>
      <c r="V1273" s="84"/>
    </row>
    <row r="1274" spans="5:22" x14ac:dyDescent="0.2"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  <c r="R1274" s="84"/>
      <c r="S1274" s="84"/>
      <c r="T1274" s="84"/>
      <c r="U1274" s="84"/>
      <c r="V1274" s="84"/>
    </row>
    <row r="1275" spans="5:22" x14ac:dyDescent="0.2"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  <c r="S1275" s="84"/>
      <c r="T1275" s="84"/>
      <c r="U1275" s="84"/>
      <c r="V1275" s="84"/>
    </row>
    <row r="1276" spans="5:22" x14ac:dyDescent="0.2"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  <c r="S1276" s="84"/>
      <c r="T1276" s="84"/>
      <c r="U1276" s="84"/>
      <c r="V1276" s="84"/>
    </row>
    <row r="1277" spans="5:22" x14ac:dyDescent="0.2"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  <c r="S1277" s="84"/>
      <c r="T1277" s="84"/>
      <c r="U1277" s="84"/>
      <c r="V1277" s="84"/>
    </row>
    <row r="1278" spans="5:22" x14ac:dyDescent="0.2"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  <c r="S1278" s="84"/>
      <c r="T1278" s="84"/>
      <c r="U1278" s="84"/>
      <c r="V1278" s="84"/>
    </row>
    <row r="1279" spans="5:22" x14ac:dyDescent="0.2"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  <c r="S1279" s="84"/>
      <c r="T1279" s="84"/>
      <c r="U1279" s="84"/>
      <c r="V1279" s="84"/>
    </row>
    <row r="1280" spans="5:22" x14ac:dyDescent="0.2"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  <c r="S1280" s="84"/>
      <c r="T1280" s="84"/>
      <c r="U1280" s="84"/>
      <c r="V1280" s="84"/>
    </row>
    <row r="1281" spans="5:22" x14ac:dyDescent="0.2"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  <c r="S1281" s="84"/>
      <c r="T1281" s="84"/>
      <c r="U1281" s="84"/>
      <c r="V1281" s="84"/>
    </row>
    <row r="1282" spans="5:22" x14ac:dyDescent="0.2"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  <c r="S1282" s="84"/>
      <c r="T1282" s="84"/>
      <c r="U1282" s="84"/>
      <c r="V1282" s="84"/>
    </row>
    <row r="1283" spans="5:22" x14ac:dyDescent="0.2"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  <c r="S1283" s="84"/>
      <c r="T1283" s="84"/>
      <c r="U1283" s="84"/>
      <c r="V1283" s="84"/>
    </row>
    <row r="1284" spans="5:22" x14ac:dyDescent="0.2"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  <c r="S1284" s="84"/>
      <c r="T1284" s="84"/>
      <c r="U1284" s="84"/>
      <c r="V1284" s="84"/>
    </row>
    <row r="1285" spans="5:22" x14ac:dyDescent="0.2"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  <c r="S1285" s="84"/>
      <c r="T1285" s="84"/>
      <c r="U1285" s="84"/>
      <c r="V1285" s="84"/>
    </row>
    <row r="1286" spans="5:22" x14ac:dyDescent="0.2"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  <c r="S1286" s="84"/>
      <c r="T1286" s="84"/>
      <c r="U1286" s="84"/>
      <c r="V1286" s="84"/>
    </row>
    <row r="1287" spans="5:22" x14ac:dyDescent="0.2">
      <c r="E1287" s="84"/>
      <c r="F1287" s="84"/>
      <c r="G1287" s="84"/>
      <c r="H1287" s="84"/>
      <c r="I1287" s="84"/>
      <c r="J1287" s="84"/>
      <c r="K1287" s="84"/>
      <c r="L1287" s="84"/>
      <c r="M1287" s="84"/>
      <c r="N1287" s="84"/>
      <c r="O1287" s="84"/>
      <c r="P1287" s="84"/>
      <c r="Q1287" s="84"/>
      <c r="R1287" s="84"/>
      <c r="S1287" s="84"/>
      <c r="T1287" s="84"/>
      <c r="U1287" s="84"/>
      <c r="V1287" s="84"/>
    </row>
    <row r="1288" spans="5:22" x14ac:dyDescent="0.2">
      <c r="E1288" s="84"/>
      <c r="F1288" s="84"/>
      <c r="G1288" s="84"/>
      <c r="H1288" s="84"/>
      <c r="I1288" s="84"/>
      <c r="J1288" s="84"/>
      <c r="K1288" s="84"/>
      <c r="L1288" s="84"/>
      <c r="M1288" s="84"/>
      <c r="N1288" s="84"/>
      <c r="O1288" s="84"/>
      <c r="P1288" s="84"/>
      <c r="Q1288" s="84"/>
      <c r="R1288" s="84"/>
      <c r="S1288" s="84"/>
      <c r="T1288" s="84"/>
      <c r="U1288" s="84"/>
      <c r="V1288" s="84"/>
    </row>
    <row r="1289" spans="5:22" x14ac:dyDescent="0.2">
      <c r="E1289" s="84"/>
      <c r="F1289" s="84"/>
      <c r="G1289" s="84"/>
      <c r="H1289" s="84"/>
      <c r="I1289" s="84"/>
      <c r="J1289" s="84"/>
      <c r="K1289" s="84"/>
      <c r="L1289" s="84"/>
      <c r="M1289" s="84"/>
      <c r="N1289" s="84"/>
      <c r="O1289" s="84"/>
      <c r="P1289" s="84"/>
      <c r="Q1289" s="84"/>
      <c r="R1289" s="84"/>
      <c r="S1289" s="84"/>
      <c r="T1289" s="84"/>
      <c r="U1289" s="84"/>
      <c r="V1289" s="84"/>
    </row>
    <row r="1290" spans="5:22" x14ac:dyDescent="0.2">
      <c r="E1290" s="84"/>
      <c r="F1290" s="84"/>
      <c r="G1290" s="84"/>
      <c r="H1290" s="84"/>
      <c r="I1290" s="84"/>
      <c r="J1290" s="84"/>
      <c r="K1290" s="84"/>
      <c r="L1290" s="84"/>
      <c r="M1290" s="84"/>
      <c r="N1290" s="84"/>
      <c r="O1290" s="84"/>
      <c r="P1290" s="84"/>
      <c r="Q1290" s="84"/>
      <c r="R1290" s="84"/>
      <c r="S1290" s="84"/>
      <c r="T1290" s="84"/>
      <c r="U1290" s="84"/>
      <c r="V1290" s="84"/>
    </row>
    <row r="1291" spans="5:22" x14ac:dyDescent="0.2"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  <c r="S1291" s="84"/>
      <c r="T1291" s="84"/>
      <c r="U1291" s="84"/>
      <c r="V1291" s="84"/>
    </row>
    <row r="1292" spans="5:22" x14ac:dyDescent="0.2"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  <c r="S1292" s="84"/>
      <c r="T1292" s="84"/>
      <c r="U1292" s="84"/>
      <c r="V1292" s="84"/>
    </row>
    <row r="1293" spans="5:22" x14ac:dyDescent="0.2"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  <c r="S1293" s="84"/>
      <c r="T1293" s="84"/>
      <c r="U1293" s="84"/>
      <c r="V1293" s="84"/>
    </row>
    <row r="1294" spans="5:22" x14ac:dyDescent="0.2"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  <c r="S1294" s="84"/>
      <c r="T1294" s="84"/>
      <c r="U1294" s="84"/>
      <c r="V1294" s="84"/>
    </row>
    <row r="1295" spans="5:22" x14ac:dyDescent="0.2"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  <c r="S1295" s="84"/>
      <c r="T1295" s="84"/>
      <c r="U1295" s="84"/>
      <c r="V1295" s="84"/>
    </row>
    <row r="1296" spans="5:22" x14ac:dyDescent="0.2"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  <c r="S1296" s="84"/>
      <c r="T1296" s="84"/>
      <c r="U1296" s="84"/>
      <c r="V1296" s="84"/>
    </row>
    <row r="1297" spans="5:22" x14ac:dyDescent="0.2"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  <c r="S1297" s="84"/>
      <c r="T1297" s="84"/>
      <c r="U1297" s="84"/>
      <c r="V1297" s="84"/>
    </row>
    <row r="1298" spans="5:22" x14ac:dyDescent="0.2"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  <c r="S1298" s="84"/>
      <c r="T1298" s="84"/>
      <c r="U1298" s="84"/>
      <c r="V1298" s="84"/>
    </row>
    <row r="1299" spans="5:22" x14ac:dyDescent="0.2"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  <c r="S1299" s="84"/>
      <c r="T1299" s="84"/>
      <c r="U1299" s="84"/>
      <c r="V1299" s="84"/>
    </row>
    <row r="1300" spans="5:22" x14ac:dyDescent="0.2"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  <c r="S1300" s="84"/>
      <c r="T1300" s="84"/>
      <c r="U1300" s="84"/>
      <c r="V1300" s="84"/>
    </row>
    <row r="1301" spans="5:22" x14ac:dyDescent="0.2"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  <c r="S1301" s="84"/>
      <c r="T1301" s="84"/>
      <c r="U1301" s="84"/>
      <c r="V1301" s="84"/>
    </row>
    <row r="1302" spans="5:22" x14ac:dyDescent="0.2"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  <c r="S1302" s="84"/>
      <c r="T1302" s="84"/>
      <c r="U1302" s="84"/>
      <c r="V1302" s="84"/>
    </row>
    <row r="1303" spans="5:22" x14ac:dyDescent="0.2"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  <c r="S1303" s="84"/>
      <c r="T1303" s="84"/>
      <c r="U1303" s="84"/>
      <c r="V1303" s="84"/>
    </row>
    <row r="1304" spans="5:22" x14ac:dyDescent="0.2"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  <c r="S1304" s="84"/>
      <c r="T1304" s="84"/>
      <c r="U1304" s="84"/>
      <c r="V1304" s="84"/>
    </row>
    <row r="1305" spans="5:22" x14ac:dyDescent="0.2"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  <c r="S1305" s="84"/>
      <c r="T1305" s="84"/>
      <c r="U1305" s="84"/>
      <c r="V1305" s="84"/>
    </row>
    <row r="1306" spans="5:22" x14ac:dyDescent="0.2"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  <c r="S1306" s="84"/>
      <c r="T1306" s="84"/>
      <c r="U1306" s="84"/>
      <c r="V1306" s="84"/>
    </row>
    <row r="1307" spans="5:22" x14ac:dyDescent="0.2"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  <c r="S1307" s="84"/>
      <c r="T1307" s="84"/>
      <c r="U1307" s="84"/>
      <c r="V1307" s="84"/>
    </row>
    <row r="1308" spans="5:22" x14ac:dyDescent="0.2"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  <c r="S1308" s="84"/>
      <c r="T1308" s="84"/>
      <c r="U1308" s="84"/>
      <c r="V1308" s="84"/>
    </row>
    <row r="1309" spans="5:22" x14ac:dyDescent="0.2"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  <c r="S1309" s="84"/>
      <c r="T1309" s="84"/>
      <c r="U1309" s="84"/>
      <c r="V1309" s="84"/>
    </row>
    <row r="1310" spans="5:22" x14ac:dyDescent="0.2"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  <c r="S1310" s="84"/>
      <c r="T1310" s="84"/>
      <c r="U1310" s="84"/>
      <c r="V1310" s="84"/>
    </row>
    <row r="1311" spans="5:22" x14ac:dyDescent="0.2"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  <c r="S1311" s="84"/>
      <c r="T1311" s="84"/>
      <c r="U1311" s="84"/>
      <c r="V1311" s="84"/>
    </row>
    <row r="1312" spans="5:22" x14ac:dyDescent="0.2"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  <c r="S1312" s="84"/>
      <c r="T1312" s="84"/>
      <c r="U1312" s="84"/>
      <c r="V1312" s="84"/>
    </row>
    <row r="1313" spans="5:22" x14ac:dyDescent="0.2"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  <c r="S1313" s="84"/>
      <c r="T1313" s="84"/>
      <c r="U1313" s="84"/>
      <c r="V1313" s="84"/>
    </row>
    <row r="1314" spans="5:22" x14ac:dyDescent="0.2">
      <c r="E1314" s="84"/>
      <c r="F1314" s="84"/>
      <c r="G1314" s="84"/>
      <c r="H1314" s="84"/>
      <c r="I1314" s="84"/>
      <c r="J1314" s="84"/>
      <c r="K1314" s="84"/>
      <c r="L1314" s="84"/>
      <c r="M1314" s="84"/>
      <c r="N1314" s="84"/>
      <c r="O1314" s="84"/>
      <c r="P1314" s="84"/>
      <c r="Q1314" s="84"/>
      <c r="R1314" s="84"/>
      <c r="S1314" s="84"/>
      <c r="T1314" s="84"/>
      <c r="U1314" s="84"/>
      <c r="V1314" s="84"/>
    </row>
    <row r="1315" spans="5:22" x14ac:dyDescent="0.2">
      <c r="E1315" s="84"/>
      <c r="F1315" s="84"/>
      <c r="G1315" s="84"/>
      <c r="H1315" s="84"/>
      <c r="I1315" s="84"/>
      <c r="J1315" s="84"/>
      <c r="K1315" s="84"/>
      <c r="L1315" s="84"/>
      <c r="M1315" s="84"/>
      <c r="N1315" s="84"/>
      <c r="O1315" s="84"/>
      <c r="P1315" s="84"/>
      <c r="Q1315" s="84"/>
      <c r="R1315" s="84"/>
      <c r="S1315" s="84"/>
      <c r="T1315" s="84"/>
      <c r="U1315" s="84"/>
      <c r="V1315" s="84"/>
    </row>
    <row r="1316" spans="5:22" x14ac:dyDescent="0.2">
      <c r="E1316" s="84"/>
      <c r="F1316" s="84"/>
      <c r="G1316" s="84"/>
      <c r="H1316" s="84"/>
      <c r="I1316" s="84"/>
      <c r="J1316" s="84"/>
      <c r="K1316" s="84"/>
      <c r="L1316" s="84"/>
      <c r="M1316" s="84"/>
      <c r="N1316" s="84"/>
      <c r="O1316" s="84"/>
      <c r="P1316" s="84"/>
      <c r="Q1316" s="84"/>
      <c r="R1316" s="84"/>
      <c r="S1316" s="84"/>
      <c r="T1316" s="84"/>
      <c r="U1316" s="84"/>
      <c r="V1316" s="84"/>
    </row>
    <row r="1317" spans="5:22" x14ac:dyDescent="0.2">
      <c r="E1317" s="84"/>
      <c r="F1317" s="84"/>
      <c r="G1317" s="84"/>
      <c r="H1317" s="84"/>
      <c r="I1317" s="84"/>
      <c r="J1317" s="84"/>
      <c r="K1317" s="84"/>
      <c r="L1317" s="84"/>
      <c r="M1317" s="84"/>
      <c r="N1317" s="84"/>
      <c r="O1317" s="84"/>
      <c r="P1317" s="84"/>
      <c r="Q1317" s="84"/>
      <c r="R1317" s="84"/>
      <c r="S1317" s="84"/>
      <c r="T1317" s="84"/>
      <c r="U1317" s="84"/>
      <c r="V1317" s="84"/>
    </row>
    <row r="1318" spans="5:22" x14ac:dyDescent="0.2">
      <c r="E1318" s="84"/>
      <c r="F1318" s="84"/>
      <c r="G1318" s="84"/>
      <c r="H1318" s="84"/>
      <c r="I1318" s="84"/>
      <c r="J1318" s="84"/>
      <c r="K1318" s="84"/>
      <c r="L1318" s="84"/>
      <c r="M1318" s="84"/>
      <c r="N1318" s="84"/>
      <c r="O1318" s="84"/>
      <c r="P1318" s="84"/>
      <c r="Q1318" s="84"/>
      <c r="R1318" s="84"/>
      <c r="S1318" s="84"/>
      <c r="T1318" s="84"/>
      <c r="U1318" s="84"/>
      <c r="V1318" s="84"/>
    </row>
    <row r="1319" spans="5:22" x14ac:dyDescent="0.2">
      <c r="E1319" s="84"/>
      <c r="F1319" s="84"/>
      <c r="G1319" s="84"/>
      <c r="H1319" s="84"/>
      <c r="I1319" s="84"/>
      <c r="J1319" s="84"/>
      <c r="K1319" s="84"/>
      <c r="L1319" s="84"/>
      <c r="M1319" s="84"/>
      <c r="N1319" s="84"/>
      <c r="O1319" s="84"/>
      <c r="P1319" s="84"/>
      <c r="Q1319" s="84"/>
      <c r="R1319" s="84"/>
      <c r="S1319" s="84"/>
      <c r="T1319" s="84"/>
      <c r="U1319" s="84"/>
      <c r="V1319" s="84"/>
    </row>
    <row r="1320" spans="5:22" x14ac:dyDescent="0.2">
      <c r="E1320" s="84"/>
      <c r="F1320" s="84"/>
      <c r="G1320" s="84"/>
      <c r="H1320" s="84"/>
      <c r="I1320" s="84"/>
      <c r="J1320" s="84"/>
      <c r="K1320" s="84"/>
      <c r="L1320" s="84"/>
      <c r="M1320" s="84"/>
      <c r="N1320" s="84"/>
      <c r="O1320" s="84"/>
      <c r="P1320" s="84"/>
      <c r="Q1320" s="84"/>
      <c r="R1320" s="84"/>
      <c r="S1320" s="84"/>
      <c r="T1320" s="84"/>
      <c r="U1320" s="84"/>
      <c r="V1320" s="84"/>
    </row>
    <row r="1321" spans="5:22" x14ac:dyDescent="0.2">
      <c r="E1321" s="84"/>
      <c r="F1321" s="84"/>
      <c r="G1321" s="84"/>
      <c r="H1321" s="84"/>
      <c r="I1321" s="84"/>
      <c r="J1321" s="84"/>
      <c r="K1321" s="84"/>
      <c r="L1321" s="84"/>
      <c r="M1321" s="84"/>
      <c r="N1321" s="84"/>
      <c r="O1321" s="84"/>
      <c r="P1321" s="84"/>
      <c r="Q1321" s="84"/>
      <c r="R1321" s="84"/>
      <c r="S1321" s="84"/>
      <c r="T1321" s="84"/>
      <c r="U1321" s="84"/>
      <c r="V1321" s="84"/>
    </row>
    <row r="1322" spans="5:22" x14ac:dyDescent="0.2">
      <c r="E1322" s="84"/>
      <c r="F1322" s="84"/>
      <c r="G1322" s="84"/>
      <c r="H1322" s="84"/>
      <c r="I1322" s="84"/>
      <c r="J1322" s="84"/>
      <c r="K1322" s="84"/>
      <c r="L1322" s="84"/>
      <c r="M1322" s="84"/>
      <c r="N1322" s="84"/>
      <c r="O1322" s="84"/>
      <c r="P1322" s="84"/>
      <c r="Q1322" s="84"/>
      <c r="R1322" s="84"/>
      <c r="S1322" s="84"/>
      <c r="T1322" s="84"/>
      <c r="U1322" s="84"/>
      <c r="V1322" s="84"/>
    </row>
    <row r="1323" spans="5:22" x14ac:dyDescent="0.2"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  <c r="S1323" s="84"/>
      <c r="T1323" s="84"/>
      <c r="U1323" s="84"/>
      <c r="V1323" s="84"/>
    </row>
    <row r="1324" spans="5:22" x14ac:dyDescent="0.2"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  <c r="S1324" s="84"/>
      <c r="T1324" s="84"/>
      <c r="U1324" s="84"/>
      <c r="V1324" s="84"/>
    </row>
    <row r="1325" spans="5:22" x14ac:dyDescent="0.2"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  <c r="S1325" s="84"/>
      <c r="T1325" s="84"/>
      <c r="U1325" s="84"/>
      <c r="V1325" s="84"/>
    </row>
    <row r="1326" spans="5:22" x14ac:dyDescent="0.2"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  <c r="S1326" s="84"/>
      <c r="T1326" s="84"/>
      <c r="U1326" s="84"/>
      <c r="V1326" s="84"/>
    </row>
    <row r="1327" spans="5:22" x14ac:dyDescent="0.2"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  <c r="S1327" s="84"/>
      <c r="T1327" s="84"/>
      <c r="U1327" s="84"/>
      <c r="V1327" s="84"/>
    </row>
    <row r="1328" spans="5:22" x14ac:dyDescent="0.2"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  <c r="S1328" s="84"/>
      <c r="T1328" s="84"/>
      <c r="U1328" s="84"/>
      <c r="V1328" s="84"/>
    </row>
    <row r="1329" spans="5:22" x14ac:dyDescent="0.2"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</row>
    <row r="1330" spans="5:22" x14ac:dyDescent="0.2"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</row>
    <row r="1331" spans="5:22" x14ac:dyDescent="0.2"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</row>
    <row r="1332" spans="5:22" x14ac:dyDescent="0.2"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</row>
    <row r="1333" spans="5:22" x14ac:dyDescent="0.2"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</row>
    <row r="1334" spans="5:22" x14ac:dyDescent="0.2"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</row>
    <row r="1335" spans="5:22" x14ac:dyDescent="0.2"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  <c r="R1335" s="84"/>
      <c r="S1335" s="84"/>
      <c r="T1335" s="84"/>
      <c r="U1335" s="84"/>
      <c r="V1335" s="84"/>
    </row>
    <row r="1336" spans="5:22" x14ac:dyDescent="0.2"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  <c r="R1336" s="84"/>
      <c r="S1336" s="84"/>
      <c r="T1336" s="84"/>
      <c r="U1336" s="84"/>
      <c r="V1336" s="84"/>
    </row>
    <row r="1337" spans="5:22" x14ac:dyDescent="0.2"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  <c r="S1337" s="84"/>
      <c r="T1337" s="84"/>
      <c r="U1337" s="84"/>
      <c r="V1337" s="84"/>
    </row>
    <row r="1338" spans="5:22" x14ac:dyDescent="0.2"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  <c r="S1338" s="84"/>
      <c r="T1338" s="84"/>
      <c r="U1338" s="84"/>
      <c r="V1338" s="84"/>
    </row>
    <row r="1339" spans="5:22" x14ac:dyDescent="0.2"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  <c r="S1339" s="84"/>
      <c r="T1339" s="84"/>
      <c r="U1339" s="84"/>
      <c r="V1339" s="84"/>
    </row>
    <row r="1340" spans="5:22" x14ac:dyDescent="0.2"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  <c r="S1340" s="84"/>
      <c r="T1340" s="84"/>
      <c r="U1340" s="84"/>
      <c r="V1340" s="84"/>
    </row>
    <row r="1341" spans="5:22" x14ac:dyDescent="0.2"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  <c r="S1341" s="84"/>
      <c r="T1341" s="84"/>
      <c r="U1341" s="84"/>
      <c r="V1341" s="84"/>
    </row>
    <row r="1342" spans="5:22" x14ac:dyDescent="0.2"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  <c r="S1342" s="84"/>
      <c r="T1342" s="84"/>
      <c r="U1342" s="84"/>
      <c r="V1342" s="84"/>
    </row>
    <row r="1343" spans="5:22" x14ac:dyDescent="0.2"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  <c r="S1343" s="84"/>
      <c r="T1343" s="84"/>
      <c r="U1343" s="84"/>
      <c r="V1343" s="84"/>
    </row>
    <row r="1344" spans="5:22" x14ac:dyDescent="0.2"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  <c r="S1344" s="84"/>
      <c r="T1344" s="84"/>
      <c r="U1344" s="84"/>
      <c r="V1344" s="84"/>
    </row>
    <row r="1345" spans="5:22" x14ac:dyDescent="0.2"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  <c r="S1345" s="84"/>
      <c r="T1345" s="84"/>
      <c r="U1345" s="84"/>
      <c r="V1345" s="84"/>
    </row>
    <row r="1346" spans="5:22" x14ac:dyDescent="0.2"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  <c r="S1346" s="84"/>
      <c r="T1346" s="84"/>
      <c r="U1346" s="84"/>
      <c r="V1346" s="84"/>
    </row>
    <row r="1347" spans="5:22" x14ac:dyDescent="0.2"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  <c r="S1347" s="84"/>
      <c r="T1347" s="84"/>
      <c r="U1347" s="84"/>
      <c r="V1347" s="84"/>
    </row>
    <row r="1348" spans="5:22" x14ac:dyDescent="0.2"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  <c r="S1348" s="84"/>
      <c r="T1348" s="84"/>
      <c r="U1348" s="84"/>
      <c r="V1348" s="84"/>
    </row>
    <row r="1349" spans="5:22" x14ac:dyDescent="0.2"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  <c r="S1349" s="84"/>
      <c r="T1349" s="84"/>
      <c r="U1349" s="84"/>
      <c r="V1349" s="84"/>
    </row>
    <row r="1350" spans="5:22" x14ac:dyDescent="0.2"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  <c r="S1350" s="84"/>
      <c r="T1350" s="84"/>
      <c r="U1350" s="84"/>
      <c r="V1350" s="84"/>
    </row>
    <row r="1351" spans="5:22" x14ac:dyDescent="0.2"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  <c r="S1351" s="84"/>
      <c r="T1351" s="84"/>
      <c r="U1351" s="84"/>
      <c r="V1351" s="84"/>
    </row>
    <row r="1352" spans="5:22" x14ac:dyDescent="0.2"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  <c r="S1352" s="84"/>
      <c r="T1352" s="84"/>
      <c r="U1352" s="84"/>
      <c r="V1352" s="84"/>
    </row>
    <row r="1353" spans="5:22" x14ac:dyDescent="0.2"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  <c r="S1353" s="84"/>
      <c r="T1353" s="84"/>
      <c r="U1353" s="84"/>
      <c r="V1353" s="84"/>
    </row>
    <row r="1354" spans="5:22" x14ac:dyDescent="0.2"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  <c r="S1354" s="84"/>
      <c r="T1354" s="84"/>
      <c r="U1354" s="84"/>
      <c r="V1354" s="84"/>
    </row>
    <row r="1355" spans="5:22" x14ac:dyDescent="0.2"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  <c r="S1355" s="84"/>
      <c r="T1355" s="84"/>
      <c r="U1355" s="84"/>
      <c r="V1355" s="84"/>
    </row>
    <row r="1356" spans="5:22" x14ac:dyDescent="0.2"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  <c r="S1356" s="84"/>
      <c r="T1356" s="84"/>
      <c r="U1356" s="84"/>
      <c r="V1356" s="84"/>
    </row>
    <row r="1357" spans="5:22" x14ac:dyDescent="0.2"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U1357" s="84"/>
      <c r="V1357" s="84"/>
    </row>
    <row r="1358" spans="5:22" x14ac:dyDescent="0.2"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  <c r="S1358" s="84"/>
      <c r="T1358" s="84"/>
      <c r="U1358" s="84"/>
      <c r="V1358" s="84"/>
    </row>
    <row r="1359" spans="5:22" x14ac:dyDescent="0.2"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  <c r="S1359" s="84"/>
      <c r="T1359" s="84"/>
      <c r="U1359" s="84"/>
      <c r="V1359" s="84"/>
    </row>
    <row r="1360" spans="5:22" x14ac:dyDescent="0.2"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  <c r="R1360" s="84"/>
      <c r="S1360" s="84"/>
      <c r="T1360" s="84"/>
      <c r="U1360" s="84"/>
      <c r="V1360" s="84"/>
    </row>
    <row r="1361" spans="5:22" x14ac:dyDescent="0.2"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  <c r="R1361" s="84"/>
      <c r="S1361" s="84"/>
      <c r="T1361" s="84"/>
      <c r="U1361" s="84"/>
      <c r="V1361" s="84"/>
    </row>
    <row r="1362" spans="5:22" x14ac:dyDescent="0.2"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  <c r="R1362" s="84"/>
      <c r="S1362" s="84"/>
      <c r="T1362" s="84"/>
      <c r="U1362" s="84"/>
      <c r="V1362" s="84"/>
    </row>
    <row r="1363" spans="5:22" x14ac:dyDescent="0.2"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  <c r="R1363" s="84"/>
      <c r="S1363" s="84"/>
      <c r="T1363" s="84"/>
      <c r="U1363" s="84"/>
      <c r="V1363" s="84"/>
    </row>
    <row r="1364" spans="5:22" x14ac:dyDescent="0.2"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  <c r="R1364" s="84"/>
      <c r="S1364" s="84"/>
      <c r="T1364" s="84"/>
      <c r="U1364" s="84"/>
      <c r="V1364" s="84"/>
    </row>
    <row r="1365" spans="5:22" x14ac:dyDescent="0.2"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  <c r="R1365" s="84"/>
      <c r="S1365" s="84"/>
      <c r="T1365" s="84"/>
      <c r="U1365" s="84"/>
      <c r="V1365" s="84"/>
    </row>
    <row r="1366" spans="5:22" x14ac:dyDescent="0.2"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  <c r="R1366" s="84"/>
      <c r="S1366" s="84"/>
      <c r="T1366" s="84"/>
      <c r="U1366" s="84"/>
      <c r="V1366" s="84"/>
    </row>
    <row r="1367" spans="5:22" x14ac:dyDescent="0.2"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  <c r="R1367" s="84"/>
      <c r="S1367" s="84"/>
      <c r="T1367" s="84"/>
      <c r="U1367" s="84"/>
      <c r="V1367" s="84"/>
    </row>
    <row r="1368" spans="5:22" x14ac:dyDescent="0.2">
      <c r="E1368" s="84"/>
      <c r="F1368" s="84"/>
      <c r="G1368" s="84"/>
      <c r="H1368" s="84"/>
      <c r="I1368" s="84"/>
      <c r="J1368" s="84"/>
      <c r="K1368" s="84"/>
      <c r="L1368" s="84"/>
      <c r="M1368" s="84"/>
      <c r="N1368" s="84"/>
      <c r="O1368" s="84"/>
      <c r="P1368" s="84"/>
      <c r="Q1368" s="84"/>
      <c r="R1368" s="84"/>
      <c r="S1368" s="84"/>
      <c r="T1368" s="84"/>
      <c r="U1368" s="84"/>
      <c r="V1368" s="84"/>
    </row>
    <row r="1369" spans="5:22" x14ac:dyDescent="0.2">
      <c r="E1369" s="84"/>
      <c r="F1369" s="84"/>
      <c r="G1369" s="84"/>
      <c r="H1369" s="84"/>
      <c r="I1369" s="84"/>
      <c r="J1369" s="84"/>
      <c r="K1369" s="84"/>
      <c r="L1369" s="84"/>
      <c r="M1369" s="84"/>
      <c r="N1369" s="84"/>
      <c r="O1369" s="84"/>
      <c r="P1369" s="84"/>
      <c r="Q1369" s="84"/>
      <c r="R1369" s="84"/>
      <c r="S1369" s="84"/>
      <c r="T1369" s="84"/>
      <c r="U1369" s="84"/>
      <c r="V1369" s="84"/>
    </row>
    <row r="1370" spans="5:22" x14ac:dyDescent="0.2">
      <c r="E1370" s="84"/>
      <c r="F1370" s="84"/>
      <c r="G1370" s="84"/>
      <c r="H1370" s="84"/>
      <c r="I1370" s="84"/>
      <c r="J1370" s="84"/>
      <c r="K1370" s="84"/>
      <c r="L1370" s="84"/>
      <c r="M1370" s="84"/>
      <c r="N1370" s="84"/>
      <c r="O1370" s="84"/>
      <c r="P1370" s="84"/>
      <c r="Q1370" s="84"/>
      <c r="R1370" s="84"/>
      <c r="S1370" s="84"/>
      <c r="T1370" s="84"/>
      <c r="U1370" s="84"/>
      <c r="V1370" s="84"/>
    </row>
    <row r="1371" spans="5:22" x14ac:dyDescent="0.2"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  <c r="S1371" s="84"/>
      <c r="T1371" s="84"/>
      <c r="U1371" s="84"/>
      <c r="V1371" s="84"/>
    </row>
    <row r="1372" spans="5:22" x14ac:dyDescent="0.2"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  <c r="S1372" s="84"/>
      <c r="T1372" s="84"/>
      <c r="U1372" s="84"/>
      <c r="V1372" s="84"/>
    </row>
    <row r="1373" spans="5:22" x14ac:dyDescent="0.2"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  <c r="S1373" s="84"/>
      <c r="T1373" s="84"/>
      <c r="U1373" s="84"/>
      <c r="V1373" s="84"/>
    </row>
    <row r="1374" spans="5:22" x14ac:dyDescent="0.2"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  <c r="S1374" s="84"/>
      <c r="T1374" s="84"/>
      <c r="U1374" s="84"/>
      <c r="V1374" s="84"/>
    </row>
    <row r="1375" spans="5:22" x14ac:dyDescent="0.2"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  <c r="S1375" s="84"/>
      <c r="T1375" s="84"/>
      <c r="U1375" s="84"/>
      <c r="V1375" s="84"/>
    </row>
    <row r="1376" spans="5:22" x14ac:dyDescent="0.2"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  <c r="S1376" s="84"/>
      <c r="T1376" s="84"/>
      <c r="U1376" s="84"/>
      <c r="V1376" s="84"/>
    </row>
    <row r="1377" spans="5:22" x14ac:dyDescent="0.2"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  <c r="S1377" s="84"/>
      <c r="T1377" s="84"/>
      <c r="U1377" s="84"/>
      <c r="V1377" s="84"/>
    </row>
    <row r="1378" spans="5:22" x14ac:dyDescent="0.2"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  <c r="S1378" s="84"/>
      <c r="T1378" s="84"/>
      <c r="U1378" s="84"/>
      <c r="V1378" s="84"/>
    </row>
    <row r="1379" spans="5:22" x14ac:dyDescent="0.2"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  <c r="S1379" s="84"/>
      <c r="T1379" s="84"/>
      <c r="U1379" s="84"/>
      <c r="V1379" s="84"/>
    </row>
    <row r="1380" spans="5:22" x14ac:dyDescent="0.2"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  <c r="S1380" s="84"/>
      <c r="T1380" s="84"/>
      <c r="U1380" s="84"/>
      <c r="V1380" s="84"/>
    </row>
    <row r="1381" spans="5:22" x14ac:dyDescent="0.2"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  <c r="S1381" s="84"/>
      <c r="T1381" s="84"/>
      <c r="U1381" s="84"/>
      <c r="V1381" s="84"/>
    </row>
    <row r="1382" spans="5:22" x14ac:dyDescent="0.2"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  <c r="S1382" s="84"/>
      <c r="T1382" s="84"/>
      <c r="U1382" s="84"/>
      <c r="V1382" s="84"/>
    </row>
    <row r="1383" spans="5:22" x14ac:dyDescent="0.2"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  <c r="S1383" s="84"/>
      <c r="T1383" s="84"/>
      <c r="U1383" s="84"/>
      <c r="V1383" s="84"/>
    </row>
    <row r="1384" spans="5:22" x14ac:dyDescent="0.2"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  <c r="S1384" s="84"/>
      <c r="T1384" s="84"/>
      <c r="U1384" s="84"/>
      <c r="V1384" s="84"/>
    </row>
    <row r="1385" spans="5:22" x14ac:dyDescent="0.2"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  <c r="S1385" s="84"/>
      <c r="T1385" s="84"/>
      <c r="U1385" s="84"/>
      <c r="V1385" s="84"/>
    </row>
    <row r="1386" spans="5:22" x14ac:dyDescent="0.2"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  <c r="S1386" s="84"/>
      <c r="T1386" s="84"/>
      <c r="U1386" s="84"/>
      <c r="V1386" s="84"/>
    </row>
    <row r="1387" spans="5:22" x14ac:dyDescent="0.2"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  <c r="S1387" s="84"/>
      <c r="T1387" s="84"/>
      <c r="U1387" s="84"/>
      <c r="V1387" s="84"/>
    </row>
    <row r="1388" spans="5:22" x14ac:dyDescent="0.2"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  <c r="S1388" s="84"/>
      <c r="T1388" s="84"/>
      <c r="U1388" s="84"/>
      <c r="V1388" s="84"/>
    </row>
    <row r="1389" spans="5:22" x14ac:dyDescent="0.2"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  <c r="S1389" s="84"/>
      <c r="T1389" s="84"/>
      <c r="U1389" s="84"/>
      <c r="V1389" s="84"/>
    </row>
    <row r="1390" spans="5:22" x14ac:dyDescent="0.2"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  <c r="S1390" s="84"/>
      <c r="T1390" s="84"/>
      <c r="U1390" s="84"/>
      <c r="V1390" s="84"/>
    </row>
    <row r="1391" spans="5:22" x14ac:dyDescent="0.2"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  <c r="S1391" s="84"/>
      <c r="T1391" s="84"/>
      <c r="U1391" s="84"/>
      <c r="V1391" s="84"/>
    </row>
    <row r="1392" spans="5:22" x14ac:dyDescent="0.2"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  <c r="S1392" s="84"/>
      <c r="T1392" s="84"/>
      <c r="U1392" s="84"/>
      <c r="V1392" s="84"/>
    </row>
    <row r="1393" spans="5:22" x14ac:dyDescent="0.2"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  <c r="S1393" s="84"/>
      <c r="T1393" s="84"/>
      <c r="U1393" s="84"/>
      <c r="V1393" s="84"/>
    </row>
    <row r="1394" spans="5:22" x14ac:dyDescent="0.2"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  <c r="S1394" s="84"/>
      <c r="T1394" s="84"/>
      <c r="U1394" s="84"/>
      <c r="V1394" s="84"/>
    </row>
    <row r="1395" spans="5:22" x14ac:dyDescent="0.2"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  <c r="S1395" s="84"/>
      <c r="T1395" s="84"/>
      <c r="U1395" s="84"/>
      <c r="V1395" s="84"/>
    </row>
    <row r="1396" spans="5:22" x14ac:dyDescent="0.2"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  <c r="S1396" s="84"/>
      <c r="T1396" s="84"/>
      <c r="U1396" s="84"/>
      <c r="V1396" s="84"/>
    </row>
    <row r="1397" spans="5:22" x14ac:dyDescent="0.2"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  <c r="S1397" s="84"/>
      <c r="T1397" s="84"/>
      <c r="U1397" s="84"/>
      <c r="V1397" s="84"/>
    </row>
    <row r="1398" spans="5:22" x14ac:dyDescent="0.2"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  <c r="S1398" s="84"/>
      <c r="T1398" s="84"/>
      <c r="U1398" s="84"/>
      <c r="V1398" s="84"/>
    </row>
    <row r="1399" spans="5:22" x14ac:dyDescent="0.2"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  <c r="S1399" s="84"/>
      <c r="T1399" s="84"/>
      <c r="U1399" s="84"/>
      <c r="V1399" s="84"/>
    </row>
    <row r="1400" spans="5:22" x14ac:dyDescent="0.2"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  <c r="S1400" s="84"/>
      <c r="T1400" s="84"/>
      <c r="U1400" s="84"/>
      <c r="V1400" s="84"/>
    </row>
    <row r="1401" spans="5:22" x14ac:dyDescent="0.2"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  <c r="S1401" s="84"/>
      <c r="T1401" s="84"/>
      <c r="U1401" s="84"/>
      <c r="V1401" s="84"/>
    </row>
    <row r="1402" spans="5:22" x14ac:dyDescent="0.2"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  <c r="S1402" s="84"/>
      <c r="T1402" s="84"/>
      <c r="U1402" s="84"/>
      <c r="V1402" s="84"/>
    </row>
    <row r="1403" spans="5:22" x14ac:dyDescent="0.2"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  <c r="S1403" s="84"/>
      <c r="T1403" s="84"/>
      <c r="U1403" s="84"/>
      <c r="V1403" s="84"/>
    </row>
    <row r="1404" spans="5:22" x14ac:dyDescent="0.2"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  <c r="S1404" s="84"/>
      <c r="T1404" s="84"/>
      <c r="U1404" s="84"/>
      <c r="V1404" s="84"/>
    </row>
    <row r="1405" spans="5:22" x14ac:dyDescent="0.2"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  <c r="S1405" s="84"/>
      <c r="T1405" s="84"/>
      <c r="U1405" s="84"/>
      <c r="V1405" s="84"/>
    </row>
    <row r="1406" spans="5:22" x14ac:dyDescent="0.2"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  <c r="S1406" s="84"/>
      <c r="T1406" s="84"/>
      <c r="U1406" s="84"/>
      <c r="V1406" s="84"/>
    </row>
    <row r="1407" spans="5:22" x14ac:dyDescent="0.2">
      <c r="E1407" s="84"/>
      <c r="F1407" s="84"/>
      <c r="G1407" s="84"/>
      <c r="H1407" s="84"/>
      <c r="I1407" s="84"/>
      <c r="J1407" s="84"/>
      <c r="K1407" s="84"/>
      <c r="L1407" s="84"/>
      <c r="M1407" s="84"/>
      <c r="N1407" s="84"/>
      <c r="O1407" s="84"/>
      <c r="P1407" s="84"/>
      <c r="Q1407" s="84"/>
      <c r="R1407" s="84"/>
      <c r="S1407" s="84"/>
      <c r="T1407" s="84"/>
      <c r="U1407" s="84"/>
      <c r="V1407" s="84"/>
    </row>
    <row r="1408" spans="5:22" x14ac:dyDescent="0.2">
      <c r="E1408" s="84"/>
      <c r="F1408" s="84"/>
      <c r="G1408" s="84"/>
      <c r="H1408" s="84"/>
      <c r="I1408" s="84"/>
      <c r="J1408" s="84"/>
      <c r="K1408" s="84"/>
      <c r="L1408" s="84"/>
      <c r="M1408" s="84"/>
      <c r="N1408" s="84"/>
      <c r="O1408" s="84"/>
      <c r="P1408" s="84"/>
      <c r="Q1408" s="84"/>
      <c r="R1408" s="84"/>
      <c r="S1408" s="84"/>
      <c r="T1408" s="84"/>
      <c r="U1408" s="84"/>
      <c r="V1408" s="84"/>
    </row>
    <row r="1409" spans="5:22" x14ac:dyDescent="0.2">
      <c r="E1409" s="84"/>
      <c r="F1409" s="84"/>
      <c r="G1409" s="84"/>
      <c r="H1409" s="84"/>
      <c r="I1409" s="84"/>
      <c r="J1409" s="84"/>
      <c r="K1409" s="84"/>
      <c r="L1409" s="84"/>
      <c r="M1409" s="84"/>
      <c r="N1409" s="84"/>
      <c r="O1409" s="84"/>
      <c r="P1409" s="84"/>
      <c r="Q1409" s="84"/>
      <c r="R1409" s="84"/>
      <c r="S1409" s="84"/>
      <c r="T1409" s="84"/>
      <c r="U1409" s="84"/>
      <c r="V1409" s="84"/>
    </row>
    <row r="1410" spans="5:22" x14ac:dyDescent="0.2">
      <c r="E1410" s="84"/>
      <c r="F1410" s="84"/>
      <c r="G1410" s="84"/>
      <c r="H1410" s="84"/>
      <c r="I1410" s="84"/>
      <c r="J1410" s="84"/>
      <c r="K1410" s="84"/>
      <c r="L1410" s="84"/>
      <c r="M1410" s="84"/>
      <c r="N1410" s="84"/>
      <c r="O1410" s="84"/>
      <c r="P1410" s="84"/>
      <c r="Q1410" s="84"/>
      <c r="R1410" s="84"/>
      <c r="S1410" s="84"/>
      <c r="T1410" s="84"/>
      <c r="U1410" s="84"/>
      <c r="V1410" s="84"/>
    </row>
    <row r="1411" spans="5:22" x14ac:dyDescent="0.2">
      <c r="E1411" s="84"/>
      <c r="F1411" s="84"/>
      <c r="G1411" s="84"/>
      <c r="H1411" s="84"/>
      <c r="I1411" s="84"/>
      <c r="J1411" s="84"/>
      <c r="K1411" s="84"/>
      <c r="L1411" s="84"/>
      <c r="M1411" s="84"/>
      <c r="N1411" s="84"/>
      <c r="O1411" s="84"/>
      <c r="P1411" s="84"/>
      <c r="Q1411" s="84"/>
      <c r="R1411" s="84"/>
      <c r="S1411" s="84"/>
      <c r="T1411" s="84"/>
      <c r="U1411" s="84"/>
      <c r="V1411" s="84"/>
    </row>
    <row r="1412" spans="5:22" x14ac:dyDescent="0.2">
      <c r="E1412" s="84"/>
      <c r="F1412" s="84"/>
      <c r="G1412" s="84"/>
      <c r="H1412" s="84"/>
      <c r="I1412" s="84"/>
      <c r="J1412" s="84"/>
      <c r="K1412" s="84"/>
      <c r="L1412" s="84"/>
      <c r="M1412" s="84"/>
      <c r="N1412" s="84"/>
      <c r="O1412" s="84"/>
      <c r="P1412" s="84"/>
      <c r="Q1412" s="84"/>
      <c r="R1412" s="84"/>
      <c r="S1412" s="84"/>
      <c r="T1412" s="84"/>
      <c r="U1412" s="84"/>
      <c r="V1412" s="84"/>
    </row>
    <row r="1413" spans="5:22" x14ac:dyDescent="0.2"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  <c r="R1413" s="84"/>
      <c r="S1413" s="84"/>
      <c r="T1413" s="84"/>
      <c r="U1413" s="84"/>
      <c r="V1413" s="84"/>
    </row>
    <row r="1414" spans="5:22" x14ac:dyDescent="0.2"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  <c r="R1414" s="84"/>
      <c r="S1414" s="84"/>
      <c r="T1414" s="84"/>
      <c r="U1414" s="84"/>
      <c r="V1414" s="84"/>
    </row>
    <row r="1415" spans="5:22" x14ac:dyDescent="0.2"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  <c r="R1415" s="84"/>
      <c r="S1415" s="84"/>
      <c r="T1415" s="84"/>
      <c r="U1415" s="84"/>
      <c r="V1415" s="84"/>
    </row>
    <row r="1416" spans="5:22" x14ac:dyDescent="0.2"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  <c r="R1416" s="84"/>
      <c r="S1416" s="84"/>
      <c r="T1416" s="84"/>
      <c r="U1416" s="84"/>
      <c r="V1416" s="84"/>
    </row>
    <row r="1417" spans="5:22" x14ac:dyDescent="0.2"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  <c r="R1417" s="84"/>
      <c r="S1417" s="84"/>
      <c r="T1417" s="84"/>
      <c r="U1417" s="84"/>
      <c r="V1417" s="84"/>
    </row>
    <row r="1418" spans="5:22" x14ac:dyDescent="0.2"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  <c r="R1418" s="84"/>
      <c r="S1418" s="84"/>
      <c r="T1418" s="84"/>
      <c r="U1418" s="84"/>
      <c r="V1418" s="84"/>
    </row>
    <row r="1419" spans="5:22" x14ac:dyDescent="0.2"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  <c r="S1419" s="84"/>
      <c r="T1419" s="84"/>
      <c r="U1419" s="84"/>
      <c r="V1419" s="84"/>
    </row>
    <row r="1420" spans="5:22" x14ac:dyDescent="0.2"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  <c r="S1420" s="84"/>
      <c r="T1420" s="84"/>
      <c r="U1420" s="84"/>
      <c r="V1420" s="84"/>
    </row>
    <row r="1421" spans="5:22" x14ac:dyDescent="0.2"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  <c r="S1421" s="84"/>
      <c r="T1421" s="84"/>
      <c r="U1421" s="84"/>
      <c r="V1421" s="84"/>
    </row>
    <row r="1422" spans="5:22" x14ac:dyDescent="0.2"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  <c r="S1422" s="84"/>
      <c r="T1422" s="84"/>
      <c r="U1422" s="84"/>
      <c r="V1422" s="84"/>
    </row>
    <row r="1423" spans="5:22" x14ac:dyDescent="0.2"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  <c r="S1423" s="84"/>
      <c r="T1423" s="84"/>
      <c r="U1423" s="84"/>
      <c r="V1423" s="84"/>
    </row>
    <row r="1424" spans="5:22" x14ac:dyDescent="0.2"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  <c r="S1424" s="84"/>
      <c r="T1424" s="84"/>
      <c r="U1424" s="84"/>
      <c r="V1424" s="84"/>
    </row>
    <row r="1425" spans="5:22" x14ac:dyDescent="0.2"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  <c r="S1425" s="84"/>
      <c r="T1425" s="84"/>
      <c r="U1425" s="84"/>
      <c r="V1425" s="84"/>
    </row>
    <row r="1426" spans="5:22" x14ac:dyDescent="0.2"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  <c r="S1426" s="84"/>
      <c r="T1426" s="84"/>
      <c r="U1426" s="84"/>
      <c r="V1426" s="84"/>
    </row>
    <row r="1427" spans="5:22" x14ac:dyDescent="0.2"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  <c r="S1427" s="84"/>
      <c r="T1427" s="84"/>
      <c r="U1427" s="84"/>
      <c r="V1427" s="84"/>
    </row>
    <row r="1428" spans="5:22" x14ac:dyDescent="0.2"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  <c r="S1428" s="84"/>
      <c r="T1428" s="84"/>
      <c r="U1428" s="84"/>
      <c r="V1428" s="84"/>
    </row>
    <row r="1429" spans="5:22" x14ac:dyDescent="0.2"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  <c r="S1429" s="84"/>
      <c r="T1429" s="84"/>
      <c r="U1429" s="84"/>
      <c r="V1429" s="84"/>
    </row>
    <row r="1430" spans="5:22" x14ac:dyDescent="0.2"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  <c r="S1430" s="84"/>
      <c r="T1430" s="84"/>
      <c r="U1430" s="84"/>
      <c r="V1430" s="84"/>
    </row>
    <row r="1431" spans="5:22" x14ac:dyDescent="0.2"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  <c r="S1431" s="84"/>
      <c r="T1431" s="84"/>
      <c r="U1431" s="84"/>
      <c r="V1431" s="84"/>
    </row>
    <row r="1432" spans="5:22" x14ac:dyDescent="0.2"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  <c r="S1432" s="84"/>
      <c r="T1432" s="84"/>
      <c r="U1432" s="84"/>
      <c r="V1432" s="84"/>
    </row>
    <row r="1433" spans="5:22" x14ac:dyDescent="0.2"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  <c r="S1433" s="84"/>
      <c r="T1433" s="84"/>
      <c r="U1433" s="84"/>
      <c r="V1433" s="84"/>
    </row>
    <row r="1434" spans="5:22" x14ac:dyDescent="0.2"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  <c r="S1434" s="84"/>
      <c r="T1434" s="84"/>
      <c r="U1434" s="84"/>
      <c r="V1434" s="84"/>
    </row>
    <row r="1435" spans="5:22" x14ac:dyDescent="0.2"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  <c r="S1435" s="84"/>
      <c r="T1435" s="84"/>
      <c r="U1435" s="84"/>
      <c r="V1435" s="84"/>
    </row>
    <row r="1436" spans="5:22" x14ac:dyDescent="0.2"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  <c r="S1436" s="84"/>
      <c r="T1436" s="84"/>
      <c r="U1436" s="84"/>
      <c r="V1436" s="84"/>
    </row>
    <row r="1437" spans="5:22" x14ac:dyDescent="0.2"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  <c r="S1437" s="84"/>
      <c r="T1437" s="84"/>
      <c r="U1437" s="84"/>
      <c r="V1437" s="84"/>
    </row>
    <row r="1438" spans="5:22" x14ac:dyDescent="0.2"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  <c r="S1438" s="84"/>
      <c r="T1438" s="84"/>
      <c r="U1438" s="84"/>
      <c r="V1438" s="84"/>
    </row>
    <row r="1439" spans="5:22" x14ac:dyDescent="0.2"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  <c r="S1439" s="84"/>
      <c r="T1439" s="84"/>
      <c r="U1439" s="84"/>
      <c r="V1439" s="84"/>
    </row>
    <row r="1440" spans="5:22" x14ac:dyDescent="0.2"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  <c r="S1440" s="84"/>
      <c r="T1440" s="84"/>
      <c r="U1440" s="84"/>
      <c r="V1440" s="84"/>
    </row>
    <row r="1441" spans="5:22" x14ac:dyDescent="0.2"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  <c r="S1441" s="84"/>
      <c r="T1441" s="84"/>
      <c r="U1441" s="84"/>
      <c r="V1441" s="84"/>
    </row>
    <row r="1442" spans="5:22" x14ac:dyDescent="0.2"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  <c r="S1442" s="84"/>
      <c r="T1442" s="84"/>
      <c r="U1442" s="84"/>
      <c r="V1442" s="84"/>
    </row>
    <row r="1443" spans="5:22" x14ac:dyDescent="0.2"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  <c r="S1443" s="84"/>
      <c r="T1443" s="84"/>
      <c r="U1443" s="84"/>
      <c r="V1443" s="84"/>
    </row>
    <row r="1444" spans="5:22" x14ac:dyDescent="0.2"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  <c r="S1444" s="84"/>
      <c r="T1444" s="84"/>
      <c r="U1444" s="84"/>
      <c r="V1444" s="84"/>
    </row>
    <row r="1445" spans="5:22" x14ac:dyDescent="0.2"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  <c r="S1445" s="84"/>
      <c r="T1445" s="84"/>
      <c r="U1445" s="84"/>
      <c r="V1445" s="84"/>
    </row>
    <row r="1446" spans="5:22" x14ac:dyDescent="0.2"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  <c r="S1446" s="84"/>
      <c r="T1446" s="84"/>
      <c r="U1446" s="84"/>
      <c r="V1446" s="84"/>
    </row>
    <row r="1447" spans="5:22" x14ac:dyDescent="0.2"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  <c r="S1447" s="84"/>
      <c r="T1447" s="84"/>
      <c r="U1447" s="84"/>
      <c r="V1447" s="84"/>
    </row>
    <row r="1448" spans="5:22" x14ac:dyDescent="0.2"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  <c r="S1448" s="84"/>
      <c r="T1448" s="84"/>
      <c r="U1448" s="84"/>
      <c r="V1448" s="84"/>
    </row>
    <row r="1449" spans="5:22" x14ac:dyDescent="0.2"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  <c r="S1449" s="84"/>
      <c r="T1449" s="84"/>
      <c r="U1449" s="84"/>
      <c r="V1449" s="84"/>
    </row>
    <row r="1450" spans="5:22" x14ac:dyDescent="0.2"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  <c r="S1450" s="84"/>
      <c r="T1450" s="84"/>
      <c r="U1450" s="84"/>
      <c r="V1450" s="84"/>
    </row>
    <row r="1451" spans="5:22" x14ac:dyDescent="0.2"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  <c r="S1451" s="84"/>
      <c r="T1451" s="84"/>
      <c r="U1451" s="84"/>
      <c r="V1451" s="84"/>
    </row>
    <row r="1452" spans="5:22" x14ac:dyDescent="0.2"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  <c r="S1452" s="84"/>
      <c r="T1452" s="84"/>
      <c r="U1452" s="84"/>
      <c r="V1452" s="84"/>
    </row>
    <row r="1453" spans="5:22" x14ac:dyDescent="0.2"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  <c r="S1453" s="84"/>
      <c r="T1453" s="84"/>
      <c r="U1453" s="84"/>
      <c r="V1453" s="84"/>
    </row>
    <row r="1454" spans="5:22" x14ac:dyDescent="0.2"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  <c r="S1454" s="84"/>
      <c r="T1454" s="84"/>
      <c r="U1454" s="84"/>
      <c r="V1454" s="84"/>
    </row>
    <row r="1455" spans="5:22" x14ac:dyDescent="0.2"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  <c r="R1455" s="84"/>
      <c r="S1455" s="84"/>
      <c r="T1455" s="84"/>
      <c r="U1455" s="84"/>
      <c r="V1455" s="84"/>
    </row>
    <row r="1456" spans="5:22" x14ac:dyDescent="0.2"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  <c r="R1456" s="84"/>
      <c r="S1456" s="84"/>
      <c r="T1456" s="84"/>
      <c r="U1456" s="84"/>
      <c r="V1456" s="84"/>
    </row>
    <row r="1457" spans="5:22" x14ac:dyDescent="0.2"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  <c r="R1457" s="84"/>
      <c r="S1457" s="84"/>
      <c r="T1457" s="84"/>
      <c r="U1457" s="84"/>
      <c r="V1457" s="84"/>
    </row>
    <row r="1458" spans="5:22" x14ac:dyDescent="0.2">
      <c r="E1458" s="84"/>
      <c r="F1458" s="84"/>
      <c r="G1458" s="84"/>
      <c r="H1458" s="84"/>
      <c r="I1458" s="84"/>
      <c r="J1458" s="84"/>
      <c r="K1458" s="84"/>
      <c r="L1458" s="84"/>
      <c r="M1458" s="84"/>
      <c r="N1458" s="84"/>
      <c r="O1458" s="84"/>
      <c r="P1458" s="84"/>
      <c r="Q1458" s="84"/>
      <c r="R1458" s="84"/>
      <c r="S1458" s="84"/>
      <c r="T1458" s="84"/>
      <c r="U1458" s="84"/>
      <c r="V1458" s="84"/>
    </row>
    <row r="1459" spans="5:22" x14ac:dyDescent="0.2">
      <c r="E1459" s="84"/>
      <c r="F1459" s="84"/>
      <c r="G1459" s="84"/>
      <c r="H1459" s="84"/>
      <c r="I1459" s="84"/>
      <c r="J1459" s="84"/>
      <c r="K1459" s="84"/>
      <c r="L1459" s="84"/>
      <c r="M1459" s="84"/>
      <c r="N1459" s="84"/>
      <c r="O1459" s="84"/>
      <c r="P1459" s="84"/>
      <c r="Q1459" s="84"/>
      <c r="R1459" s="84"/>
      <c r="S1459" s="84"/>
      <c r="T1459" s="84"/>
      <c r="U1459" s="84"/>
      <c r="V1459" s="84"/>
    </row>
    <row r="1460" spans="5:22" x14ac:dyDescent="0.2">
      <c r="E1460" s="84"/>
      <c r="F1460" s="84"/>
      <c r="G1460" s="84"/>
      <c r="H1460" s="84"/>
      <c r="I1460" s="84"/>
      <c r="J1460" s="84"/>
      <c r="K1460" s="84"/>
      <c r="L1460" s="84"/>
      <c r="M1460" s="84"/>
      <c r="N1460" s="84"/>
      <c r="O1460" s="84"/>
      <c r="P1460" s="84"/>
      <c r="Q1460" s="84"/>
      <c r="R1460" s="84"/>
      <c r="S1460" s="84"/>
      <c r="T1460" s="84"/>
      <c r="U1460" s="84"/>
      <c r="V1460" s="84"/>
    </row>
    <row r="1461" spans="5:22" x14ac:dyDescent="0.2">
      <c r="E1461" s="84"/>
      <c r="F1461" s="84"/>
      <c r="G1461" s="84"/>
      <c r="H1461" s="84"/>
      <c r="I1461" s="84"/>
      <c r="J1461" s="84"/>
      <c r="K1461" s="84"/>
      <c r="L1461" s="84"/>
      <c r="M1461" s="84"/>
      <c r="N1461" s="84"/>
      <c r="O1461" s="84"/>
      <c r="P1461" s="84"/>
      <c r="Q1461" s="84"/>
      <c r="R1461" s="84"/>
      <c r="S1461" s="84"/>
      <c r="T1461" s="84"/>
      <c r="U1461" s="84"/>
      <c r="V1461" s="84"/>
    </row>
    <row r="1462" spans="5:22" x14ac:dyDescent="0.2">
      <c r="E1462" s="84"/>
      <c r="F1462" s="84"/>
      <c r="G1462" s="84"/>
      <c r="H1462" s="84"/>
      <c r="I1462" s="84"/>
      <c r="J1462" s="84"/>
      <c r="K1462" s="84"/>
      <c r="L1462" s="84"/>
      <c r="M1462" s="84"/>
      <c r="N1462" s="84"/>
      <c r="O1462" s="84"/>
      <c r="P1462" s="84"/>
      <c r="Q1462" s="84"/>
      <c r="R1462" s="84"/>
      <c r="S1462" s="84"/>
      <c r="T1462" s="84"/>
      <c r="U1462" s="84"/>
      <c r="V1462" s="84"/>
    </row>
    <row r="1463" spans="5:22" x14ac:dyDescent="0.2">
      <c r="E1463" s="84"/>
      <c r="F1463" s="84"/>
      <c r="G1463" s="84"/>
      <c r="H1463" s="84"/>
      <c r="I1463" s="84"/>
      <c r="J1463" s="84"/>
      <c r="K1463" s="84"/>
      <c r="L1463" s="84"/>
      <c r="M1463" s="84"/>
      <c r="N1463" s="84"/>
      <c r="O1463" s="84"/>
      <c r="P1463" s="84"/>
      <c r="Q1463" s="84"/>
      <c r="R1463" s="84"/>
      <c r="S1463" s="84"/>
      <c r="T1463" s="84"/>
      <c r="U1463" s="84"/>
      <c r="V1463" s="84"/>
    </row>
    <row r="1464" spans="5:22" x14ac:dyDescent="0.2">
      <c r="E1464" s="84"/>
      <c r="F1464" s="84"/>
      <c r="G1464" s="84"/>
      <c r="H1464" s="84"/>
      <c r="I1464" s="84"/>
      <c r="J1464" s="84"/>
      <c r="K1464" s="84"/>
      <c r="L1464" s="84"/>
      <c r="M1464" s="84"/>
      <c r="N1464" s="84"/>
      <c r="O1464" s="84"/>
      <c r="P1464" s="84"/>
      <c r="Q1464" s="84"/>
      <c r="R1464" s="84"/>
      <c r="S1464" s="84"/>
      <c r="T1464" s="84"/>
      <c r="U1464" s="84"/>
      <c r="V1464" s="84"/>
    </row>
    <row r="1465" spans="5:22" x14ac:dyDescent="0.2">
      <c r="E1465" s="84"/>
      <c r="F1465" s="84"/>
      <c r="G1465" s="84"/>
      <c r="H1465" s="84"/>
      <c r="I1465" s="84"/>
      <c r="J1465" s="84"/>
      <c r="K1465" s="84"/>
      <c r="L1465" s="84"/>
      <c r="M1465" s="84"/>
      <c r="N1465" s="84"/>
      <c r="O1465" s="84"/>
      <c r="P1465" s="84"/>
      <c r="Q1465" s="84"/>
      <c r="R1465" s="84"/>
      <c r="S1465" s="84"/>
      <c r="T1465" s="84"/>
      <c r="U1465" s="84"/>
      <c r="V1465" s="84"/>
    </row>
    <row r="1466" spans="5:22" x14ac:dyDescent="0.2">
      <c r="E1466" s="84"/>
      <c r="F1466" s="84"/>
      <c r="G1466" s="84"/>
      <c r="H1466" s="84"/>
      <c r="I1466" s="84"/>
      <c r="J1466" s="84"/>
      <c r="K1466" s="84"/>
      <c r="L1466" s="84"/>
      <c r="M1466" s="84"/>
      <c r="N1466" s="84"/>
      <c r="O1466" s="84"/>
      <c r="P1466" s="84"/>
      <c r="Q1466" s="84"/>
      <c r="R1466" s="84"/>
      <c r="S1466" s="84"/>
      <c r="T1466" s="84"/>
      <c r="U1466" s="84"/>
      <c r="V1466" s="84"/>
    </row>
    <row r="1467" spans="5:22" x14ac:dyDescent="0.2"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  <c r="S1467" s="84"/>
      <c r="T1467" s="84"/>
      <c r="U1467" s="84"/>
      <c r="V1467" s="84"/>
    </row>
    <row r="1468" spans="5:22" x14ac:dyDescent="0.2"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  <c r="S1468" s="84"/>
      <c r="T1468" s="84"/>
      <c r="U1468" s="84"/>
      <c r="V1468" s="84"/>
    </row>
    <row r="1469" spans="5:22" x14ac:dyDescent="0.2"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  <c r="S1469" s="84"/>
      <c r="T1469" s="84"/>
      <c r="U1469" s="84"/>
      <c r="V1469" s="84"/>
    </row>
    <row r="1470" spans="5:22" x14ac:dyDescent="0.2"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  <c r="S1470" s="84"/>
      <c r="T1470" s="84"/>
      <c r="U1470" s="84"/>
      <c r="V1470" s="84"/>
    </row>
    <row r="1471" spans="5:22" x14ac:dyDescent="0.2"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  <c r="S1471" s="84"/>
      <c r="T1471" s="84"/>
      <c r="U1471" s="84"/>
      <c r="V1471" s="84"/>
    </row>
    <row r="1472" spans="5:22" x14ac:dyDescent="0.2"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  <c r="S1472" s="84"/>
      <c r="T1472" s="84"/>
      <c r="U1472" s="84"/>
      <c r="V1472" s="84"/>
    </row>
    <row r="1473" spans="5:22" x14ac:dyDescent="0.2"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  <c r="S1473" s="84"/>
      <c r="T1473" s="84"/>
      <c r="U1473" s="84"/>
      <c r="V1473" s="84"/>
    </row>
    <row r="1474" spans="5:22" x14ac:dyDescent="0.2"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  <c r="S1474" s="84"/>
      <c r="T1474" s="84"/>
      <c r="U1474" s="84"/>
      <c r="V1474" s="84"/>
    </row>
    <row r="1475" spans="5:22" x14ac:dyDescent="0.2"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  <c r="S1475" s="84"/>
      <c r="T1475" s="84"/>
      <c r="U1475" s="84"/>
      <c r="V1475" s="84"/>
    </row>
    <row r="1476" spans="5:22" x14ac:dyDescent="0.2"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  <c r="S1476" s="84"/>
      <c r="T1476" s="84"/>
      <c r="U1476" s="84"/>
      <c r="V1476" s="84"/>
    </row>
    <row r="1477" spans="5:22" x14ac:dyDescent="0.2"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  <c r="S1477" s="84"/>
      <c r="T1477" s="84"/>
      <c r="U1477" s="84"/>
      <c r="V1477" s="84"/>
    </row>
    <row r="1478" spans="5:22" x14ac:dyDescent="0.2"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  <c r="S1478" s="84"/>
      <c r="T1478" s="84"/>
      <c r="U1478" s="84"/>
      <c r="V1478" s="84"/>
    </row>
    <row r="1479" spans="5:22" x14ac:dyDescent="0.2"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  <c r="S1479" s="84"/>
      <c r="T1479" s="84"/>
      <c r="U1479" s="84"/>
      <c r="V1479" s="84"/>
    </row>
    <row r="1480" spans="5:22" x14ac:dyDescent="0.2"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  <c r="S1480" s="84"/>
      <c r="T1480" s="84"/>
      <c r="U1480" s="84"/>
      <c r="V1480" s="84"/>
    </row>
    <row r="1481" spans="5:22" x14ac:dyDescent="0.2"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  <c r="S1481" s="84"/>
      <c r="T1481" s="84"/>
      <c r="U1481" s="84"/>
      <c r="V1481" s="84"/>
    </row>
    <row r="1482" spans="5:22" x14ac:dyDescent="0.2"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  <c r="S1482" s="84"/>
      <c r="T1482" s="84"/>
      <c r="U1482" s="84"/>
      <c r="V1482" s="84"/>
    </row>
    <row r="1483" spans="5:22" x14ac:dyDescent="0.2"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  <c r="S1483" s="84"/>
      <c r="T1483" s="84"/>
      <c r="U1483" s="84"/>
      <c r="V1483" s="84"/>
    </row>
    <row r="1484" spans="5:22" x14ac:dyDescent="0.2"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  <c r="S1484" s="84"/>
      <c r="T1484" s="84"/>
      <c r="U1484" s="84"/>
      <c r="V1484" s="84"/>
    </row>
    <row r="1485" spans="5:22" x14ac:dyDescent="0.2"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  <c r="S1485" s="84"/>
      <c r="T1485" s="84"/>
      <c r="U1485" s="84"/>
      <c r="V1485" s="84"/>
    </row>
    <row r="1486" spans="5:22" x14ac:dyDescent="0.2"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  <c r="S1486" s="84"/>
      <c r="T1486" s="84"/>
      <c r="U1486" s="84"/>
      <c r="V1486" s="84"/>
    </row>
    <row r="1487" spans="5:22" x14ac:dyDescent="0.2"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  <c r="S1487" s="84"/>
      <c r="T1487" s="84"/>
      <c r="U1487" s="84"/>
      <c r="V1487" s="84"/>
    </row>
    <row r="1488" spans="5:22" x14ac:dyDescent="0.2"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  <c r="S1488" s="84"/>
      <c r="T1488" s="84"/>
      <c r="U1488" s="84"/>
      <c r="V1488" s="84"/>
    </row>
    <row r="1489" spans="5:22" x14ac:dyDescent="0.2"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  <c r="S1489" s="84"/>
      <c r="T1489" s="84"/>
      <c r="U1489" s="84"/>
      <c r="V1489" s="84"/>
    </row>
    <row r="1490" spans="5:22" x14ac:dyDescent="0.2"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  <c r="S1490" s="84"/>
      <c r="T1490" s="84"/>
      <c r="U1490" s="84"/>
      <c r="V1490" s="84"/>
    </row>
    <row r="1491" spans="5:22" x14ac:dyDescent="0.2"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  <c r="S1491" s="84"/>
      <c r="T1491" s="84"/>
      <c r="U1491" s="84"/>
      <c r="V1491" s="84"/>
    </row>
    <row r="1492" spans="5:22" x14ac:dyDescent="0.2"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  <c r="S1492" s="84"/>
      <c r="T1492" s="84"/>
      <c r="U1492" s="84"/>
      <c r="V1492" s="84"/>
    </row>
    <row r="1493" spans="5:22" x14ac:dyDescent="0.2"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  <c r="S1493" s="84"/>
      <c r="T1493" s="84"/>
      <c r="U1493" s="84"/>
      <c r="V1493" s="84"/>
    </row>
    <row r="1494" spans="5:22" x14ac:dyDescent="0.2"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  <c r="S1494" s="84"/>
      <c r="T1494" s="84"/>
      <c r="U1494" s="84"/>
      <c r="V1494" s="84"/>
    </row>
    <row r="1495" spans="5:22" x14ac:dyDescent="0.2"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  <c r="S1495" s="84"/>
      <c r="T1495" s="84"/>
      <c r="U1495" s="84"/>
      <c r="V1495" s="84"/>
    </row>
    <row r="1496" spans="5:22" x14ac:dyDescent="0.2"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  <c r="S1496" s="84"/>
      <c r="T1496" s="84"/>
      <c r="U1496" s="84"/>
      <c r="V1496" s="84"/>
    </row>
    <row r="1497" spans="5:22" x14ac:dyDescent="0.2"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  <c r="S1497" s="84"/>
      <c r="T1497" s="84"/>
      <c r="U1497" s="84"/>
      <c r="V1497" s="84"/>
    </row>
    <row r="1498" spans="5:22" x14ac:dyDescent="0.2"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  <c r="S1498" s="84"/>
      <c r="T1498" s="84"/>
      <c r="U1498" s="84"/>
      <c r="V1498" s="84"/>
    </row>
    <row r="1499" spans="5:22" x14ac:dyDescent="0.2"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  <c r="S1499" s="84"/>
      <c r="T1499" s="84"/>
      <c r="U1499" s="84"/>
      <c r="V1499" s="84"/>
    </row>
    <row r="1500" spans="5:22" x14ac:dyDescent="0.2"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  <c r="S1500" s="84"/>
      <c r="T1500" s="84"/>
      <c r="U1500" s="84"/>
      <c r="V1500" s="84"/>
    </row>
    <row r="1501" spans="5:22" x14ac:dyDescent="0.2"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  <c r="S1501" s="84"/>
      <c r="T1501" s="84"/>
      <c r="U1501" s="84"/>
      <c r="V1501" s="84"/>
    </row>
    <row r="1502" spans="5:22" x14ac:dyDescent="0.2"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  <c r="S1502" s="84"/>
      <c r="T1502" s="84"/>
      <c r="U1502" s="84"/>
      <c r="V1502" s="84"/>
    </row>
    <row r="1503" spans="5:22" x14ac:dyDescent="0.2"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  <c r="R1503" s="84"/>
      <c r="S1503" s="84"/>
      <c r="T1503" s="84"/>
      <c r="U1503" s="84"/>
      <c r="V1503" s="84"/>
    </row>
    <row r="1504" spans="5:22" x14ac:dyDescent="0.2"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  <c r="R1504" s="84"/>
      <c r="S1504" s="84"/>
      <c r="T1504" s="84"/>
      <c r="U1504" s="84"/>
      <c r="V1504" s="84"/>
    </row>
    <row r="1505" spans="5:22" x14ac:dyDescent="0.2"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  <c r="R1505" s="84"/>
      <c r="S1505" s="84"/>
      <c r="T1505" s="84"/>
      <c r="U1505" s="84"/>
      <c r="V1505" s="84"/>
    </row>
    <row r="1506" spans="5:22" x14ac:dyDescent="0.2"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  <c r="R1506" s="84"/>
      <c r="S1506" s="84"/>
      <c r="T1506" s="84"/>
      <c r="U1506" s="84"/>
      <c r="V1506" s="84"/>
    </row>
    <row r="1507" spans="5:22" x14ac:dyDescent="0.2"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  <c r="R1507" s="84"/>
      <c r="S1507" s="84"/>
      <c r="T1507" s="84"/>
      <c r="U1507" s="84"/>
      <c r="V1507" s="84"/>
    </row>
    <row r="1508" spans="5:22" x14ac:dyDescent="0.2"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  <c r="R1508" s="84"/>
      <c r="S1508" s="84"/>
      <c r="T1508" s="84"/>
      <c r="U1508" s="84"/>
      <c r="V1508" s="84"/>
    </row>
    <row r="1509" spans="5:22" x14ac:dyDescent="0.2"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  <c r="R1509" s="84"/>
      <c r="S1509" s="84"/>
      <c r="T1509" s="84"/>
      <c r="U1509" s="84"/>
      <c r="V1509" s="84"/>
    </row>
    <row r="1510" spans="5:22" x14ac:dyDescent="0.2"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  <c r="R1510" s="84"/>
      <c r="S1510" s="84"/>
      <c r="T1510" s="84"/>
      <c r="U1510" s="84"/>
      <c r="V1510" s="84"/>
    </row>
    <row r="1511" spans="5:22" x14ac:dyDescent="0.2"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  <c r="R1511" s="84"/>
      <c r="S1511" s="84"/>
      <c r="T1511" s="84"/>
      <c r="U1511" s="84"/>
      <c r="V1511" s="84"/>
    </row>
    <row r="1512" spans="5:22" x14ac:dyDescent="0.2"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  <c r="R1512" s="84"/>
      <c r="S1512" s="84"/>
      <c r="T1512" s="84"/>
      <c r="U1512" s="84"/>
      <c r="V1512" s="84"/>
    </row>
    <row r="1513" spans="5:22" x14ac:dyDescent="0.2"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  <c r="R1513" s="84"/>
      <c r="S1513" s="84"/>
      <c r="T1513" s="84"/>
      <c r="U1513" s="84"/>
      <c r="V1513" s="84"/>
    </row>
    <row r="1514" spans="5:22" x14ac:dyDescent="0.2"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  <c r="R1514" s="84"/>
      <c r="S1514" s="84"/>
      <c r="T1514" s="84"/>
      <c r="U1514" s="84"/>
      <c r="V1514" s="84"/>
    </row>
    <row r="1515" spans="5:22" x14ac:dyDescent="0.2"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  <c r="S1515" s="84"/>
      <c r="T1515" s="84"/>
      <c r="U1515" s="84"/>
      <c r="V1515" s="84"/>
    </row>
    <row r="1516" spans="5:22" x14ac:dyDescent="0.2"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  <c r="S1516" s="84"/>
      <c r="T1516" s="84"/>
      <c r="U1516" s="84"/>
      <c r="V1516" s="84"/>
    </row>
    <row r="1517" spans="5:22" x14ac:dyDescent="0.2"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  <c r="S1517" s="84"/>
      <c r="T1517" s="84"/>
      <c r="U1517" s="84"/>
      <c r="V1517" s="84"/>
    </row>
    <row r="1518" spans="5:22" x14ac:dyDescent="0.2"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  <c r="S1518" s="84"/>
      <c r="T1518" s="84"/>
      <c r="U1518" s="84"/>
      <c r="V1518" s="84"/>
    </row>
    <row r="1519" spans="5:22" x14ac:dyDescent="0.2"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  <c r="S1519" s="84"/>
      <c r="T1519" s="84"/>
      <c r="U1519" s="84"/>
      <c r="V1519" s="84"/>
    </row>
    <row r="1520" spans="5:22" x14ac:dyDescent="0.2"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  <c r="S1520" s="84"/>
      <c r="T1520" s="84"/>
      <c r="U1520" s="84"/>
      <c r="V1520" s="84"/>
    </row>
    <row r="1521" spans="5:22" x14ac:dyDescent="0.2"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  <c r="S1521" s="84"/>
      <c r="T1521" s="84"/>
      <c r="U1521" s="84"/>
      <c r="V1521" s="84"/>
    </row>
    <row r="1522" spans="5:22" x14ac:dyDescent="0.2"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  <c r="S1522" s="84"/>
      <c r="T1522" s="84"/>
      <c r="U1522" s="84"/>
      <c r="V1522" s="84"/>
    </row>
    <row r="1523" spans="5:22" x14ac:dyDescent="0.2"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  <c r="S1523" s="84"/>
      <c r="T1523" s="84"/>
      <c r="U1523" s="84"/>
      <c r="V1523" s="84"/>
    </row>
    <row r="1524" spans="5:22" x14ac:dyDescent="0.2"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  <c r="S1524" s="84"/>
      <c r="T1524" s="84"/>
      <c r="U1524" s="84"/>
      <c r="V1524" s="84"/>
    </row>
    <row r="1525" spans="5:22" x14ac:dyDescent="0.2"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  <c r="S1525" s="84"/>
      <c r="T1525" s="84"/>
      <c r="U1525" s="84"/>
      <c r="V1525" s="84"/>
    </row>
    <row r="1526" spans="5:22" x14ac:dyDescent="0.2"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  <c r="S1526" s="84"/>
      <c r="T1526" s="84"/>
      <c r="U1526" s="84"/>
      <c r="V1526" s="84"/>
    </row>
    <row r="1527" spans="5:22" x14ac:dyDescent="0.2"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  <c r="S1527" s="84"/>
      <c r="T1527" s="84"/>
      <c r="U1527" s="84"/>
      <c r="V1527" s="84"/>
    </row>
    <row r="1528" spans="5:22" x14ac:dyDescent="0.2"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  <c r="S1528" s="84"/>
      <c r="T1528" s="84"/>
      <c r="U1528" s="84"/>
      <c r="V1528" s="84"/>
    </row>
    <row r="1529" spans="5:22" x14ac:dyDescent="0.2"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  <c r="S1529" s="84"/>
      <c r="T1529" s="84"/>
      <c r="U1529" s="84"/>
      <c r="V1529" s="84"/>
    </row>
    <row r="1530" spans="5:22" x14ac:dyDescent="0.2"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  <c r="S1530" s="84"/>
      <c r="T1530" s="84"/>
      <c r="U1530" s="84"/>
      <c r="V1530" s="84"/>
    </row>
    <row r="1531" spans="5:22" x14ac:dyDescent="0.2"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  <c r="S1531" s="84"/>
      <c r="T1531" s="84"/>
      <c r="U1531" s="84"/>
      <c r="V1531" s="84"/>
    </row>
    <row r="1532" spans="5:22" x14ac:dyDescent="0.2"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  <c r="S1532" s="84"/>
      <c r="T1532" s="84"/>
      <c r="U1532" s="84"/>
      <c r="V1532" s="84"/>
    </row>
    <row r="1533" spans="5:22" x14ac:dyDescent="0.2"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  <c r="S1533" s="84"/>
      <c r="T1533" s="84"/>
      <c r="U1533" s="84"/>
      <c r="V1533" s="84"/>
    </row>
    <row r="1534" spans="5:22" x14ac:dyDescent="0.2"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  <c r="S1534" s="84"/>
      <c r="T1534" s="84"/>
      <c r="U1534" s="84"/>
      <c r="V1534" s="84"/>
    </row>
    <row r="1535" spans="5:22" x14ac:dyDescent="0.2"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  <c r="S1535" s="84"/>
      <c r="T1535" s="84"/>
      <c r="U1535" s="84"/>
      <c r="V1535" s="84"/>
    </row>
    <row r="1536" spans="5:22" x14ac:dyDescent="0.2"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  <c r="S1536" s="84"/>
      <c r="T1536" s="84"/>
      <c r="U1536" s="84"/>
      <c r="V1536" s="84"/>
    </row>
    <row r="1537" spans="5:22" x14ac:dyDescent="0.2"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  <c r="S1537" s="84"/>
      <c r="T1537" s="84"/>
      <c r="U1537" s="84"/>
      <c r="V1537" s="84"/>
    </row>
    <row r="1538" spans="5:22" x14ac:dyDescent="0.2"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  <c r="S1538" s="84"/>
      <c r="T1538" s="84"/>
      <c r="U1538" s="84"/>
      <c r="V1538" s="84"/>
    </row>
    <row r="1539" spans="5:22" x14ac:dyDescent="0.2"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  <c r="S1539" s="84"/>
      <c r="T1539" s="84"/>
      <c r="U1539" s="84"/>
      <c r="V1539" s="84"/>
    </row>
    <row r="1540" spans="5:22" x14ac:dyDescent="0.2"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  <c r="S1540" s="84"/>
      <c r="T1540" s="84"/>
      <c r="U1540" s="84"/>
      <c r="V1540" s="84"/>
    </row>
    <row r="1541" spans="5:22" x14ac:dyDescent="0.2"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  <c r="S1541" s="84"/>
      <c r="T1541" s="84"/>
      <c r="U1541" s="84"/>
      <c r="V1541" s="84"/>
    </row>
    <row r="1542" spans="5:22" x14ac:dyDescent="0.2"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  <c r="S1542" s="84"/>
      <c r="T1542" s="84"/>
      <c r="U1542" s="84"/>
      <c r="V1542" s="84"/>
    </row>
    <row r="1543" spans="5:22" x14ac:dyDescent="0.2"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  <c r="S1543" s="84"/>
      <c r="T1543" s="84"/>
      <c r="U1543" s="84"/>
      <c r="V1543" s="84"/>
    </row>
    <row r="1544" spans="5:22" x14ac:dyDescent="0.2"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  <c r="S1544" s="84"/>
      <c r="T1544" s="84"/>
      <c r="U1544" s="84"/>
      <c r="V1544" s="84"/>
    </row>
    <row r="1545" spans="5:22" x14ac:dyDescent="0.2"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  <c r="S1545" s="84"/>
      <c r="T1545" s="84"/>
      <c r="U1545" s="84"/>
      <c r="V1545" s="84"/>
    </row>
    <row r="1546" spans="5:22" x14ac:dyDescent="0.2"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  <c r="S1546" s="84"/>
      <c r="T1546" s="84"/>
      <c r="U1546" s="84"/>
      <c r="V1546" s="84"/>
    </row>
    <row r="1547" spans="5:22" x14ac:dyDescent="0.2"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  <c r="S1547" s="84"/>
      <c r="T1547" s="84"/>
      <c r="U1547" s="84"/>
      <c r="V1547" s="84"/>
    </row>
    <row r="1548" spans="5:22" x14ac:dyDescent="0.2"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  <c r="S1548" s="84"/>
      <c r="T1548" s="84"/>
      <c r="U1548" s="84"/>
      <c r="V1548" s="84"/>
    </row>
    <row r="1549" spans="5:22" x14ac:dyDescent="0.2"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  <c r="S1549" s="84"/>
      <c r="T1549" s="84"/>
      <c r="U1549" s="84"/>
      <c r="V1549" s="84"/>
    </row>
    <row r="1550" spans="5:22" x14ac:dyDescent="0.2"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  <c r="S1550" s="84"/>
      <c r="T1550" s="84"/>
      <c r="U1550" s="84"/>
      <c r="V1550" s="84"/>
    </row>
    <row r="1551" spans="5:22" x14ac:dyDescent="0.2">
      <c r="E1551" s="84"/>
      <c r="F1551" s="84"/>
      <c r="G1551" s="84"/>
      <c r="H1551" s="84"/>
      <c r="I1551" s="84"/>
      <c r="J1551" s="84"/>
      <c r="K1551" s="84"/>
      <c r="L1551" s="84"/>
      <c r="M1551" s="84"/>
      <c r="N1551" s="84"/>
      <c r="O1551" s="84"/>
      <c r="P1551" s="84"/>
      <c r="Q1551" s="84"/>
      <c r="R1551" s="84"/>
      <c r="S1551" s="84"/>
      <c r="T1551" s="84"/>
      <c r="U1551" s="84"/>
      <c r="V1551" s="84"/>
    </row>
    <row r="1552" spans="5:22" x14ac:dyDescent="0.2">
      <c r="E1552" s="84"/>
      <c r="F1552" s="84"/>
      <c r="G1552" s="84"/>
      <c r="H1552" s="84"/>
      <c r="I1552" s="84"/>
      <c r="J1552" s="84"/>
      <c r="K1552" s="84"/>
      <c r="L1552" s="84"/>
      <c r="M1552" s="84"/>
      <c r="N1552" s="84"/>
      <c r="O1552" s="84"/>
      <c r="P1552" s="84"/>
      <c r="Q1552" s="84"/>
      <c r="R1552" s="84"/>
      <c r="S1552" s="84"/>
      <c r="T1552" s="84"/>
      <c r="U1552" s="84"/>
      <c r="V1552" s="84"/>
    </row>
    <row r="1553" spans="5:22" x14ac:dyDescent="0.2">
      <c r="E1553" s="84"/>
      <c r="F1553" s="84"/>
      <c r="G1553" s="84"/>
      <c r="H1553" s="84"/>
      <c r="I1553" s="84"/>
      <c r="J1553" s="84"/>
      <c r="K1553" s="84"/>
      <c r="L1553" s="84"/>
      <c r="M1553" s="84"/>
      <c r="N1553" s="84"/>
      <c r="O1553" s="84"/>
      <c r="P1553" s="84"/>
      <c r="Q1553" s="84"/>
      <c r="R1553" s="84"/>
      <c r="S1553" s="84"/>
      <c r="T1553" s="84"/>
      <c r="U1553" s="84"/>
      <c r="V1553" s="84"/>
    </row>
    <row r="1554" spans="5:22" x14ac:dyDescent="0.2">
      <c r="E1554" s="84"/>
      <c r="F1554" s="84"/>
      <c r="G1554" s="84"/>
      <c r="H1554" s="84"/>
      <c r="I1554" s="84"/>
      <c r="J1554" s="84"/>
      <c r="K1554" s="84"/>
      <c r="L1554" s="84"/>
      <c r="M1554" s="84"/>
      <c r="N1554" s="84"/>
      <c r="O1554" s="84"/>
      <c r="P1554" s="84"/>
      <c r="Q1554" s="84"/>
      <c r="R1554" s="84"/>
      <c r="S1554" s="84"/>
      <c r="T1554" s="84"/>
      <c r="U1554" s="84"/>
      <c r="V1554" s="84"/>
    </row>
    <row r="1555" spans="5:22" x14ac:dyDescent="0.2">
      <c r="E1555" s="84"/>
      <c r="F1555" s="84"/>
      <c r="G1555" s="84"/>
      <c r="H1555" s="84"/>
      <c r="I1555" s="84"/>
      <c r="J1555" s="84"/>
      <c r="K1555" s="84"/>
      <c r="L1555" s="84"/>
      <c r="M1555" s="84"/>
      <c r="N1555" s="84"/>
      <c r="O1555" s="84"/>
      <c r="P1555" s="84"/>
      <c r="Q1555" s="84"/>
      <c r="R1555" s="84"/>
      <c r="S1555" s="84"/>
      <c r="T1555" s="84"/>
      <c r="U1555" s="84"/>
      <c r="V1555" s="84"/>
    </row>
    <row r="1556" spans="5:22" x14ac:dyDescent="0.2">
      <c r="E1556" s="84"/>
      <c r="F1556" s="84"/>
      <c r="G1556" s="84"/>
      <c r="H1556" s="84"/>
      <c r="I1556" s="84"/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</row>
    <row r="1557" spans="5:22" x14ac:dyDescent="0.2">
      <c r="E1557" s="84"/>
      <c r="F1557" s="84"/>
      <c r="G1557" s="84"/>
      <c r="H1557" s="84"/>
      <c r="I1557" s="84"/>
      <c r="J1557" s="84"/>
      <c r="K1557" s="84"/>
      <c r="L1557" s="84"/>
      <c r="M1557" s="84"/>
      <c r="N1557" s="84"/>
      <c r="O1557" s="84"/>
      <c r="P1557" s="84"/>
      <c r="Q1557" s="84"/>
      <c r="R1557" s="84"/>
      <c r="S1557" s="84"/>
      <c r="T1557" s="84"/>
      <c r="U1557" s="84"/>
      <c r="V1557" s="84"/>
    </row>
    <row r="1558" spans="5:22" x14ac:dyDescent="0.2">
      <c r="E1558" s="84"/>
      <c r="F1558" s="84"/>
      <c r="G1558" s="84"/>
      <c r="H1558" s="84"/>
      <c r="I1558" s="84"/>
      <c r="J1558" s="84"/>
      <c r="K1558" s="84"/>
      <c r="L1558" s="84"/>
      <c r="M1558" s="84"/>
      <c r="N1558" s="84"/>
      <c r="O1558" s="84"/>
      <c r="P1558" s="84"/>
      <c r="Q1558" s="84"/>
      <c r="R1558" s="84"/>
      <c r="S1558" s="84"/>
      <c r="T1558" s="84"/>
      <c r="U1558" s="84"/>
      <c r="V1558" s="84"/>
    </row>
    <row r="1559" spans="5:22" x14ac:dyDescent="0.2">
      <c r="E1559" s="84"/>
      <c r="F1559" s="84"/>
      <c r="G1559" s="84"/>
      <c r="H1559" s="84"/>
      <c r="I1559" s="84"/>
      <c r="J1559" s="84"/>
      <c r="K1559" s="84"/>
      <c r="L1559" s="84"/>
      <c r="M1559" s="84"/>
      <c r="N1559" s="84"/>
      <c r="O1559" s="84"/>
      <c r="P1559" s="84"/>
      <c r="Q1559" s="84"/>
      <c r="R1559" s="84"/>
      <c r="S1559" s="84"/>
      <c r="T1559" s="84"/>
      <c r="U1559" s="84"/>
      <c r="V1559" s="84"/>
    </row>
    <row r="1560" spans="5:22" x14ac:dyDescent="0.2">
      <c r="E1560" s="84"/>
      <c r="F1560" s="84"/>
      <c r="G1560" s="84"/>
      <c r="H1560" s="84"/>
      <c r="I1560" s="84"/>
      <c r="J1560" s="84"/>
      <c r="K1560" s="84"/>
      <c r="L1560" s="84"/>
      <c r="M1560" s="84"/>
      <c r="N1560" s="84"/>
      <c r="O1560" s="84"/>
      <c r="P1560" s="84"/>
      <c r="Q1560" s="84"/>
      <c r="R1560" s="84"/>
      <c r="S1560" s="84"/>
      <c r="T1560" s="84"/>
      <c r="U1560" s="84"/>
      <c r="V1560" s="84"/>
    </row>
    <row r="1561" spans="5:22" x14ac:dyDescent="0.2">
      <c r="E1561" s="84"/>
      <c r="F1561" s="84"/>
      <c r="G1561" s="84"/>
      <c r="H1561" s="84"/>
      <c r="I1561" s="84"/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</row>
    <row r="1562" spans="5:22" x14ac:dyDescent="0.2">
      <c r="E1562" s="84"/>
      <c r="F1562" s="84"/>
      <c r="G1562" s="84"/>
      <c r="H1562" s="84"/>
      <c r="I1562" s="84"/>
      <c r="J1562" s="84"/>
      <c r="K1562" s="84"/>
      <c r="L1562" s="84"/>
      <c r="M1562" s="84"/>
      <c r="N1562" s="84"/>
      <c r="O1562" s="84"/>
      <c r="P1562" s="84"/>
      <c r="Q1562" s="84"/>
      <c r="R1562" s="84"/>
      <c r="S1562" s="84"/>
      <c r="T1562" s="84"/>
      <c r="U1562" s="84"/>
      <c r="V1562" s="84"/>
    </row>
    <row r="1563" spans="5:22" x14ac:dyDescent="0.2"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  <c r="S1563" s="84"/>
      <c r="T1563" s="84"/>
      <c r="U1563" s="84"/>
      <c r="V1563" s="84"/>
    </row>
    <row r="1564" spans="5:22" x14ac:dyDescent="0.2"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  <c r="S1564" s="84"/>
      <c r="T1564" s="84"/>
      <c r="U1564" s="84"/>
      <c r="V1564" s="84"/>
    </row>
    <row r="1565" spans="5:22" x14ac:dyDescent="0.2"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  <c r="S1565" s="84"/>
      <c r="T1565" s="84"/>
      <c r="U1565" s="84"/>
      <c r="V1565" s="84"/>
    </row>
    <row r="1566" spans="5:22" x14ac:dyDescent="0.2"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  <c r="S1566" s="84"/>
      <c r="T1566" s="84"/>
      <c r="U1566" s="84"/>
      <c r="V1566" s="84"/>
    </row>
    <row r="1567" spans="5:22" x14ac:dyDescent="0.2"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  <c r="S1567" s="84"/>
      <c r="T1567" s="84"/>
      <c r="U1567" s="84"/>
      <c r="V1567" s="84"/>
    </row>
    <row r="1568" spans="5:22" x14ac:dyDescent="0.2"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  <c r="S1568" s="84"/>
      <c r="T1568" s="84"/>
      <c r="U1568" s="84"/>
      <c r="V1568" s="84"/>
    </row>
    <row r="1569" spans="5:22" x14ac:dyDescent="0.2"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  <c r="S1569" s="84"/>
      <c r="T1569" s="84"/>
      <c r="U1569" s="84"/>
      <c r="V1569" s="84"/>
    </row>
    <row r="1570" spans="5:22" x14ac:dyDescent="0.2"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  <c r="S1570" s="84"/>
      <c r="T1570" s="84"/>
      <c r="U1570" s="84"/>
      <c r="V1570" s="84"/>
    </row>
    <row r="1571" spans="5:22" x14ac:dyDescent="0.2"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  <c r="S1571" s="84"/>
      <c r="T1571" s="84"/>
      <c r="U1571" s="84"/>
      <c r="V1571" s="84"/>
    </row>
    <row r="1572" spans="5:22" x14ac:dyDescent="0.2"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  <c r="S1572" s="84"/>
      <c r="T1572" s="84"/>
      <c r="U1572" s="84"/>
      <c r="V1572" s="84"/>
    </row>
    <row r="1573" spans="5:22" x14ac:dyDescent="0.2"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  <c r="S1573" s="84"/>
      <c r="T1573" s="84"/>
      <c r="U1573" s="84"/>
      <c r="V1573" s="84"/>
    </row>
    <row r="1574" spans="5:22" x14ac:dyDescent="0.2"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  <c r="S1574" s="84"/>
      <c r="T1574" s="84"/>
      <c r="U1574" s="84"/>
      <c r="V1574" s="84"/>
    </row>
    <row r="1575" spans="5:22" x14ac:dyDescent="0.2"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</row>
    <row r="1576" spans="5:22" x14ac:dyDescent="0.2"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  <c r="S1576" s="84"/>
      <c r="T1576" s="84"/>
      <c r="U1576" s="84"/>
      <c r="V1576" s="84"/>
    </row>
    <row r="1577" spans="5:22" x14ac:dyDescent="0.2"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  <c r="S1577" s="84"/>
      <c r="T1577" s="84"/>
      <c r="U1577" s="84"/>
      <c r="V1577" s="84"/>
    </row>
    <row r="1578" spans="5:22" x14ac:dyDescent="0.2"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  <c r="S1578" s="84"/>
      <c r="T1578" s="84"/>
      <c r="U1578" s="84"/>
      <c r="V1578" s="84"/>
    </row>
    <row r="1579" spans="5:22" x14ac:dyDescent="0.2"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  <c r="S1579" s="84"/>
      <c r="T1579" s="84"/>
      <c r="U1579" s="84"/>
      <c r="V1579" s="84"/>
    </row>
    <row r="1580" spans="5:22" x14ac:dyDescent="0.2"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  <c r="S1580" s="84"/>
      <c r="T1580" s="84"/>
      <c r="U1580" s="84"/>
      <c r="V1580" s="84"/>
    </row>
    <row r="1581" spans="5:22" x14ac:dyDescent="0.2"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  <c r="S1581" s="84"/>
      <c r="T1581" s="84"/>
      <c r="U1581" s="84"/>
      <c r="V1581" s="84"/>
    </row>
    <row r="1582" spans="5:22" x14ac:dyDescent="0.2"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  <c r="S1582" s="84"/>
      <c r="T1582" s="84"/>
      <c r="U1582" s="84"/>
      <c r="V1582" s="84"/>
    </row>
    <row r="1583" spans="5:22" x14ac:dyDescent="0.2"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  <c r="S1583" s="84"/>
      <c r="T1583" s="84"/>
      <c r="U1583" s="84"/>
      <c r="V1583" s="84"/>
    </row>
    <row r="1584" spans="5:22" x14ac:dyDescent="0.2"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  <c r="S1584" s="84"/>
      <c r="T1584" s="84"/>
      <c r="U1584" s="84"/>
      <c r="V1584" s="84"/>
    </row>
    <row r="1585" spans="5:22" x14ac:dyDescent="0.2"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  <c r="S1585" s="84"/>
      <c r="T1585" s="84"/>
      <c r="U1585" s="84"/>
      <c r="V1585" s="84"/>
    </row>
    <row r="1586" spans="5:22" x14ac:dyDescent="0.2"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</row>
    <row r="1587" spans="5:22" x14ac:dyDescent="0.2"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  <c r="S1587" s="84"/>
      <c r="T1587" s="84"/>
      <c r="U1587" s="84"/>
      <c r="V1587" s="84"/>
    </row>
    <row r="1588" spans="5:22" x14ac:dyDescent="0.2"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  <c r="S1588" s="84"/>
      <c r="T1588" s="84"/>
      <c r="U1588" s="84"/>
      <c r="V1588" s="84"/>
    </row>
    <row r="1589" spans="5:22" x14ac:dyDescent="0.2"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  <c r="S1589" s="84"/>
      <c r="T1589" s="84"/>
      <c r="U1589" s="84"/>
      <c r="V1589" s="84"/>
    </row>
    <row r="1590" spans="5:22" x14ac:dyDescent="0.2"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  <c r="S1590" s="84"/>
      <c r="T1590" s="84"/>
      <c r="U1590" s="84"/>
      <c r="V1590" s="84"/>
    </row>
    <row r="1591" spans="5:22" x14ac:dyDescent="0.2"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  <c r="S1591" s="84"/>
      <c r="T1591" s="84"/>
      <c r="U1591" s="84"/>
      <c r="V1591" s="84"/>
    </row>
    <row r="1592" spans="5:22" x14ac:dyDescent="0.2"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  <c r="S1592" s="84"/>
      <c r="T1592" s="84"/>
      <c r="U1592" s="84"/>
      <c r="V1592" s="84"/>
    </row>
    <row r="1593" spans="5:22" x14ac:dyDescent="0.2"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  <c r="S1593" s="84"/>
      <c r="T1593" s="84"/>
      <c r="U1593" s="84"/>
      <c r="V1593" s="84"/>
    </row>
    <row r="1594" spans="5:22" x14ac:dyDescent="0.2"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  <c r="S1594" s="84"/>
      <c r="T1594" s="84"/>
      <c r="U1594" s="84"/>
      <c r="V1594" s="84"/>
    </row>
    <row r="1595" spans="5:22" x14ac:dyDescent="0.2"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  <c r="S1595" s="84"/>
      <c r="T1595" s="84"/>
      <c r="U1595" s="84"/>
      <c r="V1595" s="84"/>
    </row>
    <row r="1596" spans="5:22" x14ac:dyDescent="0.2"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  <c r="S1596" s="84"/>
      <c r="T1596" s="84"/>
      <c r="U1596" s="84"/>
      <c r="V1596" s="84"/>
    </row>
    <row r="1597" spans="5:22" x14ac:dyDescent="0.2"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  <c r="S1597" s="84"/>
      <c r="T1597" s="84"/>
      <c r="U1597" s="84"/>
      <c r="V1597" s="84"/>
    </row>
    <row r="1598" spans="5:22" x14ac:dyDescent="0.2"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  <c r="S1598" s="84"/>
      <c r="T1598" s="84"/>
      <c r="U1598" s="84"/>
      <c r="V1598" s="84"/>
    </row>
    <row r="1599" spans="5:22" x14ac:dyDescent="0.2"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  <c r="R1599" s="84"/>
      <c r="S1599" s="84"/>
      <c r="T1599" s="84"/>
      <c r="U1599" s="84"/>
      <c r="V1599" s="84"/>
    </row>
    <row r="1600" spans="5:22" x14ac:dyDescent="0.2"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  <c r="R1600" s="84"/>
      <c r="S1600" s="84"/>
      <c r="T1600" s="84"/>
      <c r="U1600" s="84"/>
      <c r="V1600" s="84"/>
    </row>
    <row r="1601" spans="5:22" x14ac:dyDescent="0.2"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  <c r="R1601" s="84"/>
      <c r="S1601" s="84"/>
      <c r="T1601" s="84"/>
      <c r="U1601" s="84"/>
      <c r="V1601" s="84"/>
    </row>
    <row r="1602" spans="5:22" x14ac:dyDescent="0.2"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  <c r="R1602" s="84"/>
      <c r="S1602" s="84"/>
      <c r="T1602" s="84"/>
      <c r="U1602" s="84"/>
      <c r="V1602" s="84"/>
    </row>
    <row r="1603" spans="5:22" x14ac:dyDescent="0.2"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  <c r="R1603" s="84"/>
      <c r="S1603" s="84"/>
      <c r="T1603" s="84"/>
      <c r="U1603" s="84"/>
      <c r="V1603" s="84"/>
    </row>
    <row r="1604" spans="5:22" x14ac:dyDescent="0.2"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  <c r="R1604" s="84"/>
      <c r="S1604" s="84"/>
      <c r="T1604" s="84"/>
      <c r="U1604" s="84"/>
      <c r="V1604" s="84"/>
    </row>
    <row r="1605" spans="5:22" x14ac:dyDescent="0.2"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  <c r="R1605" s="84"/>
      <c r="S1605" s="84"/>
      <c r="T1605" s="84"/>
      <c r="U1605" s="84"/>
      <c r="V1605" s="84"/>
    </row>
    <row r="1606" spans="5:22" x14ac:dyDescent="0.2"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  <c r="R1606" s="84"/>
      <c r="S1606" s="84"/>
      <c r="T1606" s="84"/>
      <c r="U1606" s="84"/>
      <c r="V1606" s="84"/>
    </row>
    <row r="1607" spans="5:22" x14ac:dyDescent="0.2"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  <c r="R1607" s="84"/>
      <c r="S1607" s="84"/>
      <c r="T1607" s="84"/>
      <c r="U1607" s="84"/>
      <c r="V1607" s="84"/>
    </row>
    <row r="1608" spans="5:22" x14ac:dyDescent="0.2">
      <c r="E1608" s="84"/>
      <c r="F1608" s="84"/>
      <c r="G1608" s="84"/>
      <c r="H1608" s="84"/>
      <c r="I1608" s="84"/>
      <c r="J1608" s="84"/>
      <c r="K1608" s="84"/>
      <c r="L1608" s="84"/>
      <c r="M1608" s="84"/>
      <c r="N1608" s="84"/>
      <c r="O1608" s="84"/>
      <c r="P1608" s="84"/>
      <c r="Q1608" s="84"/>
      <c r="R1608" s="84"/>
      <c r="S1608" s="84"/>
      <c r="T1608" s="84"/>
      <c r="U1608" s="84"/>
      <c r="V1608" s="84"/>
    </row>
    <row r="1609" spans="5:22" x14ac:dyDescent="0.2">
      <c r="E1609" s="84"/>
      <c r="F1609" s="84"/>
      <c r="G1609" s="84"/>
      <c r="H1609" s="84"/>
      <c r="I1609" s="84"/>
      <c r="J1609" s="84"/>
      <c r="K1609" s="84"/>
      <c r="L1609" s="84"/>
      <c r="M1609" s="84"/>
      <c r="N1609" s="84"/>
      <c r="O1609" s="84"/>
      <c r="P1609" s="84"/>
      <c r="Q1609" s="84"/>
      <c r="R1609" s="84"/>
      <c r="S1609" s="84"/>
      <c r="T1609" s="84"/>
      <c r="U1609" s="84"/>
      <c r="V1609" s="84"/>
    </row>
    <row r="1610" spans="5:22" x14ac:dyDescent="0.2">
      <c r="E1610" s="84"/>
      <c r="F1610" s="84"/>
      <c r="G1610" s="84"/>
      <c r="H1610" s="84"/>
      <c r="I1610" s="84"/>
      <c r="J1610" s="84"/>
      <c r="K1610" s="84"/>
      <c r="L1610" s="84"/>
      <c r="M1610" s="84"/>
      <c r="N1610" s="84"/>
      <c r="O1610" s="84"/>
      <c r="P1610" s="84"/>
      <c r="Q1610" s="84"/>
      <c r="R1610" s="84"/>
      <c r="S1610" s="84"/>
      <c r="T1610" s="84"/>
      <c r="U1610" s="84"/>
      <c r="V1610" s="84"/>
    </row>
    <row r="1611" spans="5:22" x14ac:dyDescent="0.2"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  <c r="S1611" s="84"/>
      <c r="T1611" s="84"/>
      <c r="U1611" s="84"/>
      <c r="V1611" s="84"/>
    </row>
    <row r="1612" spans="5:22" x14ac:dyDescent="0.2"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  <c r="S1612" s="84"/>
      <c r="T1612" s="84"/>
      <c r="U1612" s="84"/>
      <c r="V1612" s="84"/>
    </row>
    <row r="1613" spans="5:22" x14ac:dyDescent="0.2"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  <c r="S1613" s="84"/>
      <c r="T1613" s="84"/>
      <c r="U1613" s="84"/>
      <c r="V1613" s="84"/>
    </row>
    <row r="1614" spans="5:22" x14ac:dyDescent="0.2"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  <c r="S1614" s="84"/>
      <c r="T1614" s="84"/>
      <c r="U1614" s="84"/>
      <c r="V1614" s="84"/>
    </row>
    <row r="1615" spans="5:22" x14ac:dyDescent="0.2"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  <c r="S1615" s="84"/>
      <c r="T1615" s="84"/>
      <c r="U1615" s="84"/>
      <c r="V1615" s="84"/>
    </row>
    <row r="1616" spans="5:22" x14ac:dyDescent="0.2"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  <c r="S1616" s="84"/>
      <c r="T1616" s="84"/>
      <c r="U1616" s="84"/>
      <c r="V1616" s="84"/>
    </row>
    <row r="1617" spans="5:22" x14ac:dyDescent="0.2"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  <c r="S1617" s="84"/>
      <c r="T1617" s="84"/>
      <c r="U1617" s="84"/>
      <c r="V1617" s="84"/>
    </row>
    <row r="1618" spans="5:22" x14ac:dyDescent="0.2"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  <c r="S1618" s="84"/>
      <c r="T1618" s="84"/>
      <c r="U1618" s="84"/>
      <c r="V1618" s="84"/>
    </row>
    <row r="1619" spans="5:22" x14ac:dyDescent="0.2"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  <c r="S1619" s="84"/>
      <c r="T1619" s="84"/>
      <c r="U1619" s="84"/>
      <c r="V1619" s="84"/>
    </row>
    <row r="1620" spans="5:22" x14ac:dyDescent="0.2"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  <c r="S1620" s="84"/>
      <c r="T1620" s="84"/>
      <c r="U1620" s="84"/>
      <c r="V1620" s="84"/>
    </row>
    <row r="1621" spans="5:22" x14ac:dyDescent="0.2"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  <c r="S1621" s="84"/>
      <c r="T1621" s="84"/>
      <c r="U1621" s="84"/>
      <c r="V1621" s="84"/>
    </row>
    <row r="1622" spans="5:22" x14ac:dyDescent="0.2"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  <c r="S1622" s="84"/>
      <c r="T1622" s="84"/>
      <c r="U1622" s="84"/>
      <c r="V1622" s="84"/>
    </row>
    <row r="1623" spans="5:22" x14ac:dyDescent="0.2"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  <c r="S1623" s="84"/>
      <c r="T1623" s="84"/>
      <c r="U1623" s="84"/>
      <c r="V1623" s="84"/>
    </row>
    <row r="1624" spans="5:22" x14ac:dyDescent="0.2"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  <c r="S1624" s="84"/>
      <c r="T1624" s="84"/>
      <c r="U1624" s="84"/>
      <c r="V1624" s="84"/>
    </row>
    <row r="1625" spans="5:22" x14ac:dyDescent="0.2"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  <c r="S1625" s="84"/>
      <c r="T1625" s="84"/>
      <c r="U1625" s="84"/>
      <c r="V1625" s="84"/>
    </row>
    <row r="1626" spans="5:22" x14ac:dyDescent="0.2"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  <c r="S1626" s="84"/>
      <c r="T1626" s="84"/>
      <c r="U1626" s="84"/>
      <c r="V1626" s="84"/>
    </row>
    <row r="1627" spans="5:22" x14ac:dyDescent="0.2"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  <c r="S1627" s="84"/>
      <c r="T1627" s="84"/>
      <c r="U1627" s="84"/>
      <c r="V1627" s="84"/>
    </row>
    <row r="1628" spans="5:22" x14ac:dyDescent="0.2"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  <c r="S1628" s="84"/>
      <c r="T1628" s="84"/>
      <c r="U1628" s="84"/>
      <c r="V1628" s="84"/>
    </row>
    <row r="1629" spans="5:22" x14ac:dyDescent="0.2"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  <c r="S1629" s="84"/>
      <c r="T1629" s="84"/>
      <c r="U1629" s="84"/>
      <c r="V1629" s="84"/>
    </row>
    <row r="1630" spans="5:22" x14ac:dyDescent="0.2"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  <c r="S1630" s="84"/>
      <c r="T1630" s="84"/>
      <c r="U1630" s="84"/>
      <c r="V1630" s="84"/>
    </row>
    <row r="1631" spans="5:22" x14ac:dyDescent="0.2"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  <c r="S1631" s="84"/>
      <c r="T1631" s="84"/>
      <c r="U1631" s="84"/>
      <c r="V1631" s="84"/>
    </row>
    <row r="1632" spans="5:22" x14ac:dyDescent="0.2"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  <c r="S1632" s="84"/>
      <c r="T1632" s="84"/>
      <c r="U1632" s="84"/>
      <c r="V1632" s="84"/>
    </row>
    <row r="1633" spans="5:22" x14ac:dyDescent="0.2"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  <c r="S1633" s="84"/>
      <c r="T1633" s="84"/>
      <c r="U1633" s="84"/>
      <c r="V1633" s="84"/>
    </row>
    <row r="1634" spans="5:22" x14ac:dyDescent="0.2"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  <c r="S1634" s="84"/>
      <c r="T1634" s="84"/>
      <c r="U1634" s="84"/>
      <c r="V1634" s="84"/>
    </row>
    <row r="1635" spans="5:22" x14ac:dyDescent="0.2"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  <c r="S1635" s="84"/>
      <c r="T1635" s="84"/>
      <c r="U1635" s="84"/>
      <c r="V1635" s="84"/>
    </row>
    <row r="1636" spans="5:22" x14ac:dyDescent="0.2"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</row>
    <row r="1637" spans="5:22" x14ac:dyDescent="0.2"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  <c r="S1637" s="84"/>
      <c r="T1637" s="84"/>
      <c r="U1637" s="84"/>
      <c r="V1637" s="84"/>
    </row>
    <row r="1638" spans="5:22" x14ac:dyDescent="0.2"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  <c r="S1638" s="84"/>
      <c r="T1638" s="84"/>
      <c r="U1638" s="84"/>
      <c r="V1638" s="84"/>
    </row>
    <row r="1639" spans="5:22" x14ac:dyDescent="0.2"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  <c r="S1639" s="84"/>
      <c r="T1639" s="84"/>
      <c r="U1639" s="84"/>
      <c r="V1639" s="84"/>
    </row>
    <row r="1640" spans="5:22" x14ac:dyDescent="0.2"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  <c r="S1640" s="84"/>
      <c r="T1640" s="84"/>
      <c r="U1640" s="84"/>
      <c r="V1640" s="84"/>
    </row>
    <row r="1641" spans="5:22" x14ac:dyDescent="0.2"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  <c r="S1641" s="84"/>
      <c r="T1641" s="84"/>
      <c r="U1641" s="84"/>
      <c r="V1641" s="84"/>
    </row>
    <row r="1642" spans="5:22" x14ac:dyDescent="0.2"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  <c r="S1642" s="84"/>
      <c r="T1642" s="84"/>
      <c r="U1642" s="84"/>
      <c r="V1642" s="84"/>
    </row>
    <row r="1643" spans="5:22" x14ac:dyDescent="0.2"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  <c r="S1643" s="84"/>
      <c r="T1643" s="84"/>
      <c r="U1643" s="84"/>
      <c r="V1643" s="84"/>
    </row>
    <row r="1644" spans="5:22" x14ac:dyDescent="0.2"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  <c r="S1644" s="84"/>
      <c r="T1644" s="84"/>
      <c r="U1644" s="84"/>
      <c r="V1644" s="84"/>
    </row>
    <row r="1645" spans="5:22" x14ac:dyDescent="0.2"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  <c r="S1645" s="84"/>
      <c r="T1645" s="84"/>
      <c r="U1645" s="84"/>
      <c r="V1645" s="84"/>
    </row>
    <row r="1646" spans="5:22" x14ac:dyDescent="0.2"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  <c r="S1646" s="84"/>
      <c r="T1646" s="84"/>
      <c r="U1646" s="84"/>
      <c r="V1646" s="84"/>
    </row>
    <row r="1647" spans="5:22" x14ac:dyDescent="0.2">
      <c r="E1647" s="84"/>
      <c r="F1647" s="84"/>
      <c r="G1647" s="84"/>
      <c r="H1647" s="84"/>
      <c r="I1647" s="84"/>
      <c r="J1647" s="84"/>
      <c r="K1647" s="84"/>
      <c r="L1647" s="84"/>
      <c r="M1647" s="84"/>
      <c r="N1647" s="84"/>
      <c r="O1647" s="84"/>
      <c r="P1647" s="84"/>
      <c r="Q1647" s="84"/>
      <c r="R1647" s="84"/>
      <c r="S1647" s="84"/>
      <c r="T1647" s="84"/>
      <c r="U1647" s="84"/>
      <c r="V1647" s="84"/>
    </row>
    <row r="1648" spans="5:22" x14ac:dyDescent="0.2">
      <c r="E1648" s="84"/>
      <c r="F1648" s="84"/>
      <c r="G1648" s="84"/>
      <c r="H1648" s="84"/>
      <c r="I1648" s="84"/>
      <c r="J1648" s="84"/>
      <c r="K1648" s="84"/>
      <c r="L1648" s="84"/>
      <c r="M1648" s="84"/>
      <c r="N1648" s="84"/>
      <c r="O1648" s="84"/>
      <c r="P1648" s="84"/>
      <c r="Q1648" s="84"/>
      <c r="R1648" s="84"/>
      <c r="S1648" s="84"/>
      <c r="T1648" s="84"/>
      <c r="U1648" s="84"/>
      <c r="V1648" s="84"/>
    </row>
    <row r="1649" spans="5:22" x14ac:dyDescent="0.2">
      <c r="E1649" s="84"/>
      <c r="F1649" s="84"/>
      <c r="G1649" s="84"/>
      <c r="H1649" s="84"/>
      <c r="I1649" s="84"/>
      <c r="J1649" s="84"/>
      <c r="K1649" s="84"/>
      <c r="L1649" s="84"/>
      <c r="M1649" s="84"/>
      <c r="N1649" s="84"/>
      <c r="O1649" s="84"/>
      <c r="P1649" s="84"/>
      <c r="Q1649" s="84"/>
      <c r="R1649" s="84"/>
      <c r="S1649" s="84"/>
      <c r="T1649" s="84"/>
      <c r="U1649" s="84"/>
      <c r="V1649" s="84"/>
    </row>
    <row r="1650" spans="5:22" x14ac:dyDescent="0.2">
      <c r="E1650" s="84"/>
      <c r="F1650" s="84"/>
      <c r="G1650" s="84"/>
      <c r="H1650" s="84"/>
      <c r="I1650" s="84"/>
      <c r="J1650" s="84"/>
      <c r="K1650" s="84"/>
      <c r="L1650" s="84"/>
      <c r="M1650" s="84"/>
      <c r="N1650" s="84"/>
      <c r="O1650" s="84"/>
      <c r="P1650" s="84"/>
      <c r="Q1650" s="84"/>
      <c r="R1650" s="84"/>
      <c r="S1650" s="84"/>
      <c r="T1650" s="84"/>
      <c r="U1650" s="84"/>
      <c r="V1650" s="84"/>
    </row>
    <row r="1651" spans="5:22" x14ac:dyDescent="0.2">
      <c r="E1651" s="84"/>
      <c r="F1651" s="84"/>
      <c r="G1651" s="84"/>
      <c r="H1651" s="84"/>
      <c r="I1651" s="84"/>
      <c r="J1651" s="84"/>
      <c r="K1651" s="84"/>
      <c r="L1651" s="84"/>
      <c r="M1651" s="84"/>
      <c r="N1651" s="84"/>
      <c r="O1651" s="84"/>
      <c r="P1651" s="84"/>
      <c r="Q1651" s="84"/>
      <c r="R1651" s="84"/>
      <c r="S1651" s="84"/>
      <c r="T1651" s="84"/>
      <c r="U1651" s="84"/>
      <c r="V1651" s="84"/>
    </row>
    <row r="1652" spans="5:22" x14ac:dyDescent="0.2">
      <c r="E1652" s="84"/>
      <c r="F1652" s="84"/>
      <c r="G1652" s="84"/>
      <c r="H1652" s="84"/>
      <c r="I1652" s="84"/>
      <c r="J1652" s="84"/>
      <c r="K1652" s="84"/>
      <c r="L1652" s="84"/>
      <c r="M1652" s="84"/>
      <c r="N1652" s="84"/>
      <c r="O1652" s="84"/>
      <c r="P1652" s="84"/>
      <c r="Q1652" s="84"/>
      <c r="R1652" s="84"/>
      <c r="S1652" s="84"/>
      <c r="T1652" s="84"/>
      <c r="U1652" s="84"/>
      <c r="V1652" s="84"/>
    </row>
    <row r="1653" spans="5:22" x14ac:dyDescent="0.2"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  <c r="R1653" s="84"/>
      <c r="S1653" s="84"/>
      <c r="T1653" s="84"/>
      <c r="U1653" s="84"/>
      <c r="V1653" s="84"/>
    </row>
    <row r="1654" spans="5:22" x14ac:dyDescent="0.2"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  <c r="R1654" s="84"/>
      <c r="S1654" s="84"/>
      <c r="T1654" s="84"/>
      <c r="U1654" s="84"/>
      <c r="V1654" s="84"/>
    </row>
    <row r="1655" spans="5:22" x14ac:dyDescent="0.2"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  <c r="R1655" s="84"/>
      <c r="S1655" s="84"/>
      <c r="T1655" s="84"/>
      <c r="U1655" s="84"/>
      <c r="V1655" s="84"/>
    </row>
    <row r="1656" spans="5:22" x14ac:dyDescent="0.2"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  <c r="R1656" s="84"/>
      <c r="S1656" s="84"/>
      <c r="T1656" s="84"/>
      <c r="U1656" s="84"/>
      <c r="V1656" s="84"/>
    </row>
    <row r="1657" spans="5:22" x14ac:dyDescent="0.2"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  <c r="R1657" s="84"/>
      <c r="S1657" s="84"/>
      <c r="T1657" s="84"/>
      <c r="U1657" s="84"/>
      <c r="V1657" s="84"/>
    </row>
    <row r="1658" spans="5:22" x14ac:dyDescent="0.2"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  <c r="R1658" s="84"/>
      <c r="S1658" s="84"/>
      <c r="T1658" s="84"/>
      <c r="U1658" s="84"/>
      <c r="V1658" s="84"/>
    </row>
    <row r="1659" spans="5:22" x14ac:dyDescent="0.2"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  <c r="S1659" s="84"/>
      <c r="T1659" s="84"/>
      <c r="U1659" s="84"/>
      <c r="V1659" s="84"/>
    </row>
    <row r="1660" spans="5:22" x14ac:dyDescent="0.2"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</row>
    <row r="1661" spans="5:22" x14ac:dyDescent="0.2"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  <c r="S1661" s="84"/>
      <c r="T1661" s="84"/>
      <c r="U1661" s="84"/>
      <c r="V1661" s="84"/>
    </row>
    <row r="1662" spans="5:22" x14ac:dyDescent="0.2"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  <c r="S1662" s="84"/>
      <c r="T1662" s="84"/>
      <c r="U1662" s="84"/>
      <c r="V1662" s="84"/>
    </row>
    <row r="1663" spans="5:22" x14ac:dyDescent="0.2"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  <c r="S1663" s="84"/>
      <c r="T1663" s="84"/>
      <c r="U1663" s="84"/>
      <c r="V1663" s="84"/>
    </row>
    <row r="1664" spans="5:22" x14ac:dyDescent="0.2"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  <c r="S1664" s="84"/>
      <c r="T1664" s="84"/>
      <c r="U1664" s="84"/>
      <c r="V1664" s="84"/>
    </row>
    <row r="1665" spans="5:22" x14ac:dyDescent="0.2"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  <c r="S1665" s="84"/>
      <c r="T1665" s="84"/>
      <c r="U1665" s="84"/>
      <c r="V1665" s="84"/>
    </row>
    <row r="1666" spans="5:22" x14ac:dyDescent="0.2"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  <c r="S1666" s="84"/>
      <c r="T1666" s="84"/>
      <c r="U1666" s="84"/>
      <c r="V1666" s="84"/>
    </row>
    <row r="1667" spans="5:22" x14ac:dyDescent="0.2"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  <c r="S1667" s="84"/>
      <c r="T1667" s="84"/>
      <c r="U1667" s="84"/>
      <c r="V1667" s="84"/>
    </row>
    <row r="1668" spans="5:22" x14ac:dyDescent="0.2"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  <c r="S1668" s="84"/>
      <c r="T1668" s="84"/>
      <c r="U1668" s="84"/>
      <c r="V1668" s="84"/>
    </row>
    <row r="1669" spans="5:22" x14ac:dyDescent="0.2"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  <c r="S1669" s="84"/>
      <c r="T1669" s="84"/>
      <c r="U1669" s="84"/>
      <c r="V1669" s="84"/>
    </row>
    <row r="1670" spans="5:22" x14ac:dyDescent="0.2"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</row>
    <row r="1671" spans="5:22" x14ac:dyDescent="0.2"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  <c r="S1671" s="84"/>
      <c r="T1671" s="84"/>
      <c r="U1671" s="84"/>
      <c r="V1671" s="84"/>
    </row>
    <row r="1672" spans="5:22" x14ac:dyDescent="0.2"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  <c r="S1672" s="84"/>
      <c r="T1672" s="84"/>
      <c r="U1672" s="84"/>
      <c r="V1672" s="84"/>
    </row>
    <row r="1673" spans="5:22" x14ac:dyDescent="0.2"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  <c r="S1673" s="84"/>
      <c r="T1673" s="84"/>
      <c r="U1673" s="84"/>
      <c r="V1673" s="84"/>
    </row>
    <row r="1674" spans="5:22" x14ac:dyDescent="0.2"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  <c r="S1674" s="84"/>
      <c r="T1674" s="84"/>
      <c r="U1674" s="84"/>
      <c r="V1674" s="84"/>
    </row>
    <row r="1675" spans="5:22" x14ac:dyDescent="0.2"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T1675" s="84"/>
      <c r="U1675" s="84"/>
      <c r="V1675" s="84"/>
    </row>
    <row r="1676" spans="5:22" x14ac:dyDescent="0.2"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  <c r="S1676" s="84"/>
      <c r="T1676" s="84"/>
      <c r="U1676" s="84"/>
      <c r="V1676" s="84"/>
    </row>
    <row r="1677" spans="5:22" x14ac:dyDescent="0.2"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  <c r="S1677" s="84"/>
      <c r="T1677" s="84"/>
      <c r="U1677" s="84"/>
      <c r="V1677" s="84"/>
    </row>
    <row r="1678" spans="5:22" x14ac:dyDescent="0.2"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  <c r="S1678" s="84"/>
      <c r="T1678" s="84"/>
      <c r="U1678" s="84"/>
      <c r="V1678" s="84"/>
    </row>
    <row r="1679" spans="5:22" x14ac:dyDescent="0.2"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  <c r="S1679" s="84"/>
      <c r="T1679" s="84"/>
      <c r="U1679" s="84"/>
      <c r="V1679" s="84"/>
    </row>
    <row r="1680" spans="5:22" x14ac:dyDescent="0.2"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  <c r="S1680" s="84"/>
      <c r="T1680" s="84"/>
      <c r="U1680" s="84"/>
      <c r="V1680" s="84"/>
    </row>
    <row r="1681" spans="5:22" x14ac:dyDescent="0.2"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  <c r="S1681" s="84"/>
      <c r="T1681" s="84"/>
      <c r="U1681" s="84"/>
      <c r="V1681" s="84"/>
    </row>
    <row r="1682" spans="5:22" x14ac:dyDescent="0.2">
      <c r="E1682" s="84"/>
      <c r="F1682" s="84"/>
      <c r="G1682" s="84"/>
      <c r="H1682" s="84"/>
      <c r="I1682" s="84"/>
      <c r="J1682" s="84"/>
      <c r="K1682" s="84"/>
      <c r="L1682" s="84"/>
      <c r="M1682" s="84"/>
      <c r="N1682" s="84"/>
      <c r="O1682" s="84"/>
      <c r="P1682" s="84"/>
      <c r="Q1682" s="84"/>
      <c r="R1682" s="84"/>
      <c r="S1682" s="84"/>
      <c r="T1682" s="84"/>
      <c r="U1682" s="84"/>
      <c r="V1682" s="84"/>
    </row>
    <row r="1683" spans="5:22" x14ac:dyDescent="0.2"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  <c r="S1683" s="84"/>
      <c r="T1683" s="84"/>
      <c r="U1683" s="84"/>
      <c r="V1683" s="84"/>
    </row>
    <row r="1684" spans="5:22" x14ac:dyDescent="0.2"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  <c r="S1684" s="84"/>
      <c r="T1684" s="84"/>
      <c r="U1684" s="84"/>
      <c r="V1684" s="84"/>
    </row>
    <row r="1685" spans="5:22" x14ac:dyDescent="0.2"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  <c r="S1685" s="84"/>
      <c r="T1685" s="84"/>
      <c r="U1685" s="84"/>
      <c r="V1685" s="84"/>
    </row>
    <row r="1686" spans="5:22" x14ac:dyDescent="0.2"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  <c r="S1686" s="84"/>
      <c r="T1686" s="84"/>
      <c r="U1686" s="84"/>
      <c r="V1686" s="84"/>
    </row>
    <row r="1687" spans="5:22" x14ac:dyDescent="0.2"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  <c r="S1687" s="84"/>
      <c r="T1687" s="84"/>
      <c r="U1687" s="84"/>
      <c r="V1687" s="84"/>
    </row>
    <row r="1688" spans="5:22" x14ac:dyDescent="0.2"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  <c r="S1688" s="84"/>
      <c r="T1688" s="84"/>
      <c r="U1688" s="84"/>
      <c r="V1688" s="84"/>
    </row>
    <row r="1689" spans="5:22" x14ac:dyDescent="0.2"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</row>
    <row r="1690" spans="5:22" x14ac:dyDescent="0.2"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  <c r="S1690" s="84"/>
      <c r="T1690" s="84"/>
      <c r="U1690" s="84"/>
      <c r="V1690" s="84"/>
    </row>
    <row r="1691" spans="5:22" x14ac:dyDescent="0.2"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  <c r="S1691" s="84"/>
      <c r="T1691" s="84"/>
      <c r="U1691" s="84"/>
      <c r="V1691" s="84"/>
    </row>
    <row r="1692" spans="5:22" x14ac:dyDescent="0.2"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</row>
    <row r="1693" spans="5:22" x14ac:dyDescent="0.2"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  <c r="S1693" s="84"/>
      <c r="T1693" s="84"/>
      <c r="U1693" s="84"/>
      <c r="V1693" s="84"/>
    </row>
    <row r="1694" spans="5:22" x14ac:dyDescent="0.2"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  <c r="S1694" s="84"/>
      <c r="T1694" s="84"/>
      <c r="U1694" s="84"/>
      <c r="V1694" s="84"/>
    </row>
    <row r="1695" spans="5:22" x14ac:dyDescent="0.2"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  <c r="R1695" s="84"/>
      <c r="S1695" s="84"/>
      <c r="T1695" s="84"/>
      <c r="U1695" s="84"/>
      <c r="V1695" s="84"/>
    </row>
    <row r="1696" spans="5:22" x14ac:dyDescent="0.2"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  <c r="R1696" s="84"/>
      <c r="S1696" s="84"/>
      <c r="T1696" s="84"/>
      <c r="U1696" s="84"/>
      <c r="V1696" s="84"/>
    </row>
    <row r="1697" spans="5:22" x14ac:dyDescent="0.2"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  <c r="R1697" s="84"/>
      <c r="S1697" s="84"/>
      <c r="T1697" s="84"/>
      <c r="U1697" s="84"/>
      <c r="V1697" s="84"/>
    </row>
    <row r="1698" spans="5:22" x14ac:dyDescent="0.2">
      <c r="E1698" s="84"/>
      <c r="F1698" s="84"/>
      <c r="G1698" s="84"/>
      <c r="H1698" s="84"/>
      <c r="I1698" s="84"/>
      <c r="J1698" s="84"/>
      <c r="K1698" s="84"/>
      <c r="L1698" s="84"/>
      <c r="M1698" s="84"/>
      <c r="N1698" s="84"/>
      <c r="O1698" s="84"/>
      <c r="P1698" s="84"/>
      <c r="Q1698" s="84"/>
      <c r="R1698" s="84"/>
      <c r="S1698" s="84"/>
      <c r="T1698" s="84"/>
      <c r="U1698" s="84"/>
      <c r="V1698" s="84"/>
    </row>
    <row r="1699" spans="5:22" x14ac:dyDescent="0.2">
      <c r="E1699" s="84"/>
      <c r="F1699" s="84"/>
      <c r="G1699" s="84"/>
      <c r="H1699" s="84"/>
      <c r="I1699" s="84"/>
      <c r="J1699" s="84"/>
      <c r="K1699" s="84"/>
      <c r="L1699" s="84"/>
      <c r="M1699" s="84"/>
      <c r="N1699" s="84"/>
      <c r="O1699" s="84"/>
      <c r="P1699" s="84"/>
      <c r="Q1699" s="84"/>
      <c r="R1699" s="84"/>
      <c r="S1699" s="84"/>
      <c r="T1699" s="84"/>
      <c r="U1699" s="84"/>
      <c r="V1699" s="84"/>
    </row>
    <row r="1700" spans="5:22" x14ac:dyDescent="0.2">
      <c r="E1700" s="84"/>
      <c r="F1700" s="84"/>
      <c r="G1700" s="84"/>
      <c r="H1700" s="84"/>
      <c r="I1700" s="84"/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</row>
    <row r="1701" spans="5:22" x14ac:dyDescent="0.2">
      <c r="E1701" s="84"/>
      <c r="F1701" s="84"/>
      <c r="G1701" s="84"/>
      <c r="H1701" s="84"/>
      <c r="I1701" s="84"/>
      <c r="J1701" s="84"/>
      <c r="K1701" s="84"/>
      <c r="L1701" s="84"/>
      <c r="M1701" s="84"/>
      <c r="N1701" s="84"/>
      <c r="O1701" s="84"/>
      <c r="P1701" s="84"/>
      <c r="Q1701" s="84"/>
      <c r="R1701" s="84"/>
      <c r="S1701" s="84"/>
      <c r="T1701" s="84"/>
      <c r="U1701" s="84"/>
      <c r="V1701" s="84"/>
    </row>
    <row r="1702" spans="5:22" x14ac:dyDescent="0.2">
      <c r="E1702" s="84"/>
      <c r="F1702" s="84"/>
      <c r="G1702" s="84"/>
      <c r="H1702" s="84"/>
      <c r="I1702" s="84"/>
      <c r="J1702" s="84"/>
      <c r="K1702" s="84"/>
      <c r="L1702" s="84"/>
      <c r="M1702" s="84"/>
      <c r="N1702" s="84"/>
      <c r="O1702" s="84"/>
      <c r="P1702" s="84"/>
      <c r="Q1702" s="84"/>
      <c r="R1702" s="84"/>
      <c r="S1702" s="84"/>
      <c r="T1702" s="84"/>
      <c r="U1702" s="84"/>
      <c r="V1702" s="84"/>
    </row>
    <row r="1703" spans="5:22" x14ac:dyDescent="0.2">
      <c r="E1703" s="84"/>
      <c r="F1703" s="84"/>
      <c r="G1703" s="84"/>
      <c r="H1703" s="84"/>
      <c r="I1703" s="84"/>
      <c r="J1703" s="84"/>
      <c r="K1703" s="84"/>
      <c r="L1703" s="84"/>
      <c r="M1703" s="84"/>
      <c r="N1703" s="84"/>
      <c r="O1703" s="84"/>
      <c r="P1703" s="84"/>
      <c r="Q1703" s="84"/>
      <c r="R1703" s="84"/>
      <c r="S1703" s="84"/>
      <c r="T1703" s="84"/>
      <c r="U1703" s="84"/>
      <c r="V1703" s="84"/>
    </row>
    <row r="1704" spans="5:22" x14ac:dyDescent="0.2">
      <c r="E1704" s="84"/>
      <c r="F1704" s="84"/>
      <c r="G1704" s="84"/>
      <c r="H1704" s="84"/>
      <c r="I1704" s="84"/>
      <c r="J1704" s="84"/>
      <c r="K1704" s="84"/>
      <c r="L1704" s="84"/>
      <c r="M1704" s="84"/>
      <c r="N1704" s="84"/>
      <c r="O1704" s="84"/>
      <c r="P1704" s="84"/>
      <c r="Q1704" s="84"/>
      <c r="R1704" s="84"/>
      <c r="S1704" s="84"/>
      <c r="T1704" s="84"/>
      <c r="U1704" s="84"/>
      <c r="V1704" s="84"/>
    </row>
    <row r="1705" spans="5:22" x14ac:dyDescent="0.2"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  <c r="S1705" s="84"/>
      <c r="T1705" s="84"/>
      <c r="U1705" s="84"/>
      <c r="V1705" s="84"/>
    </row>
    <row r="1706" spans="5:22" x14ac:dyDescent="0.2"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  <c r="S1706" s="84"/>
      <c r="T1706" s="84"/>
      <c r="U1706" s="84"/>
      <c r="V1706" s="84"/>
    </row>
    <row r="1707" spans="5:22" x14ac:dyDescent="0.2"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  <c r="S1707" s="84"/>
      <c r="T1707" s="84"/>
      <c r="U1707" s="84"/>
      <c r="V1707" s="84"/>
    </row>
    <row r="1708" spans="5:22" x14ac:dyDescent="0.2"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  <c r="S1708" s="84"/>
      <c r="T1708" s="84"/>
      <c r="U1708" s="84"/>
      <c r="V1708" s="84"/>
    </row>
    <row r="1709" spans="5:22" x14ac:dyDescent="0.2"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  <c r="S1709" s="84"/>
      <c r="T1709" s="84"/>
      <c r="U1709" s="84"/>
      <c r="V1709" s="84"/>
    </row>
    <row r="1710" spans="5:22" x14ac:dyDescent="0.2"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  <c r="S1710" s="84"/>
      <c r="T1710" s="84"/>
      <c r="U1710" s="84"/>
      <c r="V1710" s="84"/>
    </row>
    <row r="1711" spans="5:22" x14ac:dyDescent="0.2"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  <c r="S1711" s="84"/>
      <c r="T1711" s="84"/>
      <c r="U1711" s="84"/>
      <c r="V1711" s="84"/>
    </row>
    <row r="1712" spans="5:22" x14ac:dyDescent="0.2"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  <c r="S1712" s="84"/>
      <c r="T1712" s="84"/>
      <c r="U1712" s="84"/>
      <c r="V1712" s="84"/>
    </row>
    <row r="1713" spans="5:22" x14ac:dyDescent="0.2"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  <c r="S1713" s="84"/>
      <c r="T1713" s="84"/>
      <c r="U1713" s="84"/>
      <c r="V1713" s="84"/>
    </row>
    <row r="1714" spans="5:22" x14ac:dyDescent="0.2"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  <c r="S1714" s="84"/>
      <c r="T1714" s="84"/>
      <c r="U1714" s="84"/>
      <c r="V1714" s="84"/>
    </row>
    <row r="1715" spans="5:22" x14ac:dyDescent="0.2"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  <c r="S1715" s="84"/>
      <c r="T1715" s="84"/>
      <c r="U1715" s="84"/>
      <c r="V1715" s="84"/>
    </row>
    <row r="1716" spans="5:22" x14ac:dyDescent="0.2"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  <c r="S1716" s="84"/>
      <c r="T1716" s="84"/>
      <c r="U1716" s="84"/>
      <c r="V1716" s="84"/>
    </row>
    <row r="1717" spans="5:22" x14ac:dyDescent="0.2"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  <c r="S1717" s="84"/>
      <c r="T1717" s="84"/>
      <c r="U1717" s="84"/>
      <c r="V1717" s="84"/>
    </row>
    <row r="1718" spans="5:22" x14ac:dyDescent="0.2"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  <c r="S1718" s="84"/>
      <c r="T1718" s="84"/>
      <c r="U1718" s="84"/>
      <c r="V1718" s="84"/>
    </row>
    <row r="1719" spans="5:22" x14ac:dyDescent="0.2"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  <c r="S1719" s="84"/>
      <c r="T1719" s="84"/>
      <c r="U1719" s="84"/>
      <c r="V1719" s="84"/>
    </row>
    <row r="1720" spans="5:22" x14ac:dyDescent="0.2"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  <c r="S1720" s="84"/>
      <c r="T1720" s="84"/>
      <c r="U1720" s="84"/>
      <c r="V1720" s="84"/>
    </row>
    <row r="1721" spans="5:22" x14ac:dyDescent="0.2"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  <c r="S1721" s="84"/>
      <c r="T1721" s="84"/>
      <c r="U1721" s="84"/>
      <c r="V1721" s="84"/>
    </row>
    <row r="1722" spans="5:22" x14ac:dyDescent="0.2"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  <c r="S1722" s="84"/>
      <c r="T1722" s="84"/>
      <c r="U1722" s="84"/>
      <c r="V1722" s="84"/>
    </row>
    <row r="1723" spans="5:22" x14ac:dyDescent="0.2"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  <c r="S1723" s="84"/>
      <c r="T1723" s="84"/>
      <c r="U1723" s="84"/>
      <c r="V1723" s="84"/>
    </row>
    <row r="1724" spans="5:22" x14ac:dyDescent="0.2"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  <c r="S1724" s="84"/>
      <c r="T1724" s="84"/>
      <c r="U1724" s="84"/>
      <c r="V1724" s="84"/>
    </row>
    <row r="1725" spans="5:22" x14ac:dyDescent="0.2"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  <c r="S1725" s="84"/>
      <c r="T1725" s="84"/>
      <c r="U1725" s="84"/>
      <c r="V1725" s="84"/>
    </row>
    <row r="1726" spans="5:22" x14ac:dyDescent="0.2"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  <c r="S1726" s="84"/>
      <c r="T1726" s="84"/>
      <c r="U1726" s="84"/>
      <c r="V1726" s="84"/>
    </row>
    <row r="1727" spans="5:22" x14ac:dyDescent="0.2"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  <c r="S1727" s="84"/>
      <c r="T1727" s="84"/>
      <c r="U1727" s="84"/>
      <c r="V1727" s="84"/>
    </row>
    <row r="1728" spans="5:22" x14ac:dyDescent="0.2">
      <c r="E1728" s="84"/>
      <c r="F1728" s="84"/>
      <c r="G1728" s="84"/>
      <c r="H1728" s="84"/>
      <c r="I1728" s="84"/>
      <c r="J1728" s="84"/>
      <c r="K1728" s="84"/>
      <c r="L1728" s="84"/>
      <c r="M1728" s="84"/>
      <c r="N1728" s="84"/>
      <c r="O1728" s="84"/>
      <c r="P1728" s="84"/>
      <c r="Q1728" s="84"/>
      <c r="R1728" s="84"/>
      <c r="S1728" s="84"/>
      <c r="T1728" s="84"/>
      <c r="U1728" s="84"/>
      <c r="V1728" s="84"/>
    </row>
    <row r="1729" spans="5:22" x14ac:dyDescent="0.2">
      <c r="E1729" s="84"/>
      <c r="F1729" s="84"/>
      <c r="G1729" s="84"/>
      <c r="H1729" s="84"/>
      <c r="I1729" s="84"/>
      <c r="J1729" s="84"/>
      <c r="K1729" s="84"/>
      <c r="L1729" s="84"/>
      <c r="M1729" s="84"/>
      <c r="N1729" s="84"/>
      <c r="O1729" s="84"/>
      <c r="P1729" s="84"/>
      <c r="Q1729" s="84"/>
      <c r="R1729" s="84"/>
      <c r="S1729" s="84"/>
      <c r="T1729" s="84"/>
      <c r="U1729" s="84"/>
      <c r="V1729" s="84"/>
    </row>
    <row r="1730" spans="5:22" x14ac:dyDescent="0.2">
      <c r="E1730" s="84"/>
      <c r="F1730" s="84"/>
      <c r="G1730" s="84"/>
      <c r="H1730" s="84"/>
      <c r="I1730" s="84"/>
      <c r="J1730" s="84"/>
      <c r="K1730" s="84"/>
      <c r="L1730" s="84"/>
      <c r="M1730" s="84"/>
      <c r="N1730" s="84"/>
      <c r="O1730" s="84"/>
      <c r="P1730" s="84"/>
      <c r="Q1730" s="84"/>
      <c r="R1730" s="84"/>
      <c r="S1730" s="84"/>
      <c r="T1730" s="84"/>
      <c r="U1730" s="84"/>
      <c r="V1730" s="84"/>
    </row>
    <row r="1731" spans="5:22" x14ac:dyDescent="0.2"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  <c r="S1731" s="84"/>
      <c r="T1731" s="84"/>
      <c r="U1731" s="84"/>
      <c r="V1731" s="84"/>
    </row>
    <row r="1732" spans="5:22" x14ac:dyDescent="0.2"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  <c r="S1732" s="84"/>
      <c r="T1732" s="84"/>
      <c r="U1732" s="84"/>
      <c r="V1732" s="84"/>
    </row>
    <row r="1733" spans="5:22" x14ac:dyDescent="0.2"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  <c r="S1733" s="84"/>
      <c r="T1733" s="84"/>
      <c r="U1733" s="84"/>
      <c r="V1733" s="84"/>
    </row>
    <row r="1734" spans="5:22" x14ac:dyDescent="0.2"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  <c r="S1734" s="84"/>
      <c r="T1734" s="84"/>
      <c r="U1734" s="84"/>
      <c r="V1734" s="84"/>
    </row>
    <row r="1735" spans="5:22" x14ac:dyDescent="0.2"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  <c r="S1735" s="84"/>
      <c r="T1735" s="84"/>
      <c r="U1735" s="84"/>
      <c r="V1735" s="84"/>
    </row>
    <row r="1736" spans="5:22" x14ac:dyDescent="0.2"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</row>
    <row r="1737" spans="5:22" x14ac:dyDescent="0.2"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  <c r="S1737" s="84"/>
      <c r="T1737" s="84"/>
      <c r="U1737" s="84"/>
      <c r="V1737" s="84"/>
    </row>
    <row r="1738" spans="5:22" x14ac:dyDescent="0.2"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  <c r="S1738" s="84"/>
      <c r="T1738" s="84"/>
      <c r="U1738" s="84"/>
      <c r="V1738" s="84"/>
    </row>
    <row r="1739" spans="5:22" x14ac:dyDescent="0.2"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  <c r="S1739" s="84"/>
      <c r="T1739" s="84"/>
      <c r="U1739" s="84"/>
      <c r="V1739" s="84"/>
    </row>
    <row r="1740" spans="5:22" x14ac:dyDescent="0.2"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  <c r="S1740" s="84"/>
      <c r="T1740" s="84"/>
      <c r="U1740" s="84"/>
      <c r="V1740" s="84"/>
    </row>
    <row r="1741" spans="5:22" x14ac:dyDescent="0.2"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  <c r="S1741" s="84"/>
      <c r="T1741" s="84"/>
      <c r="U1741" s="84"/>
      <c r="V1741" s="84"/>
    </row>
    <row r="1742" spans="5:22" x14ac:dyDescent="0.2"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  <c r="S1742" s="84"/>
      <c r="T1742" s="84"/>
      <c r="U1742" s="84"/>
      <c r="V1742" s="84"/>
    </row>
    <row r="1743" spans="5:22" x14ac:dyDescent="0.2"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  <c r="R1743" s="84"/>
      <c r="S1743" s="84"/>
      <c r="T1743" s="84"/>
      <c r="U1743" s="84"/>
      <c r="V1743" s="84"/>
    </row>
    <row r="1744" spans="5:22" x14ac:dyDescent="0.2"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  <c r="R1744" s="84"/>
      <c r="S1744" s="84"/>
      <c r="T1744" s="84"/>
      <c r="U1744" s="84"/>
      <c r="V1744" s="84"/>
    </row>
    <row r="1745" spans="5:22" x14ac:dyDescent="0.2"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  <c r="R1745" s="84"/>
      <c r="S1745" s="84"/>
      <c r="T1745" s="84"/>
      <c r="U1745" s="84"/>
      <c r="V1745" s="84"/>
    </row>
    <row r="1746" spans="5:22" x14ac:dyDescent="0.2"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  <c r="R1746" s="84"/>
      <c r="S1746" s="84"/>
      <c r="T1746" s="84"/>
      <c r="U1746" s="84"/>
      <c r="V1746" s="84"/>
    </row>
    <row r="1747" spans="5:22" x14ac:dyDescent="0.2"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  <c r="R1747" s="84"/>
      <c r="S1747" s="84"/>
      <c r="T1747" s="84"/>
      <c r="U1747" s="84"/>
      <c r="V1747" s="84"/>
    </row>
    <row r="1748" spans="5:22" x14ac:dyDescent="0.2"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  <c r="R1748" s="84"/>
      <c r="S1748" s="84"/>
      <c r="T1748" s="84"/>
      <c r="U1748" s="84"/>
      <c r="V1748" s="84"/>
    </row>
    <row r="1749" spans="5:22" x14ac:dyDescent="0.2"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  <c r="R1749" s="84"/>
      <c r="S1749" s="84"/>
      <c r="T1749" s="84"/>
      <c r="U1749" s="84"/>
      <c r="V1749" s="84"/>
    </row>
    <row r="1750" spans="5:22" x14ac:dyDescent="0.2"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  <c r="R1750" s="84"/>
      <c r="S1750" s="84"/>
      <c r="T1750" s="84"/>
      <c r="U1750" s="84"/>
      <c r="V1750" s="84"/>
    </row>
    <row r="1751" spans="5:22" x14ac:dyDescent="0.2"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  <c r="S1751" s="84"/>
      <c r="T1751" s="84"/>
      <c r="U1751" s="84"/>
      <c r="V1751" s="84"/>
    </row>
    <row r="1752" spans="5:22" x14ac:dyDescent="0.2"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  <c r="S1752" s="84"/>
      <c r="T1752" s="84"/>
      <c r="U1752" s="84"/>
      <c r="V1752" s="84"/>
    </row>
    <row r="1753" spans="5:22" x14ac:dyDescent="0.2"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  <c r="S1753" s="84"/>
      <c r="T1753" s="84"/>
      <c r="U1753" s="84"/>
      <c r="V1753" s="84"/>
    </row>
    <row r="1754" spans="5:22" x14ac:dyDescent="0.2"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  <c r="S1754" s="84"/>
      <c r="T1754" s="84"/>
      <c r="U1754" s="84"/>
      <c r="V1754" s="84"/>
    </row>
    <row r="1755" spans="5:22" x14ac:dyDescent="0.2"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  <c r="S1755" s="84"/>
      <c r="T1755" s="84"/>
      <c r="U1755" s="84"/>
      <c r="V1755" s="84"/>
    </row>
    <row r="1756" spans="5:22" x14ac:dyDescent="0.2"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  <c r="S1756" s="84"/>
      <c r="T1756" s="84"/>
      <c r="U1756" s="84"/>
      <c r="V1756" s="84"/>
    </row>
    <row r="1757" spans="5:22" x14ac:dyDescent="0.2"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  <c r="S1757" s="84"/>
      <c r="T1757" s="84"/>
      <c r="U1757" s="84"/>
      <c r="V1757" s="84"/>
    </row>
    <row r="1758" spans="5:22" x14ac:dyDescent="0.2"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  <c r="S1758" s="84"/>
      <c r="T1758" s="84"/>
      <c r="U1758" s="84"/>
      <c r="V1758" s="84"/>
    </row>
    <row r="1759" spans="5:22" x14ac:dyDescent="0.2"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  <c r="S1759" s="84"/>
      <c r="T1759" s="84"/>
      <c r="U1759" s="84"/>
      <c r="V1759" s="84"/>
    </row>
    <row r="1760" spans="5:22" x14ac:dyDescent="0.2"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  <c r="S1760" s="84"/>
      <c r="T1760" s="84"/>
      <c r="U1760" s="84"/>
      <c r="V1760" s="84"/>
    </row>
    <row r="1761" spans="5:22" x14ac:dyDescent="0.2"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  <c r="S1761" s="84"/>
      <c r="T1761" s="84"/>
      <c r="U1761" s="84"/>
      <c r="V1761" s="84"/>
    </row>
    <row r="1762" spans="5:22" x14ac:dyDescent="0.2"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  <c r="S1762" s="84"/>
      <c r="T1762" s="84"/>
      <c r="U1762" s="84"/>
      <c r="V1762" s="84"/>
    </row>
    <row r="1763" spans="5:22" x14ac:dyDescent="0.2"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  <c r="S1763" s="84"/>
      <c r="T1763" s="84"/>
      <c r="U1763" s="84"/>
      <c r="V1763" s="84"/>
    </row>
    <row r="1764" spans="5:22" x14ac:dyDescent="0.2"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  <c r="S1764" s="84"/>
      <c r="T1764" s="84"/>
      <c r="U1764" s="84"/>
      <c r="V1764" s="84"/>
    </row>
    <row r="1765" spans="5:22" x14ac:dyDescent="0.2"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  <c r="S1765" s="84"/>
      <c r="T1765" s="84"/>
      <c r="U1765" s="84"/>
      <c r="V1765" s="84"/>
    </row>
    <row r="1766" spans="5:22" x14ac:dyDescent="0.2"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  <c r="S1766" s="84"/>
      <c r="T1766" s="84"/>
      <c r="U1766" s="84"/>
      <c r="V1766" s="84"/>
    </row>
    <row r="1767" spans="5:22" x14ac:dyDescent="0.2"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  <c r="S1767" s="84"/>
      <c r="T1767" s="84"/>
      <c r="U1767" s="84"/>
      <c r="V1767" s="84"/>
    </row>
    <row r="1768" spans="5:22" x14ac:dyDescent="0.2"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  <c r="S1768" s="84"/>
      <c r="T1768" s="84"/>
      <c r="U1768" s="84"/>
      <c r="V1768" s="84"/>
    </row>
    <row r="1769" spans="5:22" x14ac:dyDescent="0.2"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  <c r="S1769" s="84"/>
      <c r="T1769" s="84"/>
      <c r="U1769" s="84"/>
      <c r="V1769" s="84"/>
    </row>
    <row r="1770" spans="5:22" x14ac:dyDescent="0.2"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  <c r="S1770" s="84"/>
      <c r="T1770" s="84"/>
      <c r="U1770" s="84"/>
      <c r="V1770" s="84"/>
    </row>
    <row r="1771" spans="5:22" x14ac:dyDescent="0.2"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  <c r="S1771" s="84"/>
      <c r="T1771" s="84"/>
      <c r="U1771" s="84"/>
      <c r="V1771" s="84"/>
    </row>
    <row r="1772" spans="5:22" x14ac:dyDescent="0.2"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  <c r="S1772" s="84"/>
      <c r="T1772" s="84"/>
      <c r="U1772" s="84"/>
      <c r="V1772" s="84"/>
    </row>
    <row r="1773" spans="5:22" x14ac:dyDescent="0.2"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  <c r="S1773" s="84"/>
      <c r="T1773" s="84"/>
      <c r="U1773" s="84"/>
      <c r="V1773" s="84"/>
    </row>
    <row r="1774" spans="5:22" x14ac:dyDescent="0.2"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  <c r="R1774" s="84"/>
      <c r="S1774" s="84"/>
      <c r="T1774" s="84"/>
      <c r="U1774" s="84"/>
      <c r="V1774" s="84"/>
    </row>
    <row r="1775" spans="5:22" x14ac:dyDescent="0.2"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  <c r="R1775" s="84"/>
      <c r="S1775" s="84"/>
      <c r="T1775" s="84"/>
      <c r="U1775" s="84"/>
      <c r="V1775" s="84"/>
    </row>
    <row r="1776" spans="5:22" x14ac:dyDescent="0.2"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  <c r="R1776" s="84"/>
      <c r="S1776" s="84"/>
      <c r="T1776" s="84"/>
      <c r="U1776" s="84"/>
      <c r="V1776" s="84"/>
    </row>
    <row r="1777" spans="5:22" x14ac:dyDescent="0.2"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  <c r="R1777" s="84"/>
      <c r="S1777" s="84"/>
      <c r="T1777" s="84"/>
      <c r="U1777" s="84"/>
      <c r="V1777" s="84"/>
    </row>
    <row r="1778" spans="5:22" x14ac:dyDescent="0.2"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  <c r="R1778" s="84"/>
      <c r="S1778" s="84"/>
      <c r="T1778" s="84"/>
      <c r="U1778" s="84"/>
      <c r="V1778" s="84"/>
    </row>
    <row r="1779" spans="5:22" x14ac:dyDescent="0.2"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  <c r="S1779" s="84"/>
      <c r="T1779" s="84"/>
      <c r="U1779" s="84"/>
      <c r="V1779" s="84"/>
    </row>
    <row r="1780" spans="5:22" x14ac:dyDescent="0.2"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  <c r="S1780" s="84"/>
      <c r="T1780" s="84"/>
      <c r="U1780" s="84"/>
      <c r="V1780" s="84"/>
    </row>
    <row r="1781" spans="5:22" x14ac:dyDescent="0.2"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  <c r="S1781" s="84"/>
      <c r="T1781" s="84"/>
      <c r="U1781" s="84"/>
      <c r="V1781" s="84"/>
    </row>
    <row r="1782" spans="5:22" x14ac:dyDescent="0.2"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  <c r="S1782" s="84"/>
      <c r="T1782" s="84"/>
      <c r="U1782" s="84"/>
      <c r="V1782" s="84"/>
    </row>
    <row r="1783" spans="5:22" x14ac:dyDescent="0.2"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  <c r="S1783" s="84"/>
      <c r="T1783" s="84"/>
      <c r="U1783" s="84"/>
      <c r="V1783" s="84"/>
    </row>
    <row r="1784" spans="5:22" x14ac:dyDescent="0.2"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  <c r="S1784" s="84"/>
      <c r="T1784" s="84"/>
      <c r="U1784" s="84"/>
      <c r="V1784" s="84"/>
    </row>
    <row r="1785" spans="5:22" x14ac:dyDescent="0.2"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  <c r="S1785" s="84"/>
      <c r="T1785" s="84"/>
      <c r="U1785" s="84"/>
      <c r="V1785" s="84"/>
    </row>
    <row r="1786" spans="5:22" x14ac:dyDescent="0.2"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  <c r="S1786" s="84"/>
      <c r="T1786" s="84"/>
      <c r="U1786" s="84"/>
      <c r="V1786" s="84"/>
    </row>
    <row r="1787" spans="5:22" x14ac:dyDescent="0.2"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  <c r="S1787" s="84"/>
      <c r="T1787" s="84"/>
      <c r="U1787" s="84"/>
      <c r="V1787" s="84"/>
    </row>
    <row r="1788" spans="5:22" x14ac:dyDescent="0.2"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  <c r="S1788" s="84"/>
      <c r="T1788" s="84"/>
      <c r="U1788" s="84"/>
      <c r="V1788" s="84"/>
    </row>
    <row r="1789" spans="5:22" x14ac:dyDescent="0.2"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  <c r="S1789" s="84"/>
      <c r="T1789" s="84"/>
      <c r="U1789" s="84"/>
      <c r="V1789" s="84"/>
    </row>
    <row r="1790" spans="5:22" x14ac:dyDescent="0.2"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  <c r="S1790" s="84"/>
      <c r="T1790" s="84"/>
      <c r="U1790" s="84"/>
      <c r="V1790" s="84"/>
    </row>
    <row r="1791" spans="5:22" x14ac:dyDescent="0.2">
      <c r="E1791" s="84"/>
      <c r="F1791" s="84"/>
      <c r="G1791" s="84"/>
      <c r="H1791" s="84"/>
      <c r="I1791" s="84"/>
      <c r="J1791" s="84"/>
      <c r="K1791" s="84"/>
      <c r="L1791" s="84"/>
      <c r="M1791" s="84"/>
      <c r="N1791" s="84"/>
      <c r="O1791" s="84"/>
      <c r="P1791" s="84"/>
      <c r="Q1791" s="84"/>
      <c r="R1791" s="84"/>
      <c r="S1791" s="84"/>
      <c r="T1791" s="84"/>
      <c r="U1791" s="84"/>
      <c r="V1791" s="84"/>
    </row>
    <row r="1792" spans="5:22" x14ac:dyDescent="0.2">
      <c r="E1792" s="84"/>
      <c r="F1792" s="84"/>
      <c r="G1792" s="84"/>
      <c r="H1792" s="84"/>
      <c r="I1792" s="84"/>
      <c r="J1792" s="84"/>
      <c r="K1792" s="84"/>
      <c r="L1792" s="84"/>
      <c r="M1792" s="84"/>
      <c r="N1792" s="84"/>
      <c r="O1792" s="84"/>
      <c r="P1792" s="84"/>
      <c r="Q1792" s="84"/>
      <c r="R1792" s="84"/>
      <c r="S1792" s="84"/>
      <c r="T1792" s="84"/>
      <c r="U1792" s="84"/>
      <c r="V1792" s="84"/>
    </row>
    <row r="1793" spans="5:22" x14ac:dyDescent="0.2">
      <c r="E1793" s="84"/>
      <c r="F1793" s="84"/>
      <c r="G1793" s="84"/>
      <c r="H1793" s="84"/>
      <c r="I1793" s="84"/>
      <c r="J1793" s="84"/>
      <c r="K1793" s="84"/>
      <c r="L1793" s="84"/>
      <c r="M1793" s="84"/>
      <c r="N1793" s="84"/>
      <c r="O1793" s="84"/>
      <c r="P1793" s="84"/>
      <c r="Q1793" s="84"/>
      <c r="R1793" s="84"/>
      <c r="S1793" s="84"/>
      <c r="T1793" s="84"/>
      <c r="U1793" s="84"/>
      <c r="V1793" s="84"/>
    </row>
    <row r="1794" spans="5:22" x14ac:dyDescent="0.2">
      <c r="E1794" s="84"/>
      <c r="F1794" s="84"/>
      <c r="G1794" s="84"/>
      <c r="H1794" s="84"/>
      <c r="I1794" s="84"/>
      <c r="J1794" s="84"/>
      <c r="K1794" s="84"/>
      <c r="L1794" s="84"/>
      <c r="M1794" s="84"/>
      <c r="N1794" s="84"/>
      <c r="O1794" s="84"/>
      <c r="P1794" s="84"/>
      <c r="Q1794" s="84"/>
      <c r="R1794" s="84"/>
      <c r="S1794" s="84"/>
      <c r="T1794" s="84"/>
      <c r="U1794" s="84"/>
      <c r="V1794" s="84"/>
    </row>
    <row r="1795" spans="5:22" x14ac:dyDescent="0.2">
      <c r="E1795" s="84"/>
      <c r="F1795" s="84"/>
      <c r="G1795" s="84"/>
      <c r="H1795" s="84"/>
      <c r="I1795" s="84"/>
      <c r="J1795" s="84"/>
      <c r="K1795" s="84"/>
      <c r="L1795" s="84"/>
      <c r="M1795" s="84"/>
      <c r="N1795" s="84"/>
      <c r="O1795" s="84"/>
      <c r="P1795" s="84"/>
      <c r="Q1795" s="84"/>
      <c r="R1795" s="84"/>
      <c r="S1795" s="84"/>
      <c r="T1795" s="84"/>
      <c r="U1795" s="84"/>
      <c r="V1795" s="84"/>
    </row>
    <row r="1796" spans="5:22" x14ac:dyDescent="0.2">
      <c r="E1796" s="84"/>
      <c r="F1796" s="84"/>
      <c r="G1796" s="84"/>
      <c r="H1796" s="84"/>
      <c r="I1796" s="84"/>
      <c r="J1796" s="84"/>
      <c r="K1796" s="84"/>
      <c r="L1796" s="84"/>
      <c r="M1796" s="84"/>
      <c r="N1796" s="84"/>
      <c r="O1796" s="84"/>
      <c r="P1796" s="84"/>
      <c r="Q1796" s="84"/>
      <c r="R1796" s="84"/>
      <c r="S1796" s="84"/>
      <c r="T1796" s="84"/>
      <c r="U1796" s="84"/>
      <c r="V1796" s="84"/>
    </row>
    <row r="1797" spans="5:22" x14ac:dyDescent="0.2"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  <c r="S1797" s="84"/>
      <c r="T1797" s="84"/>
      <c r="U1797" s="84"/>
      <c r="V1797" s="84"/>
    </row>
    <row r="1798" spans="5:22" x14ac:dyDescent="0.2"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  <c r="S1798" s="84"/>
      <c r="T1798" s="84"/>
      <c r="U1798" s="84"/>
      <c r="V1798" s="84"/>
    </row>
    <row r="1799" spans="5:22" x14ac:dyDescent="0.2"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  <c r="S1799" s="84"/>
      <c r="T1799" s="84"/>
      <c r="U1799" s="84"/>
      <c r="V1799" s="84"/>
    </row>
    <row r="1800" spans="5:22" x14ac:dyDescent="0.2"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  <c r="S1800" s="84"/>
      <c r="T1800" s="84"/>
      <c r="U1800" s="84"/>
      <c r="V1800" s="84"/>
    </row>
    <row r="1801" spans="5:22" x14ac:dyDescent="0.2"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  <c r="S1801" s="84"/>
      <c r="T1801" s="84"/>
      <c r="U1801" s="84"/>
      <c r="V1801" s="84"/>
    </row>
    <row r="1802" spans="5:22" x14ac:dyDescent="0.2"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  <c r="S1802" s="84"/>
      <c r="T1802" s="84"/>
      <c r="U1802" s="84"/>
      <c r="V1802" s="84"/>
    </row>
    <row r="1803" spans="5:22" x14ac:dyDescent="0.2"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  <c r="S1803" s="84"/>
      <c r="T1803" s="84"/>
      <c r="U1803" s="84"/>
      <c r="V1803" s="84"/>
    </row>
    <row r="1804" spans="5:22" x14ac:dyDescent="0.2"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  <c r="S1804" s="84"/>
      <c r="T1804" s="84"/>
      <c r="U1804" s="84"/>
      <c r="V1804" s="84"/>
    </row>
    <row r="1805" spans="5:22" x14ac:dyDescent="0.2"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  <c r="S1805" s="84"/>
      <c r="T1805" s="84"/>
      <c r="U1805" s="84"/>
      <c r="V1805" s="84"/>
    </row>
    <row r="1806" spans="5:22" x14ac:dyDescent="0.2"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  <c r="S1806" s="84"/>
      <c r="T1806" s="84"/>
      <c r="U1806" s="84"/>
      <c r="V1806" s="84"/>
    </row>
    <row r="1807" spans="5:22" x14ac:dyDescent="0.2"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  <c r="S1807" s="84"/>
      <c r="T1807" s="84"/>
      <c r="U1807" s="84"/>
      <c r="V1807" s="84"/>
    </row>
    <row r="1808" spans="5:22" x14ac:dyDescent="0.2"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  <c r="S1808" s="84"/>
      <c r="T1808" s="84"/>
      <c r="U1808" s="84"/>
      <c r="V1808" s="84"/>
    </row>
    <row r="1809" spans="5:22" x14ac:dyDescent="0.2"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  <c r="S1809" s="84"/>
      <c r="T1809" s="84"/>
      <c r="U1809" s="84"/>
      <c r="V1809" s="84"/>
    </row>
    <row r="1810" spans="5:22" x14ac:dyDescent="0.2"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  <c r="S1810" s="84"/>
      <c r="T1810" s="84"/>
      <c r="U1810" s="84"/>
      <c r="V1810" s="84"/>
    </row>
    <row r="1811" spans="5:22" x14ac:dyDescent="0.2"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  <c r="S1811" s="84"/>
      <c r="T1811" s="84"/>
      <c r="U1811" s="84"/>
      <c r="V1811" s="84"/>
    </row>
    <row r="1812" spans="5:22" x14ac:dyDescent="0.2"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  <c r="S1812" s="84"/>
      <c r="T1812" s="84"/>
      <c r="U1812" s="84"/>
      <c r="V1812" s="84"/>
    </row>
    <row r="1813" spans="5:22" x14ac:dyDescent="0.2"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  <c r="S1813" s="84"/>
      <c r="T1813" s="84"/>
      <c r="U1813" s="84"/>
      <c r="V1813" s="84"/>
    </row>
    <row r="1814" spans="5:22" x14ac:dyDescent="0.2"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  <c r="S1814" s="84"/>
      <c r="T1814" s="84"/>
      <c r="U1814" s="84"/>
      <c r="V1814" s="84"/>
    </row>
    <row r="1815" spans="5:22" x14ac:dyDescent="0.2"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  <c r="S1815" s="84"/>
      <c r="T1815" s="84"/>
      <c r="U1815" s="84"/>
      <c r="V1815" s="84"/>
    </row>
    <row r="1816" spans="5:22" x14ac:dyDescent="0.2"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  <c r="S1816" s="84"/>
      <c r="T1816" s="84"/>
      <c r="U1816" s="84"/>
      <c r="V1816" s="84"/>
    </row>
    <row r="1817" spans="5:22" x14ac:dyDescent="0.2"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  <c r="S1817" s="84"/>
      <c r="T1817" s="84"/>
      <c r="U1817" s="84"/>
      <c r="V1817" s="84"/>
    </row>
    <row r="1818" spans="5:22" x14ac:dyDescent="0.2"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  <c r="S1818" s="84"/>
      <c r="T1818" s="84"/>
      <c r="U1818" s="84"/>
      <c r="V1818" s="84"/>
    </row>
    <row r="1819" spans="5:22" x14ac:dyDescent="0.2"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  <c r="S1819" s="84"/>
      <c r="T1819" s="84"/>
      <c r="U1819" s="84"/>
      <c r="V1819" s="84"/>
    </row>
    <row r="1820" spans="5:22" x14ac:dyDescent="0.2">
      <c r="E1820" s="84"/>
      <c r="F1820" s="84"/>
      <c r="G1820" s="84"/>
      <c r="H1820" s="84"/>
      <c r="I1820" s="84"/>
      <c r="J1820" s="84"/>
      <c r="K1820" s="84"/>
      <c r="L1820" s="84"/>
      <c r="M1820" s="84"/>
      <c r="N1820" s="84"/>
      <c r="O1820" s="84"/>
      <c r="P1820" s="84"/>
      <c r="Q1820" s="84"/>
      <c r="R1820" s="84"/>
      <c r="S1820" s="84"/>
      <c r="T1820" s="84"/>
      <c r="U1820" s="84"/>
      <c r="V1820" s="84"/>
    </row>
    <row r="1821" spans="5:22" x14ac:dyDescent="0.2">
      <c r="E1821" s="84"/>
      <c r="F1821" s="84"/>
      <c r="G1821" s="84"/>
      <c r="H1821" s="84"/>
      <c r="I1821" s="84"/>
      <c r="J1821" s="84"/>
      <c r="K1821" s="84"/>
      <c r="L1821" s="84"/>
      <c r="M1821" s="84"/>
      <c r="N1821" s="84"/>
      <c r="O1821" s="84"/>
      <c r="P1821" s="84"/>
      <c r="Q1821" s="84"/>
      <c r="R1821" s="84"/>
      <c r="S1821" s="84"/>
      <c r="T1821" s="84"/>
      <c r="U1821" s="84"/>
      <c r="V1821" s="84"/>
    </row>
    <row r="1822" spans="5:22" x14ac:dyDescent="0.2">
      <c r="E1822" s="84"/>
      <c r="F1822" s="84"/>
      <c r="G1822" s="84"/>
      <c r="H1822" s="84"/>
      <c r="I1822" s="84"/>
      <c r="J1822" s="84"/>
      <c r="K1822" s="84"/>
      <c r="L1822" s="84"/>
      <c r="M1822" s="84"/>
      <c r="N1822" s="84"/>
      <c r="O1822" s="84"/>
      <c r="P1822" s="84"/>
      <c r="Q1822" s="84"/>
      <c r="R1822" s="84"/>
      <c r="S1822" s="84"/>
      <c r="T1822" s="84"/>
      <c r="U1822" s="84"/>
      <c r="V1822" s="84"/>
    </row>
    <row r="1823" spans="5:22" x14ac:dyDescent="0.2">
      <c r="E1823" s="84"/>
      <c r="F1823" s="84"/>
      <c r="G1823" s="84"/>
      <c r="H1823" s="84"/>
      <c r="I1823" s="84"/>
      <c r="J1823" s="84"/>
      <c r="K1823" s="84"/>
      <c r="L1823" s="84"/>
      <c r="M1823" s="84"/>
      <c r="N1823" s="84"/>
      <c r="O1823" s="84"/>
      <c r="P1823" s="84"/>
      <c r="Q1823" s="84"/>
      <c r="R1823" s="84"/>
      <c r="S1823" s="84"/>
      <c r="T1823" s="84"/>
      <c r="U1823" s="84"/>
      <c r="V1823" s="84"/>
    </row>
    <row r="1824" spans="5:22" x14ac:dyDescent="0.2">
      <c r="E1824" s="84"/>
      <c r="F1824" s="84"/>
      <c r="G1824" s="84"/>
      <c r="H1824" s="84"/>
      <c r="I1824" s="84"/>
      <c r="J1824" s="84"/>
      <c r="K1824" s="84"/>
      <c r="L1824" s="84"/>
      <c r="M1824" s="84"/>
      <c r="N1824" s="84"/>
      <c r="O1824" s="84"/>
      <c r="P1824" s="84"/>
      <c r="Q1824" s="84"/>
      <c r="R1824" s="84"/>
      <c r="S1824" s="84"/>
      <c r="T1824" s="84"/>
      <c r="U1824" s="84"/>
      <c r="V1824" s="84"/>
    </row>
    <row r="1825" spans="5:22" x14ac:dyDescent="0.2">
      <c r="E1825" s="84"/>
      <c r="F1825" s="84"/>
      <c r="G1825" s="84"/>
      <c r="H1825" s="84"/>
      <c r="I1825" s="84"/>
      <c r="J1825" s="84"/>
      <c r="K1825" s="84"/>
      <c r="L1825" s="84"/>
      <c r="M1825" s="84"/>
      <c r="N1825" s="84"/>
      <c r="O1825" s="84"/>
      <c r="P1825" s="84"/>
      <c r="Q1825" s="84"/>
      <c r="R1825" s="84"/>
      <c r="S1825" s="84"/>
      <c r="T1825" s="84"/>
      <c r="U1825" s="84"/>
      <c r="V1825" s="84"/>
    </row>
    <row r="1826" spans="5:22" x14ac:dyDescent="0.2">
      <c r="E1826" s="84"/>
      <c r="F1826" s="84"/>
      <c r="G1826" s="84"/>
      <c r="H1826" s="84"/>
      <c r="I1826" s="84"/>
      <c r="J1826" s="84"/>
      <c r="K1826" s="84"/>
      <c r="L1826" s="84"/>
      <c r="M1826" s="84"/>
      <c r="N1826" s="84"/>
      <c r="O1826" s="84"/>
      <c r="P1826" s="84"/>
      <c r="Q1826" s="84"/>
      <c r="R1826" s="84"/>
      <c r="S1826" s="84"/>
      <c r="T1826" s="84"/>
      <c r="U1826" s="84"/>
      <c r="V1826" s="84"/>
    </row>
    <row r="1827" spans="5:22" x14ac:dyDescent="0.2"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  <c r="S1827" s="84"/>
      <c r="T1827" s="84"/>
      <c r="U1827" s="84"/>
      <c r="V1827" s="84"/>
    </row>
    <row r="1828" spans="5:22" x14ac:dyDescent="0.2"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  <c r="S1828" s="84"/>
      <c r="T1828" s="84"/>
      <c r="U1828" s="84"/>
      <c r="V1828" s="84"/>
    </row>
    <row r="1829" spans="5:22" x14ac:dyDescent="0.2"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  <c r="S1829" s="84"/>
      <c r="T1829" s="84"/>
      <c r="U1829" s="84"/>
      <c r="V1829" s="84"/>
    </row>
    <row r="1830" spans="5:22" x14ac:dyDescent="0.2"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  <c r="S1830" s="84"/>
      <c r="T1830" s="84"/>
      <c r="U1830" s="84"/>
      <c r="V1830" s="84"/>
    </row>
    <row r="1831" spans="5:22" x14ac:dyDescent="0.2"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  <c r="S1831" s="84"/>
      <c r="T1831" s="84"/>
      <c r="U1831" s="84"/>
      <c r="V1831" s="84"/>
    </row>
    <row r="1832" spans="5:22" x14ac:dyDescent="0.2"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  <c r="S1832" s="84"/>
      <c r="T1832" s="84"/>
      <c r="U1832" s="84"/>
      <c r="V1832" s="84"/>
    </row>
    <row r="1833" spans="5:22" x14ac:dyDescent="0.2"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  <c r="S1833" s="84"/>
      <c r="T1833" s="84"/>
      <c r="U1833" s="84"/>
      <c r="V1833" s="84"/>
    </row>
    <row r="1834" spans="5:22" x14ac:dyDescent="0.2"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  <c r="S1834" s="84"/>
      <c r="T1834" s="84"/>
      <c r="U1834" s="84"/>
      <c r="V1834" s="84"/>
    </row>
    <row r="1835" spans="5:22" x14ac:dyDescent="0.2"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  <c r="S1835" s="84"/>
      <c r="T1835" s="84"/>
      <c r="U1835" s="84"/>
      <c r="V1835" s="84"/>
    </row>
    <row r="1836" spans="5:22" x14ac:dyDescent="0.2"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  <c r="S1836" s="84"/>
      <c r="T1836" s="84"/>
      <c r="U1836" s="84"/>
      <c r="V1836" s="84"/>
    </row>
    <row r="1837" spans="5:22" x14ac:dyDescent="0.2"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  <c r="S1837" s="84"/>
      <c r="T1837" s="84"/>
      <c r="U1837" s="84"/>
      <c r="V1837" s="84"/>
    </row>
    <row r="1838" spans="5:22" x14ac:dyDescent="0.2"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  <c r="S1838" s="84"/>
      <c r="T1838" s="84"/>
      <c r="U1838" s="84"/>
      <c r="V1838" s="84"/>
    </row>
    <row r="1839" spans="5:22" x14ac:dyDescent="0.2"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  <c r="R1839" s="84"/>
      <c r="S1839" s="84"/>
      <c r="T1839" s="84"/>
      <c r="U1839" s="84"/>
      <c r="V1839" s="84"/>
    </row>
    <row r="1840" spans="5:22" x14ac:dyDescent="0.2"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  <c r="R1840" s="84"/>
      <c r="S1840" s="84"/>
      <c r="T1840" s="84"/>
      <c r="U1840" s="84"/>
      <c r="V1840" s="84"/>
    </row>
    <row r="1841" spans="5:22" x14ac:dyDescent="0.2"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  <c r="R1841" s="84"/>
      <c r="S1841" s="84"/>
      <c r="T1841" s="84"/>
      <c r="U1841" s="84"/>
      <c r="V1841" s="84"/>
    </row>
    <row r="1842" spans="5:22" x14ac:dyDescent="0.2"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  <c r="R1842" s="84"/>
      <c r="S1842" s="84"/>
      <c r="T1842" s="84"/>
      <c r="U1842" s="84"/>
      <c r="V1842" s="84"/>
    </row>
    <row r="1843" spans="5:22" x14ac:dyDescent="0.2"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  <c r="S1843" s="84"/>
      <c r="T1843" s="84"/>
      <c r="U1843" s="84"/>
      <c r="V1843" s="84"/>
    </row>
    <row r="1844" spans="5:22" x14ac:dyDescent="0.2"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  <c r="S1844" s="84"/>
      <c r="T1844" s="84"/>
      <c r="U1844" s="84"/>
      <c r="V1844" s="84"/>
    </row>
    <row r="1845" spans="5:22" x14ac:dyDescent="0.2"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  <c r="S1845" s="84"/>
      <c r="T1845" s="84"/>
      <c r="U1845" s="84"/>
      <c r="V1845" s="84"/>
    </row>
    <row r="1846" spans="5:22" x14ac:dyDescent="0.2"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  <c r="S1846" s="84"/>
      <c r="T1846" s="84"/>
      <c r="U1846" s="84"/>
      <c r="V1846" s="84"/>
    </row>
    <row r="1847" spans="5:22" x14ac:dyDescent="0.2"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  <c r="S1847" s="84"/>
      <c r="T1847" s="84"/>
      <c r="U1847" s="84"/>
      <c r="V1847" s="84"/>
    </row>
    <row r="1848" spans="5:22" x14ac:dyDescent="0.2"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  <c r="S1848" s="84"/>
      <c r="T1848" s="84"/>
      <c r="U1848" s="84"/>
      <c r="V1848" s="84"/>
    </row>
    <row r="1849" spans="5:22" x14ac:dyDescent="0.2"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  <c r="S1849" s="84"/>
      <c r="T1849" s="84"/>
      <c r="U1849" s="84"/>
      <c r="V1849" s="84"/>
    </row>
    <row r="1850" spans="5:22" x14ac:dyDescent="0.2"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  <c r="S1850" s="84"/>
      <c r="T1850" s="84"/>
      <c r="U1850" s="84"/>
      <c r="V1850" s="84"/>
    </row>
    <row r="1851" spans="5:22" x14ac:dyDescent="0.2"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  <c r="S1851" s="84"/>
      <c r="T1851" s="84"/>
      <c r="U1851" s="84"/>
      <c r="V1851" s="84"/>
    </row>
    <row r="1852" spans="5:22" x14ac:dyDescent="0.2"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  <c r="S1852" s="84"/>
      <c r="T1852" s="84"/>
      <c r="U1852" s="84"/>
      <c r="V1852" s="84"/>
    </row>
    <row r="1853" spans="5:22" x14ac:dyDescent="0.2"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  <c r="S1853" s="84"/>
      <c r="T1853" s="84"/>
      <c r="U1853" s="84"/>
      <c r="V1853" s="84"/>
    </row>
    <row r="1854" spans="5:22" x14ac:dyDescent="0.2"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  <c r="S1854" s="84"/>
      <c r="T1854" s="84"/>
      <c r="U1854" s="84"/>
      <c r="V1854" s="84"/>
    </row>
    <row r="1855" spans="5:22" x14ac:dyDescent="0.2"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  <c r="S1855" s="84"/>
      <c r="T1855" s="84"/>
      <c r="U1855" s="84"/>
      <c r="V1855" s="84"/>
    </row>
    <row r="1856" spans="5:22" x14ac:dyDescent="0.2"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  <c r="S1856" s="84"/>
      <c r="T1856" s="84"/>
      <c r="U1856" s="84"/>
      <c r="V1856" s="84"/>
    </row>
    <row r="1857" spans="5:22" x14ac:dyDescent="0.2"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  <c r="S1857" s="84"/>
      <c r="T1857" s="84"/>
      <c r="U1857" s="84"/>
      <c r="V1857" s="84"/>
    </row>
    <row r="1858" spans="5:22" x14ac:dyDescent="0.2"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  <c r="S1858" s="84"/>
      <c r="T1858" s="84"/>
      <c r="U1858" s="84"/>
      <c r="V1858" s="84"/>
    </row>
    <row r="1859" spans="5:22" x14ac:dyDescent="0.2"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  <c r="S1859" s="84"/>
      <c r="T1859" s="84"/>
      <c r="U1859" s="84"/>
      <c r="V1859" s="84"/>
    </row>
    <row r="1860" spans="5:22" x14ac:dyDescent="0.2"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  <c r="S1860" s="84"/>
      <c r="T1860" s="84"/>
      <c r="U1860" s="84"/>
      <c r="V1860" s="84"/>
    </row>
    <row r="1861" spans="5:22" x14ac:dyDescent="0.2"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  <c r="S1861" s="84"/>
      <c r="T1861" s="84"/>
      <c r="U1861" s="84"/>
      <c r="V1861" s="84"/>
    </row>
    <row r="1862" spans="5:22" x14ac:dyDescent="0.2"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  <c r="S1862" s="84"/>
      <c r="T1862" s="84"/>
      <c r="U1862" s="84"/>
      <c r="V1862" s="84"/>
    </row>
    <row r="1863" spans="5:22" x14ac:dyDescent="0.2"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  <c r="S1863" s="84"/>
      <c r="T1863" s="84"/>
      <c r="U1863" s="84"/>
      <c r="V1863" s="84"/>
    </row>
    <row r="1864" spans="5:22" x14ac:dyDescent="0.2"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  <c r="S1864" s="84"/>
      <c r="T1864" s="84"/>
      <c r="U1864" s="84"/>
      <c r="V1864" s="84"/>
    </row>
    <row r="1865" spans="5:22" x14ac:dyDescent="0.2"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  <c r="S1865" s="84"/>
      <c r="T1865" s="84"/>
      <c r="U1865" s="84"/>
      <c r="V1865" s="84"/>
    </row>
    <row r="1866" spans="5:22" x14ac:dyDescent="0.2"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  <c r="R1866" s="84"/>
      <c r="S1866" s="84"/>
      <c r="T1866" s="84"/>
      <c r="U1866" s="84"/>
      <c r="V1866" s="84"/>
    </row>
    <row r="1867" spans="5:22" x14ac:dyDescent="0.2"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  <c r="R1867" s="84"/>
      <c r="S1867" s="84"/>
      <c r="T1867" s="84"/>
      <c r="U1867" s="84"/>
      <c r="V1867" s="84"/>
    </row>
    <row r="1868" spans="5:22" x14ac:dyDescent="0.2"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  <c r="R1868" s="84"/>
      <c r="S1868" s="84"/>
      <c r="T1868" s="84"/>
      <c r="U1868" s="84"/>
      <c r="V1868" s="84"/>
    </row>
    <row r="1869" spans="5:22" x14ac:dyDescent="0.2"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  <c r="R1869" s="84"/>
      <c r="S1869" s="84"/>
      <c r="T1869" s="84"/>
      <c r="U1869" s="84"/>
      <c r="V1869" s="84"/>
    </row>
    <row r="1870" spans="5:22" x14ac:dyDescent="0.2"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  <c r="R1870" s="84"/>
      <c r="S1870" s="84"/>
      <c r="T1870" s="84"/>
      <c r="U1870" s="84"/>
      <c r="V1870" s="84"/>
    </row>
    <row r="1871" spans="5:22" x14ac:dyDescent="0.2"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  <c r="R1871" s="84"/>
      <c r="S1871" s="84"/>
      <c r="T1871" s="84"/>
      <c r="U1871" s="84"/>
      <c r="V1871" s="84"/>
    </row>
    <row r="1872" spans="5:22" x14ac:dyDescent="0.2"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  <c r="R1872" s="84"/>
      <c r="S1872" s="84"/>
      <c r="T1872" s="84"/>
      <c r="U1872" s="84"/>
      <c r="V1872" s="84"/>
    </row>
    <row r="1873" spans="5:22" x14ac:dyDescent="0.2"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  <c r="R1873" s="84"/>
      <c r="S1873" s="84"/>
      <c r="T1873" s="84"/>
      <c r="U1873" s="84"/>
      <c r="V1873" s="84"/>
    </row>
    <row r="1874" spans="5:22" x14ac:dyDescent="0.2"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  <c r="R1874" s="84"/>
      <c r="S1874" s="84"/>
      <c r="T1874" s="84"/>
      <c r="U1874" s="84"/>
      <c r="V1874" s="84"/>
    </row>
    <row r="1875" spans="5:22" x14ac:dyDescent="0.2"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  <c r="S1875" s="84"/>
      <c r="T1875" s="84"/>
      <c r="U1875" s="84"/>
      <c r="V1875" s="84"/>
    </row>
    <row r="1876" spans="5:22" x14ac:dyDescent="0.2"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  <c r="S1876" s="84"/>
      <c r="T1876" s="84"/>
      <c r="U1876" s="84"/>
      <c r="V1876" s="84"/>
    </row>
    <row r="1877" spans="5:22" x14ac:dyDescent="0.2"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  <c r="S1877" s="84"/>
      <c r="T1877" s="84"/>
      <c r="U1877" s="84"/>
      <c r="V1877" s="84"/>
    </row>
    <row r="1878" spans="5:22" x14ac:dyDescent="0.2"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  <c r="S1878" s="84"/>
      <c r="T1878" s="84"/>
      <c r="U1878" s="84"/>
      <c r="V1878" s="84"/>
    </row>
    <row r="1879" spans="5:22" x14ac:dyDescent="0.2"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  <c r="S1879" s="84"/>
      <c r="T1879" s="84"/>
      <c r="U1879" s="84"/>
      <c r="V1879" s="84"/>
    </row>
    <row r="1880" spans="5:22" x14ac:dyDescent="0.2"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  <c r="S1880" s="84"/>
      <c r="T1880" s="84"/>
      <c r="U1880" s="84"/>
      <c r="V1880" s="84"/>
    </row>
    <row r="1881" spans="5:22" x14ac:dyDescent="0.2"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  <c r="S1881" s="84"/>
      <c r="T1881" s="84"/>
      <c r="U1881" s="84"/>
      <c r="V1881" s="84"/>
    </row>
    <row r="1882" spans="5:22" x14ac:dyDescent="0.2"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  <c r="S1882" s="84"/>
      <c r="T1882" s="84"/>
      <c r="U1882" s="84"/>
      <c r="V1882" s="84"/>
    </row>
    <row r="1883" spans="5:22" x14ac:dyDescent="0.2"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  <c r="S1883" s="84"/>
      <c r="T1883" s="84"/>
      <c r="U1883" s="84"/>
      <c r="V1883" s="84"/>
    </row>
    <row r="1884" spans="5:22" x14ac:dyDescent="0.2"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  <c r="S1884" s="84"/>
      <c r="T1884" s="84"/>
      <c r="U1884" s="84"/>
      <c r="V1884" s="84"/>
    </row>
    <row r="1885" spans="5:22" x14ac:dyDescent="0.2"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  <c r="S1885" s="84"/>
      <c r="T1885" s="84"/>
      <c r="U1885" s="84"/>
      <c r="V1885" s="84"/>
    </row>
    <row r="1886" spans="5:22" x14ac:dyDescent="0.2"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  <c r="S1886" s="84"/>
      <c r="T1886" s="84"/>
      <c r="U1886" s="84"/>
      <c r="V1886" s="84"/>
    </row>
    <row r="1887" spans="5:22" x14ac:dyDescent="0.2">
      <c r="E1887" s="84"/>
      <c r="F1887" s="84"/>
      <c r="G1887" s="84"/>
      <c r="H1887" s="84"/>
      <c r="I1887" s="84"/>
      <c r="J1887" s="84"/>
      <c r="K1887" s="84"/>
      <c r="L1887" s="84"/>
      <c r="M1887" s="84"/>
      <c r="N1887" s="84"/>
      <c r="O1887" s="84"/>
      <c r="P1887" s="84"/>
      <c r="Q1887" s="84"/>
      <c r="R1887" s="84"/>
      <c r="S1887" s="84"/>
      <c r="T1887" s="84"/>
      <c r="U1887" s="84"/>
      <c r="V1887" s="84"/>
    </row>
    <row r="1888" spans="5:22" x14ac:dyDescent="0.2">
      <c r="E1888" s="84"/>
      <c r="F1888" s="84"/>
      <c r="G1888" s="84"/>
      <c r="H1888" s="84"/>
      <c r="I1888" s="84"/>
      <c r="J1888" s="84"/>
      <c r="K1888" s="84"/>
      <c r="L1888" s="84"/>
      <c r="M1888" s="84"/>
      <c r="N1888" s="84"/>
      <c r="O1888" s="84"/>
      <c r="P1888" s="84"/>
      <c r="Q1888" s="84"/>
      <c r="R1888" s="84"/>
      <c r="S1888" s="84"/>
      <c r="T1888" s="84"/>
      <c r="U1888" s="84"/>
      <c r="V1888" s="84"/>
    </row>
    <row r="1889" spans="5:22" x14ac:dyDescent="0.2"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  <c r="S1889" s="84"/>
      <c r="T1889" s="84"/>
      <c r="U1889" s="84"/>
      <c r="V1889" s="84"/>
    </row>
    <row r="1890" spans="5:22" x14ac:dyDescent="0.2"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  <c r="S1890" s="84"/>
      <c r="T1890" s="84"/>
      <c r="U1890" s="84"/>
      <c r="V1890" s="84"/>
    </row>
    <row r="1891" spans="5:22" x14ac:dyDescent="0.2"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  <c r="S1891" s="84"/>
      <c r="T1891" s="84"/>
      <c r="U1891" s="84"/>
      <c r="V1891" s="84"/>
    </row>
    <row r="1892" spans="5:22" x14ac:dyDescent="0.2"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  <c r="S1892" s="84"/>
      <c r="T1892" s="84"/>
      <c r="U1892" s="84"/>
      <c r="V1892" s="84"/>
    </row>
    <row r="1893" spans="5:22" x14ac:dyDescent="0.2"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  <c r="S1893" s="84"/>
      <c r="T1893" s="84"/>
      <c r="U1893" s="84"/>
      <c r="V1893" s="84"/>
    </row>
    <row r="1894" spans="5:22" x14ac:dyDescent="0.2"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  <c r="S1894" s="84"/>
      <c r="T1894" s="84"/>
      <c r="U1894" s="84"/>
      <c r="V1894" s="84"/>
    </row>
    <row r="1895" spans="5:22" x14ac:dyDescent="0.2"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  <c r="S1895" s="84"/>
      <c r="T1895" s="84"/>
      <c r="U1895" s="84"/>
      <c r="V1895" s="84"/>
    </row>
    <row r="1896" spans="5:22" x14ac:dyDescent="0.2"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  <c r="S1896" s="84"/>
      <c r="T1896" s="84"/>
      <c r="U1896" s="84"/>
      <c r="V1896" s="84"/>
    </row>
    <row r="1897" spans="5:22" x14ac:dyDescent="0.2"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  <c r="S1897" s="84"/>
      <c r="T1897" s="84"/>
      <c r="U1897" s="84"/>
      <c r="V1897" s="84"/>
    </row>
    <row r="1898" spans="5:22" x14ac:dyDescent="0.2"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  <c r="S1898" s="84"/>
      <c r="T1898" s="84"/>
      <c r="U1898" s="84"/>
      <c r="V1898" s="84"/>
    </row>
    <row r="1899" spans="5:22" x14ac:dyDescent="0.2"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  <c r="S1899" s="84"/>
      <c r="T1899" s="84"/>
      <c r="U1899" s="84"/>
      <c r="V1899" s="84"/>
    </row>
    <row r="1900" spans="5:22" x14ac:dyDescent="0.2"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  <c r="S1900" s="84"/>
      <c r="T1900" s="84"/>
      <c r="U1900" s="84"/>
      <c r="V1900" s="84"/>
    </row>
    <row r="1901" spans="5:22" x14ac:dyDescent="0.2"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  <c r="S1901" s="84"/>
      <c r="T1901" s="84"/>
      <c r="U1901" s="84"/>
      <c r="V1901" s="84"/>
    </row>
    <row r="1902" spans="5:22" x14ac:dyDescent="0.2"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  <c r="S1902" s="84"/>
      <c r="T1902" s="84"/>
      <c r="U1902" s="84"/>
      <c r="V1902" s="84"/>
    </row>
    <row r="1903" spans="5:22" x14ac:dyDescent="0.2"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  <c r="S1903" s="84"/>
      <c r="T1903" s="84"/>
      <c r="U1903" s="84"/>
      <c r="V1903" s="84"/>
    </row>
    <row r="1904" spans="5:22" x14ac:dyDescent="0.2"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  <c r="S1904" s="84"/>
      <c r="T1904" s="84"/>
      <c r="U1904" s="84"/>
      <c r="V1904" s="84"/>
    </row>
    <row r="1905" spans="5:22" x14ac:dyDescent="0.2"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  <c r="S1905" s="84"/>
      <c r="T1905" s="84"/>
      <c r="U1905" s="84"/>
      <c r="V1905" s="84"/>
    </row>
    <row r="1906" spans="5:22" x14ac:dyDescent="0.2"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  <c r="S1906" s="84"/>
      <c r="T1906" s="84"/>
      <c r="U1906" s="84"/>
      <c r="V1906" s="84"/>
    </row>
    <row r="1907" spans="5:22" x14ac:dyDescent="0.2"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  <c r="S1907" s="84"/>
      <c r="T1907" s="84"/>
      <c r="U1907" s="84"/>
      <c r="V1907" s="84"/>
    </row>
    <row r="1908" spans="5:22" x14ac:dyDescent="0.2"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  <c r="S1908" s="84"/>
      <c r="T1908" s="84"/>
      <c r="U1908" s="84"/>
      <c r="V1908" s="84"/>
    </row>
    <row r="1909" spans="5:22" x14ac:dyDescent="0.2"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  <c r="S1909" s="84"/>
      <c r="T1909" s="84"/>
      <c r="U1909" s="84"/>
      <c r="V1909" s="84"/>
    </row>
    <row r="1910" spans="5:22" x14ac:dyDescent="0.2"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  <c r="S1910" s="84"/>
      <c r="T1910" s="84"/>
      <c r="U1910" s="84"/>
      <c r="V1910" s="84"/>
    </row>
    <row r="1911" spans="5:22" x14ac:dyDescent="0.2"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  <c r="S1911" s="84"/>
      <c r="T1911" s="84"/>
      <c r="U1911" s="84"/>
      <c r="V1911" s="84"/>
    </row>
    <row r="1912" spans="5:22" x14ac:dyDescent="0.2">
      <c r="E1912" s="84"/>
      <c r="F1912" s="84"/>
      <c r="G1912" s="84"/>
      <c r="H1912" s="84"/>
      <c r="I1912" s="84"/>
      <c r="J1912" s="84"/>
      <c r="K1912" s="84"/>
      <c r="L1912" s="84"/>
      <c r="M1912" s="84"/>
      <c r="N1912" s="84"/>
      <c r="O1912" s="84"/>
      <c r="P1912" s="84"/>
      <c r="Q1912" s="84"/>
      <c r="R1912" s="84"/>
      <c r="S1912" s="84"/>
      <c r="T1912" s="84"/>
      <c r="U1912" s="84"/>
      <c r="V1912" s="84"/>
    </row>
    <row r="1913" spans="5:22" x14ac:dyDescent="0.2">
      <c r="E1913" s="84"/>
      <c r="F1913" s="84"/>
      <c r="G1913" s="84"/>
      <c r="H1913" s="84"/>
      <c r="I1913" s="84"/>
      <c r="J1913" s="84"/>
      <c r="K1913" s="84"/>
      <c r="L1913" s="84"/>
      <c r="M1913" s="84"/>
      <c r="N1913" s="84"/>
      <c r="O1913" s="84"/>
      <c r="P1913" s="84"/>
      <c r="Q1913" s="84"/>
      <c r="R1913" s="84"/>
      <c r="S1913" s="84"/>
      <c r="T1913" s="84"/>
      <c r="U1913" s="84"/>
      <c r="V1913" s="84"/>
    </row>
    <row r="1914" spans="5:22" x14ac:dyDescent="0.2">
      <c r="E1914" s="84"/>
      <c r="F1914" s="84"/>
      <c r="G1914" s="84"/>
      <c r="H1914" s="84"/>
      <c r="I1914" s="84"/>
      <c r="J1914" s="84"/>
      <c r="K1914" s="84"/>
      <c r="L1914" s="84"/>
      <c r="M1914" s="84"/>
      <c r="N1914" s="84"/>
      <c r="O1914" s="84"/>
      <c r="P1914" s="84"/>
      <c r="Q1914" s="84"/>
      <c r="R1914" s="84"/>
      <c r="S1914" s="84"/>
      <c r="T1914" s="84"/>
      <c r="U1914" s="84"/>
      <c r="V1914" s="84"/>
    </row>
    <row r="1915" spans="5:22" x14ac:dyDescent="0.2">
      <c r="E1915" s="84"/>
      <c r="F1915" s="84"/>
      <c r="G1915" s="84"/>
      <c r="H1915" s="84"/>
      <c r="I1915" s="84"/>
      <c r="J1915" s="84"/>
      <c r="K1915" s="84"/>
      <c r="L1915" s="84"/>
      <c r="M1915" s="84"/>
      <c r="N1915" s="84"/>
      <c r="O1915" s="84"/>
      <c r="P1915" s="84"/>
      <c r="Q1915" s="84"/>
      <c r="R1915" s="84"/>
      <c r="S1915" s="84"/>
      <c r="T1915" s="84"/>
      <c r="U1915" s="84"/>
      <c r="V1915" s="84"/>
    </row>
    <row r="1916" spans="5:22" x14ac:dyDescent="0.2">
      <c r="E1916" s="84"/>
      <c r="F1916" s="84"/>
      <c r="G1916" s="84"/>
      <c r="H1916" s="84"/>
      <c r="I1916" s="84"/>
      <c r="J1916" s="84"/>
      <c r="K1916" s="84"/>
      <c r="L1916" s="84"/>
      <c r="M1916" s="84"/>
      <c r="N1916" s="84"/>
      <c r="O1916" s="84"/>
      <c r="P1916" s="84"/>
      <c r="Q1916" s="84"/>
      <c r="R1916" s="84"/>
      <c r="S1916" s="84"/>
      <c r="T1916" s="84"/>
      <c r="U1916" s="84"/>
      <c r="V1916" s="84"/>
    </row>
    <row r="1917" spans="5:22" x14ac:dyDescent="0.2">
      <c r="E1917" s="84"/>
      <c r="F1917" s="84"/>
      <c r="G1917" s="84"/>
      <c r="H1917" s="84"/>
      <c r="I1917" s="84"/>
      <c r="J1917" s="84"/>
      <c r="K1917" s="84"/>
      <c r="L1917" s="84"/>
      <c r="M1917" s="84"/>
      <c r="N1917" s="84"/>
      <c r="O1917" s="84"/>
      <c r="P1917" s="84"/>
      <c r="Q1917" s="84"/>
      <c r="R1917" s="84"/>
      <c r="S1917" s="84"/>
      <c r="T1917" s="84"/>
      <c r="U1917" s="84"/>
      <c r="V1917" s="84"/>
    </row>
    <row r="1918" spans="5:22" x14ac:dyDescent="0.2">
      <c r="E1918" s="84"/>
      <c r="F1918" s="84"/>
      <c r="G1918" s="84"/>
      <c r="H1918" s="84"/>
      <c r="I1918" s="84"/>
      <c r="J1918" s="84"/>
      <c r="K1918" s="84"/>
      <c r="L1918" s="84"/>
      <c r="M1918" s="84"/>
      <c r="N1918" s="84"/>
      <c r="O1918" s="84"/>
      <c r="P1918" s="84"/>
      <c r="Q1918" s="84"/>
      <c r="R1918" s="84"/>
      <c r="S1918" s="84"/>
      <c r="T1918" s="84"/>
      <c r="U1918" s="84"/>
      <c r="V1918" s="84"/>
    </row>
    <row r="1919" spans="5:22" x14ac:dyDescent="0.2">
      <c r="E1919" s="84"/>
      <c r="F1919" s="84"/>
      <c r="G1919" s="84"/>
      <c r="H1919" s="84"/>
      <c r="I1919" s="84"/>
      <c r="J1919" s="84"/>
      <c r="K1919" s="84"/>
      <c r="L1919" s="84"/>
      <c r="M1919" s="84"/>
      <c r="N1919" s="84"/>
      <c r="O1919" s="84"/>
      <c r="P1919" s="84"/>
      <c r="Q1919" s="84"/>
      <c r="R1919" s="84"/>
      <c r="S1919" s="84"/>
      <c r="T1919" s="84"/>
      <c r="U1919" s="84"/>
      <c r="V1919" s="84"/>
    </row>
    <row r="1920" spans="5:22" x14ac:dyDescent="0.2">
      <c r="E1920" s="84"/>
      <c r="F1920" s="84"/>
      <c r="G1920" s="84"/>
      <c r="H1920" s="84"/>
      <c r="I1920" s="84"/>
      <c r="J1920" s="84"/>
      <c r="K1920" s="84"/>
      <c r="L1920" s="84"/>
      <c r="M1920" s="84"/>
      <c r="N1920" s="84"/>
      <c r="O1920" s="84"/>
      <c r="P1920" s="84"/>
      <c r="Q1920" s="84"/>
      <c r="R1920" s="84"/>
      <c r="S1920" s="84"/>
      <c r="T1920" s="84"/>
      <c r="U1920" s="84"/>
      <c r="V1920" s="84"/>
    </row>
    <row r="1921" spans="5:22" x14ac:dyDescent="0.2">
      <c r="E1921" s="84"/>
      <c r="F1921" s="84"/>
      <c r="G1921" s="84"/>
      <c r="H1921" s="84"/>
      <c r="I1921" s="84"/>
      <c r="J1921" s="84"/>
      <c r="K1921" s="84"/>
      <c r="L1921" s="84"/>
      <c r="M1921" s="84"/>
      <c r="N1921" s="84"/>
      <c r="O1921" s="84"/>
      <c r="P1921" s="84"/>
      <c r="Q1921" s="84"/>
      <c r="R1921" s="84"/>
      <c r="S1921" s="84"/>
      <c r="T1921" s="84"/>
      <c r="U1921" s="84"/>
      <c r="V1921" s="84"/>
    </row>
    <row r="1922" spans="5:22" x14ac:dyDescent="0.2">
      <c r="E1922" s="84"/>
      <c r="F1922" s="84"/>
      <c r="G1922" s="84"/>
      <c r="H1922" s="84"/>
      <c r="I1922" s="84"/>
      <c r="J1922" s="84"/>
      <c r="K1922" s="84"/>
      <c r="L1922" s="84"/>
      <c r="M1922" s="84"/>
      <c r="N1922" s="84"/>
      <c r="O1922" s="84"/>
      <c r="P1922" s="84"/>
      <c r="Q1922" s="84"/>
      <c r="R1922" s="84"/>
      <c r="S1922" s="84"/>
      <c r="T1922" s="84"/>
      <c r="U1922" s="84"/>
      <c r="V1922" s="84"/>
    </row>
    <row r="1923" spans="5:22" x14ac:dyDescent="0.2"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  <c r="S1923" s="84"/>
      <c r="T1923" s="84"/>
      <c r="U1923" s="84"/>
      <c r="V1923" s="84"/>
    </row>
    <row r="1924" spans="5:22" x14ac:dyDescent="0.2"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  <c r="S1924" s="84"/>
      <c r="T1924" s="84"/>
      <c r="U1924" s="84"/>
      <c r="V1924" s="84"/>
    </row>
    <row r="1925" spans="5:22" x14ac:dyDescent="0.2"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  <c r="S1925" s="84"/>
      <c r="T1925" s="84"/>
      <c r="U1925" s="84"/>
      <c r="V1925" s="84"/>
    </row>
    <row r="1926" spans="5:22" x14ac:dyDescent="0.2"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  <c r="S1926" s="84"/>
      <c r="T1926" s="84"/>
      <c r="U1926" s="84"/>
      <c r="V1926" s="84"/>
    </row>
    <row r="1927" spans="5:22" x14ac:dyDescent="0.2"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  <c r="S1927" s="84"/>
      <c r="T1927" s="84"/>
      <c r="U1927" s="84"/>
      <c r="V1927" s="84"/>
    </row>
    <row r="1928" spans="5:22" x14ac:dyDescent="0.2"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  <c r="S1928" s="84"/>
      <c r="T1928" s="84"/>
      <c r="U1928" s="84"/>
      <c r="V1928" s="84"/>
    </row>
    <row r="1929" spans="5:22" x14ac:dyDescent="0.2"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  <c r="S1929" s="84"/>
      <c r="T1929" s="84"/>
      <c r="U1929" s="84"/>
      <c r="V1929" s="84"/>
    </row>
    <row r="1930" spans="5:22" x14ac:dyDescent="0.2"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  <c r="S1930" s="84"/>
      <c r="T1930" s="84"/>
      <c r="U1930" s="84"/>
      <c r="V1930" s="84"/>
    </row>
    <row r="1931" spans="5:22" x14ac:dyDescent="0.2"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  <c r="S1931" s="84"/>
      <c r="T1931" s="84"/>
      <c r="U1931" s="84"/>
      <c r="V1931" s="84"/>
    </row>
    <row r="1932" spans="5:22" x14ac:dyDescent="0.2"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  <c r="S1932" s="84"/>
      <c r="T1932" s="84"/>
      <c r="U1932" s="84"/>
      <c r="V1932" s="84"/>
    </row>
    <row r="1933" spans="5:22" x14ac:dyDescent="0.2"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  <c r="S1933" s="84"/>
      <c r="T1933" s="84"/>
      <c r="U1933" s="84"/>
      <c r="V1933" s="84"/>
    </row>
    <row r="1934" spans="5:22" x14ac:dyDescent="0.2"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  <c r="S1934" s="84"/>
      <c r="T1934" s="84"/>
      <c r="U1934" s="84"/>
      <c r="V1934" s="84"/>
    </row>
    <row r="1935" spans="5:22" x14ac:dyDescent="0.2"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  <c r="S1935" s="84"/>
      <c r="T1935" s="84"/>
      <c r="U1935" s="84"/>
      <c r="V1935" s="84"/>
    </row>
    <row r="1936" spans="5:22" x14ac:dyDescent="0.2"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  <c r="S1936" s="84"/>
      <c r="T1936" s="84"/>
      <c r="U1936" s="84"/>
      <c r="V1936" s="84"/>
    </row>
    <row r="1937" spans="5:22" x14ac:dyDescent="0.2"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  <c r="S1937" s="84"/>
      <c r="T1937" s="84"/>
      <c r="U1937" s="84"/>
      <c r="V1937" s="84"/>
    </row>
    <row r="1938" spans="5:22" x14ac:dyDescent="0.2"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  <c r="S1938" s="84"/>
      <c r="T1938" s="84"/>
      <c r="U1938" s="84"/>
      <c r="V1938" s="84"/>
    </row>
    <row r="1939" spans="5:22" x14ac:dyDescent="0.2"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  <c r="S1939" s="84"/>
      <c r="T1939" s="84"/>
      <c r="U1939" s="84"/>
      <c r="V1939" s="84"/>
    </row>
    <row r="1940" spans="5:22" x14ac:dyDescent="0.2"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  <c r="S1940" s="84"/>
      <c r="T1940" s="84"/>
      <c r="U1940" s="84"/>
      <c r="V1940" s="84"/>
    </row>
    <row r="1941" spans="5:22" x14ac:dyDescent="0.2"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  <c r="S1941" s="84"/>
      <c r="T1941" s="84"/>
      <c r="U1941" s="84"/>
      <c r="V1941" s="84"/>
    </row>
    <row r="1942" spans="5:22" x14ac:dyDescent="0.2"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  <c r="S1942" s="84"/>
      <c r="T1942" s="84"/>
      <c r="U1942" s="84"/>
      <c r="V1942" s="84"/>
    </row>
    <row r="1943" spans="5:22" x14ac:dyDescent="0.2"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  <c r="S1943" s="84"/>
      <c r="T1943" s="84"/>
      <c r="U1943" s="84"/>
      <c r="V1943" s="84"/>
    </row>
    <row r="1944" spans="5:22" x14ac:dyDescent="0.2"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  <c r="S1944" s="84"/>
      <c r="T1944" s="84"/>
      <c r="U1944" s="84"/>
      <c r="V1944" s="84"/>
    </row>
    <row r="1945" spans="5:22" x14ac:dyDescent="0.2"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  <c r="S1945" s="84"/>
      <c r="T1945" s="84"/>
      <c r="U1945" s="84"/>
      <c r="V1945" s="84"/>
    </row>
    <row r="1946" spans="5:22" x14ac:dyDescent="0.2"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  <c r="S1946" s="84"/>
      <c r="T1946" s="84"/>
      <c r="U1946" s="84"/>
      <c r="V1946" s="84"/>
    </row>
    <row r="1947" spans="5:22" x14ac:dyDescent="0.2"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  <c r="S1947" s="84"/>
      <c r="T1947" s="84"/>
      <c r="U1947" s="84"/>
      <c r="V1947" s="84"/>
    </row>
    <row r="1948" spans="5:22" x14ac:dyDescent="0.2"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  <c r="S1948" s="84"/>
      <c r="T1948" s="84"/>
      <c r="U1948" s="84"/>
      <c r="V1948" s="84"/>
    </row>
    <row r="1949" spans="5:22" x14ac:dyDescent="0.2"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  <c r="S1949" s="84"/>
      <c r="T1949" s="84"/>
      <c r="U1949" s="84"/>
      <c r="V1949" s="84"/>
    </row>
    <row r="1950" spans="5:22" x14ac:dyDescent="0.2"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  <c r="S1950" s="84"/>
      <c r="T1950" s="84"/>
      <c r="U1950" s="84"/>
      <c r="V1950" s="84"/>
    </row>
    <row r="1951" spans="5:22" x14ac:dyDescent="0.2"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</row>
    <row r="1952" spans="5:22" x14ac:dyDescent="0.2"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  <c r="S1952" s="84"/>
      <c r="T1952" s="84"/>
      <c r="U1952" s="84"/>
      <c r="V1952" s="84"/>
    </row>
    <row r="1953" spans="5:22" x14ac:dyDescent="0.2"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  <c r="S1953" s="84"/>
      <c r="T1953" s="84"/>
      <c r="U1953" s="84"/>
      <c r="V1953" s="84"/>
    </row>
    <row r="1954" spans="5:22" x14ac:dyDescent="0.2"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  <c r="S1954" s="84"/>
      <c r="T1954" s="84"/>
      <c r="U1954" s="84"/>
      <c r="V1954" s="84"/>
    </row>
    <row r="1955" spans="5:22" x14ac:dyDescent="0.2"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  <c r="S1955" s="84"/>
      <c r="T1955" s="84"/>
      <c r="U1955" s="84"/>
      <c r="V1955" s="84"/>
    </row>
    <row r="1956" spans="5:22" x14ac:dyDescent="0.2"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  <c r="S1956" s="84"/>
      <c r="T1956" s="84"/>
      <c r="U1956" s="84"/>
      <c r="V1956" s="84"/>
    </row>
    <row r="1957" spans="5:22" x14ac:dyDescent="0.2"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  <c r="S1957" s="84"/>
      <c r="T1957" s="84"/>
      <c r="U1957" s="84"/>
      <c r="V1957" s="84"/>
    </row>
    <row r="1958" spans="5:22" x14ac:dyDescent="0.2"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  <c r="S1958" s="84"/>
      <c r="T1958" s="84"/>
      <c r="U1958" s="84"/>
      <c r="V1958" s="84"/>
    </row>
    <row r="1959" spans="5:22" x14ac:dyDescent="0.2"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  <c r="R1959" s="84"/>
      <c r="S1959" s="84"/>
      <c r="T1959" s="84"/>
      <c r="U1959" s="84"/>
      <c r="V1959" s="84"/>
    </row>
    <row r="1960" spans="5:22" x14ac:dyDescent="0.2"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  <c r="R1960" s="84"/>
      <c r="S1960" s="84"/>
      <c r="T1960" s="84"/>
      <c r="U1960" s="84"/>
      <c r="V1960" s="84"/>
    </row>
    <row r="1961" spans="5:22" x14ac:dyDescent="0.2"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  <c r="R1961" s="84"/>
      <c r="S1961" s="84"/>
      <c r="T1961" s="84"/>
      <c r="U1961" s="84"/>
      <c r="V1961" s="84"/>
    </row>
    <row r="1962" spans="5:22" x14ac:dyDescent="0.2"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  <c r="R1962" s="84"/>
      <c r="S1962" s="84"/>
      <c r="T1962" s="84"/>
      <c r="U1962" s="84"/>
      <c r="V1962" s="84"/>
    </row>
    <row r="1963" spans="5:22" x14ac:dyDescent="0.2"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  <c r="R1963" s="84"/>
      <c r="S1963" s="84"/>
      <c r="T1963" s="84"/>
      <c r="U1963" s="84"/>
      <c r="V1963" s="84"/>
    </row>
    <row r="1964" spans="5:22" x14ac:dyDescent="0.2"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  <c r="R1964" s="84"/>
      <c r="S1964" s="84"/>
      <c r="T1964" s="84"/>
      <c r="U1964" s="84"/>
      <c r="V1964" s="84"/>
    </row>
    <row r="1965" spans="5:22" x14ac:dyDescent="0.2"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  <c r="R1965" s="84"/>
      <c r="S1965" s="84"/>
      <c r="T1965" s="84"/>
      <c r="U1965" s="84"/>
      <c r="V1965" s="84"/>
    </row>
    <row r="1966" spans="5:22" x14ac:dyDescent="0.2"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  <c r="R1966" s="84"/>
      <c r="S1966" s="84"/>
      <c r="T1966" s="84"/>
      <c r="U1966" s="84"/>
      <c r="V1966" s="84"/>
    </row>
    <row r="1967" spans="5:22" x14ac:dyDescent="0.2"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  <c r="R1967" s="84"/>
      <c r="S1967" s="84"/>
      <c r="T1967" s="84"/>
      <c r="U1967" s="84"/>
      <c r="V1967" s="84"/>
    </row>
    <row r="1968" spans="5:22" x14ac:dyDescent="0.2">
      <c r="E1968" s="84"/>
      <c r="F1968" s="84"/>
      <c r="G1968" s="84"/>
      <c r="H1968" s="84"/>
      <c r="I1968" s="84"/>
      <c r="J1968" s="84"/>
      <c r="K1968" s="84"/>
      <c r="L1968" s="84"/>
      <c r="M1968" s="84"/>
      <c r="N1968" s="84"/>
      <c r="O1968" s="84"/>
      <c r="P1968" s="84"/>
      <c r="Q1968" s="84"/>
      <c r="R1968" s="84"/>
      <c r="S1968" s="84"/>
      <c r="T1968" s="84"/>
      <c r="U1968" s="84"/>
      <c r="V1968" s="84"/>
    </row>
    <row r="1969" spans="5:22" x14ac:dyDescent="0.2">
      <c r="E1969" s="84"/>
      <c r="F1969" s="84"/>
      <c r="G1969" s="84"/>
      <c r="H1969" s="84"/>
      <c r="I1969" s="84"/>
      <c r="J1969" s="84"/>
      <c r="K1969" s="84"/>
      <c r="L1969" s="84"/>
      <c r="M1969" s="84"/>
      <c r="N1969" s="84"/>
      <c r="O1969" s="84"/>
      <c r="P1969" s="84"/>
      <c r="Q1969" s="84"/>
      <c r="R1969" s="84"/>
      <c r="S1969" s="84"/>
      <c r="T1969" s="84"/>
      <c r="U1969" s="84"/>
      <c r="V1969" s="84"/>
    </row>
    <row r="1970" spans="5:22" x14ac:dyDescent="0.2">
      <c r="E1970" s="84"/>
      <c r="F1970" s="84"/>
      <c r="G1970" s="84"/>
      <c r="H1970" s="84"/>
      <c r="I1970" s="84"/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</row>
    <row r="1971" spans="5:22" x14ac:dyDescent="0.2"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</row>
    <row r="1972" spans="5:22" x14ac:dyDescent="0.2"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</row>
    <row r="1973" spans="5:22" x14ac:dyDescent="0.2"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</row>
    <row r="1974" spans="5:22" x14ac:dyDescent="0.2"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</row>
    <row r="1975" spans="5:22" x14ac:dyDescent="0.2"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</row>
    <row r="1976" spans="5:22" x14ac:dyDescent="0.2"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</row>
    <row r="1977" spans="5:22" x14ac:dyDescent="0.2"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</row>
    <row r="1978" spans="5:22" x14ac:dyDescent="0.2"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</row>
    <row r="1979" spans="5:22" x14ac:dyDescent="0.2"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</row>
  </sheetData>
  <mergeCells count="9">
    <mergeCell ref="Q5:R5"/>
    <mergeCell ref="S5:T5"/>
    <mergeCell ref="U5:V5"/>
    <mergeCell ref="E5:F5"/>
    <mergeCell ref="G5:H5"/>
    <mergeCell ref="I5:J5"/>
    <mergeCell ref="K5:L5"/>
    <mergeCell ref="M5:N5"/>
    <mergeCell ref="O5:P5"/>
  </mergeCell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6A8A-2698-427C-9A34-6DA64ACDCBCF}">
  <sheetPr codeName="Sheet19"/>
  <dimension ref="A1:W37"/>
  <sheetViews>
    <sheetView zoomScaleNormal="100" workbookViewId="0">
      <selection activeCell="D6" sqref="D6"/>
    </sheetView>
  </sheetViews>
  <sheetFormatPr defaultRowHeight="12.75" x14ac:dyDescent="0.2"/>
  <cols>
    <col min="1" max="1" width="4.28515625" customWidth="1"/>
    <col min="2" max="2" width="15.5703125" bestFit="1" customWidth="1"/>
    <col min="3" max="4" width="17" bestFit="1" customWidth="1"/>
    <col min="5" max="7" width="14.85546875" bestFit="1" customWidth="1"/>
    <col min="8" max="8" width="9.42578125" bestFit="1" customWidth="1"/>
    <col min="9" max="9" width="14.5703125" bestFit="1" customWidth="1"/>
    <col min="10" max="10" width="9.42578125" bestFit="1" customWidth="1"/>
    <col min="11" max="11" width="14.85546875" bestFit="1" customWidth="1"/>
    <col min="12" max="12" width="9.42578125" bestFit="1" customWidth="1"/>
    <col min="13" max="13" width="14.85546875" bestFit="1" customWidth="1"/>
    <col min="14" max="14" width="9.42578125" bestFit="1" customWidth="1"/>
    <col min="15" max="15" width="14.5703125" bestFit="1" customWidth="1"/>
    <col min="16" max="16" width="12.7109375" customWidth="1"/>
    <col min="17" max="17" width="9.42578125" customWidth="1"/>
    <col min="18" max="18" width="9.85546875" bestFit="1" customWidth="1"/>
    <col min="19" max="19" width="9.28515625" bestFit="1" customWidth="1"/>
    <col min="20" max="20" width="9.7109375" bestFit="1" customWidth="1"/>
    <col min="21" max="22" width="9.85546875" bestFit="1" customWidth="1"/>
  </cols>
  <sheetData>
    <row r="1" spans="1:23" x14ac:dyDescent="0.2">
      <c r="W1" t="s">
        <v>18</v>
      </c>
    </row>
    <row r="2" spans="1:23" ht="13.5" thickBot="1" x14ac:dyDescent="0.25"/>
    <row r="3" spans="1:23" ht="13.5" thickBot="1" x14ac:dyDescent="0.25">
      <c r="E3" s="19" t="s">
        <v>9</v>
      </c>
      <c r="F3" s="20"/>
      <c r="G3" s="20"/>
      <c r="H3" s="20"/>
      <c r="I3" s="20"/>
      <c r="J3" s="20"/>
      <c r="K3" s="23" t="s">
        <v>15</v>
      </c>
      <c r="L3" s="24"/>
      <c r="M3" s="24"/>
      <c r="N3" s="24"/>
      <c r="O3" s="24"/>
      <c r="P3" s="24"/>
      <c r="Q3" s="25" t="s">
        <v>5</v>
      </c>
      <c r="R3" s="26"/>
      <c r="S3" s="26"/>
      <c r="T3" s="26"/>
      <c r="U3" s="26"/>
      <c r="V3" s="26"/>
    </row>
    <row r="4" spans="1:23" x14ac:dyDescent="0.2">
      <c r="E4" s="21" t="s">
        <v>1</v>
      </c>
      <c r="F4" s="22"/>
      <c r="G4" s="21" t="s">
        <v>2</v>
      </c>
      <c r="H4" s="22"/>
      <c r="I4" s="21" t="s">
        <v>3</v>
      </c>
      <c r="J4" s="22"/>
      <c r="K4" s="21" t="s">
        <v>1</v>
      </c>
      <c r="L4" s="22"/>
      <c r="M4" s="21" t="s">
        <v>2</v>
      </c>
      <c r="N4" s="22"/>
      <c r="O4" s="21" t="s">
        <v>3</v>
      </c>
      <c r="P4" s="22"/>
      <c r="Q4" s="21" t="s">
        <v>1</v>
      </c>
      <c r="R4" s="22"/>
      <c r="S4" s="21" t="s">
        <v>2</v>
      </c>
      <c r="T4" s="22"/>
      <c r="U4" s="21" t="s">
        <v>3</v>
      </c>
      <c r="V4" s="22"/>
    </row>
    <row r="5" spans="1:23" s="27" customFormat="1" ht="9.75" thickBot="1" x14ac:dyDescent="0.2">
      <c r="E5" s="300" t="s">
        <v>213</v>
      </c>
      <c r="F5" s="300" t="s">
        <v>213</v>
      </c>
      <c r="G5" s="300" t="s">
        <v>214</v>
      </c>
      <c r="H5" s="300" t="s">
        <v>214</v>
      </c>
      <c r="I5" s="300" t="s">
        <v>215</v>
      </c>
      <c r="J5" s="300" t="s">
        <v>215</v>
      </c>
      <c r="K5" s="300" t="s">
        <v>216</v>
      </c>
      <c r="L5" s="300" t="s">
        <v>216</v>
      </c>
      <c r="M5" s="300" t="s">
        <v>217</v>
      </c>
      <c r="N5" s="300" t="s">
        <v>217</v>
      </c>
      <c r="O5" s="300" t="s">
        <v>218</v>
      </c>
      <c r="P5" s="300" t="s">
        <v>218</v>
      </c>
      <c r="Q5" s="300" t="s">
        <v>219</v>
      </c>
      <c r="R5" s="300" t="s">
        <v>219</v>
      </c>
      <c r="S5" s="300" t="s">
        <v>220</v>
      </c>
      <c r="T5" s="300" t="s">
        <v>220</v>
      </c>
      <c r="U5" s="300" t="s">
        <v>221</v>
      </c>
      <c r="V5" s="300" t="s">
        <v>221</v>
      </c>
    </row>
    <row r="6" spans="1:23" ht="13.5" thickBot="1" x14ac:dyDescent="0.25">
      <c r="E6" s="18" t="s">
        <v>10</v>
      </c>
      <c r="F6" s="17" t="s">
        <v>11</v>
      </c>
      <c r="G6" s="18" t="s">
        <v>10</v>
      </c>
      <c r="H6" s="17" t="s">
        <v>11</v>
      </c>
      <c r="I6" s="18" t="s">
        <v>10</v>
      </c>
      <c r="J6" s="17" t="s">
        <v>11</v>
      </c>
      <c r="K6" s="18" t="s">
        <v>10</v>
      </c>
      <c r="L6" s="17" t="s">
        <v>11</v>
      </c>
      <c r="M6" s="18" t="s">
        <v>10</v>
      </c>
      <c r="N6" s="17" t="s">
        <v>11</v>
      </c>
      <c r="O6" s="18" t="s">
        <v>10</v>
      </c>
      <c r="P6" s="17" t="s">
        <v>11</v>
      </c>
      <c r="Q6" s="18" t="s">
        <v>10</v>
      </c>
      <c r="R6" s="17" t="s">
        <v>11</v>
      </c>
      <c r="S6" s="18" t="s">
        <v>10</v>
      </c>
      <c r="T6" s="17" t="s">
        <v>11</v>
      </c>
      <c r="U6" s="18" t="s">
        <v>10</v>
      </c>
      <c r="V6" s="17" t="s">
        <v>11</v>
      </c>
    </row>
    <row r="7" spans="1:23" ht="13.5" thickBot="1" x14ac:dyDescent="0.25">
      <c r="A7">
        <v>1</v>
      </c>
      <c r="B7" s="28">
        <f t="shared" ref="B7:B35" si="0">+B8-1</f>
        <v>46248</v>
      </c>
      <c r="C7" s="30">
        <f t="shared" ref="C7:C37" si="1">+B7+7.5/24</f>
        <v>46248.3125</v>
      </c>
      <c r="D7" s="30">
        <f t="shared" ref="D7:D37" si="2">+B7+19.5/24</f>
        <v>46248.8125</v>
      </c>
      <c r="E7" s="29">
        <f>IF(ISNUMBER(_xll.PIArcVal(E$5,$C7, 0,"TPI","exact time"))=TRUE,_xll.PIArcVal(E$5,$C7, 0,"TPI","exact time"),"")</f>
        <v>22.587</v>
      </c>
      <c r="F7" s="9">
        <f>IF(ISNUMBER(_xll.PIArcVal(E$5,$D7, 0,"TPI","exact time"))=TRUE,_xll.PIArcVal(E$5,$D7, 0,"TPI","exact time"), "")</f>
        <v>24.972000000000001</v>
      </c>
      <c r="G7" s="29">
        <f>IF(ISNUMBER(_xll.PIArcVal(G$5,$C7, 0,"TPI","exact time"))=TRUE,_xll.PIArcVal(G$5,$C7, 0,"TPI","exact time"),"")</f>
        <v>1.877</v>
      </c>
      <c r="H7" s="9">
        <f>IF(ISNUMBER(_xll.PIArcVal(G$5,$D7, 0,"TPI","exact time"))=TRUE, _xll.PIArcVal(G$5,$D7, 0,"TPI","exact time"), "")</f>
        <v>1.639</v>
      </c>
      <c r="I7" s="29">
        <f>IF(ISNUMBER(_xll.PIArcVal(I$5,$C7, 0,"TPI","exact time"))=TRUE,_xll.PIArcVal(I$5,$C7, 0,"TPI","exact time"),"")</f>
        <v>28.57</v>
      </c>
      <c r="J7" s="9">
        <f>IF(ISNUMBER(_xll.PIArcVal(I$5,$D7, 0,"TPI","exact time"))=TRUE, _xll.PIArcVal(I$5,$D7, 0,"TPI","exact time"), "")</f>
        <v>28.59</v>
      </c>
      <c r="K7" s="29">
        <f>IF(ISNUMBER(_xll.PIArcVal(K$5,$C7, 0,"TPI","exact time"))=TRUE,_xll.PIArcVal(K$5,$C7, 0,"TPI","exact time"),"")</f>
        <v>22.686</v>
      </c>
      <c r="L7" s="9">
        <f>IF(ISNUMBER(_xll.PIArcVal(K$5,$D7, 0,"TPI","exact time"))=TRUE, _xll.PIArcVal(K$5,$D7, 0,"TPI","exact time"), "")</f>
        <v>24.474</v>
      </c>
      <c r="M7" s="29">
        <f>IF(ISNUMBER(_xll.PIArcVal(M$5,$C7, 0,"TPI","exact time"))=TRUE,_xll.PIArcVal(M$5,$C7, 0,"TPI","exact time"),"")</f>
        <v>7.3999999999999996E-2</v>
      </c>
      <c r="N7" s="9">
        <f>IF(ISNUMBER(_xll.PIArcVal(M$5,$D7, 0,"TPI","exact time"))=TRUE, _xll.PIArcVal(M$5,$D7, 0,"TPI","exact time"), "")</f>
        <v>8.1000000000000003E-2</v>
      </c>
      <c r="O7" s="29">
        <f>IF(ISNUMBER(_xll.PIArcVal(O$5,$C7, 0,"TPI","exact time"))=TRUE,_xll.PIArcVal(O$5,$C7, 0,"TPI","exact time"),"")</f>
        <v>30.11</v>
      </c>
      <c r="P7" s="9">
        <f>IF(ISNUMBER(_xll.PIArcVal(O$5,$D7, 0,"TPI","exact time"))=TRUE, _xll.PIArcVal(O$5,$D7, 0,"TPI","exact time"), "")</f>
        <v>29.68</v>
      </c>
      <c r="Q7" s="29">
        <f>IF(ISNUMBER(_xll.PIArcVal(Q$5,$C7, 0,"TPI","exact time"))=TRUE,_xll.PIArcVal(Q$5,$C7, 0,"TPI","exact time"),"")</f>
        <v>0.55300000000000005</v>
      </c>
      <c r="R7" s="9">
        <f>IF(ISNUMBER(_xll.PIArcVal(Q$5,$D7, 0,"TPI","exact time"))=TRUE, _xll.PIArcVal(Q$5,$D7, 0,"TPI","exact time"), "")</f>
        <v>0.80700000000000005</v>
      </c>
      <c r="S7" s="29">
        <f>IF(ISNUMBER(_xll.PIArcVal(S$5,$C7, 0,"TPI","exact time"))=TRUE,_xll.PIArcVal(S$5,$C7, 0,"TPI","exact time"),"")</f>
        <v>56.453000000000003</v>
      </c>
      <c r="T7" s="9">
        <f>IF(ISNUMBER(_xll.PIArcVal(S$5,$D7, 0,"TPI","exact time"))=TRUE, _xll.PIArcVal(S$5,$D7, 0,"TPI","exact time"), "")</f>
        <v>56.274999999999999</v>
      </c>
      <c r="U7" s="29">
        <f>IF(ISNUMBER(_xll.PIArcVal(U$5,$C7, 0,"TPI","exact time"))=TRUE,_xll.PIArcVal(U$5,$C7, 0,"TPI","exact time"),"")</f>
        <v>0.88900000000000001</v>
      </c>
      <c r="V7" s="9">
        <f>IF(ISNUMBER(_xll.PIArcVal(U$5,$D7, 0,"TPI","exact time"))=TRUE, _xll.PIArcVal(U$5,$D7, 0,"TPI","exact time"), "")</f>
        <v>1.075</v>
      </c>
    </row>
    <row r="8" spans="1:23" ht="13.5" thickBot="1" x14ac:dyDescent="0.25">
      <c r="A8">
        <f t="shared" ref="A8:A37" si="3">A7+1</f>
        <v>2</v>
      </c>
      <c r="B8" s="28">
        <f t="shared" si="0"/>
        <v>46249</v>
      </c>
      <c r="C8" s="30">
        <f t="shared" si="1"/>
        <v>46249.3125</v>
      </c>
      <c r="D8" s="30">
        <f t="shared" si="2"/>
        <v>46249.8125</v>
      </c>
      <c r="E8" s="29">
        <f>IF(ISNUMBER(_xll.PIArcVal(E$5,$C8, 0,"TPI","exact time"))=TRUE,_xll.PIArcVal(E$5,$C8, 0,"TPI","exact time"),"")</f>
        <v>21.212</v>
      </c>
      <c r="F8" s="9">
        <f>IF(ISNUMBER(_xll.PIArcVal(E$5,$D8, 0,"TPI","exact time"))=TRUE, _xll.PIArcVal(E$5,$D8, 0,"TPI","exact time"), "")</f>
        <v>21.707000000000001</v>
      </c>
      <c r="G8" s="29">
        <f>IF(ISNUMBER(_xll.PIArcVal(G$5,$C8, 0,"TPI","exact time"))=TRUE,_xll.PIArcVal(G$5,$C8, 0,"TPI","exact time"),"")</f>
        <v>4.1959999999999997</v>
      </c>
      <c r="H8" s="9">
        <f>IF(ISNUMBER(_xll.PIArcVal(G$5,$D8, 0,"TPI","exact time"))=TRUE, _xll.PIArcVal(G$5,$D8, 0,"TPI","exact time"), "")</f>
        <v>1.746</v>
      </c>
      <c r="I8" s="29">
        <f>IF(ISNUMBER(_xll.PIArcVal(I$5,$C8, 0,"TPI","exact time"))=TRUE,_xll.PIArcVal(I$5,$C8, 0,"TPI","exact time"),"")</f>
        <v>24.32</v>
      </c>
      <c r="J8" s="9">
        <f>IF(ISNUMBER(_xll.PIArcVal(I$5,$D8, 0,"TPI","exact time"))=TRUE, _xll.PIArcVal(I$5,$D8, 0,"TPI","exact time"), "")</f>
        <v>27.85</v>
      </c>
      <c r="K8" s="29">
        <f>IF(ISNUMBER(_xll.PIArcVal(K$5,$C8, 0,"TPI","exact time"))=TRUE,_xll.PIArcVal(K$5,$C8, 0,"TPI","exact time"),"")</f>
        <v>23.491</v>
      </c>
      <c r="L8" s="9">
        <f>IF(ISNUMBER(_xll.PIArcVal(K$5,$D8, 0,"TPI","exact time"))=TRUE, _xll.PIArcVal(K$5,$D8, 0,"TPI","exact time"), "")</f>
        <v>21.212</v>
      </c>
      <c r="M8" s="29">
        <f>IF(ISNUMBER(_xll.PIArcVal(M$5,$C8, 0,"TPI","exact time"))=TRUE,_xll.PIArcVal(M$5,$C8, 0,"TPI","exact time"),"")</f>
        <v>0.11799999999999999</v>
      </c>
      <c r="N8" s="9">
        <f>IF(ISNUMBER(_xll.PIArcVal(M$5,$D8, 0,"TPI","exact time"))=TRUE, _xll.PIArcVal(M$5,$D8, 0,"TPI","exact time"), "")</f>
        <v>8.8999999999999996E-2</v>
      </c>
      <c r="O8" s="29">
        <f>IF(ISNUMBER(_xll.PIArcVal(O$5,$C8, 0,"TPI","exact time"))=TRUE,_xll.PIArcVal(O$5,$C8, 0,"TPI","exact time"),"")</f>
        <v>27.59</v>
      </c>
      <c r="P8" s="9">
        <f>IF(ISNUMBER(_xll.PIArcVal(O$5,$D8, 0,"TPI","exact time"))=TRUE, _xll.PIArcVal(O$5,$D8, 0,"TPI","exact time"), "")</f>
        <v>30.19</v>
      </c>
      <c r="Q8" s="29">
        <f>IF(ISNUMBER(_xll.PIArcVal(Q$5,$C8, 0,"TPI","exact time"))=TRUE,_xll.PIArcVal(Q$5,$C8, 0,"TPI","exact time"),"")</f>
        <v>1.028</v>
      </c>
      <c r="R8" s="9">
        <f>IF(ISNUMBER(_xll.PIArcVal(Q$5,$D8, 0,"TPI","exact time"))=TRUE, _xll.PIArcVal(Q$5,$D8, 0,"TPI","exact time"), "")</f>
        <v>0.92100000000000004</v>
      </c>
      <c r="S8" s="29">
        <f>IF(ISNUMBER(_xll.PIArcVal(S$5,$C8, 0,"TPI","exact time"))=TRUE,_xll.PIArcVal(S$5,$C8, 0,"TPI","exact time"),"")</f>
        <v>56.585000000000001</v>
      </c>
      <c r="T8" s="9">
        <f>IF(ISNUMBER(_xll.PIArcVal(S$5,$D8, 0,"TPI","exact time"))=TRUE, _xll.PIArcVal(S$5,$D8, 0,"TPI","exact time"), "")</f>
        <v>56.829000000000001</v>
      </c>
      <c r="U8" s="29">
        <f>IF(ISNUMBER(_xll.PIArcVal(U$5,$C8, 0,"TPI","exact time"))=TRUE,_xll.PIArcVal(U$5,$C8, 0,"TPI","exact time"),"")</f>
        <v>0.96599999999999997</v>
      </c>
      <c r="V8" s="9">
        <f>IF(ISNUMBER(_xll.PIArcVal(U$5,$D8, 0,"TPI","exact time"))=TRUE, _xll.PIArcVal(U$5,$D8, 0,"TPI","exact time"), "")</f>
        <v>1.0249999999999999</v>
      </c>
    </row>
    <row r="9" spans="1:23" ht="13.5" thickBot="1" x14ac:dyDescent="0.25">
      <c r="A9">
        <f t="shared" si="3"/>
        <v>3</v>
      </c>
      <c r="B9" s="28">
        <f t="shared" si="0"/>
        <v>46250</v>
      </c>
      <c r="C9" s="30">
        <f t="shared" si="1"/>
        <v>46250.3125</v>
      </c>
      <c r="D9" s="30">
        <f t="shared" si="2"/>
        <v>46250.8125</v>
      </c>
      <c r="E9" s="29">
        <f>IF(ISNUMBER(_xll.PIArcVal(E$5,$C9, 0,"TPI","exact time"))=TRUE,_xll.PIArcVal(E$5,$C9, 0,"TPI","exact time"),"")</f>
        <v>23.045000000000002</v>
      </c>
      <c r="F9" s="9">
        <f>IF(ISNUMBER(_xll.PIArcVal(E$5,$D9, 0,"TPI","exact time"))=TRUE, _xll.PIArcVal(E$5,$D9, 0,"TPI","exact time"), "")</f>
        <v>23.134</v>
      </c>
      <c r="G9" s="29">
        <f>IF(ISNUMBER(_xll.PIArcVal(G$5,$C9, 0,"TPI","exact time"))=TRUE,_xll.PIArcVal(G$5,$C9, 0,"TPI","exact time"),"")</f>
        <v>3.2970000000000002</v>
      </c>
      <c r="H9" s="9">
        <f>IF(ISNUMBER(_xll.PIArcVal(G$5,$D9, 0,"TPI","exact time"))=TRUE, _xll.PIArcVal(G$5,$D9, 0,"TPI","exact time"), "")</f>
        <v>3.585</v>
      </c>
      <c r="I9" s="29">
        <f>IF(ISNUMBER(_xll.PIArcVal(I$5,$C9, 0,"TPI","exact time"))=TRUE,_xll.PIArcVal(I$5,$C9, 0,"TPI","exact time"),"")</f>
        <v>27.29</v>
      </c>
      <c r="J9" s="9">
        <f>IF(ISNUMBER(_xll.PIArcVal(I$5,$D9, 0,"TPI","exact time"))=TRUE, _xll.PIArcVal(I$5,$D9, 0,"TPI","exact time"), "")</f>
        <v>27.32</v>
      </c>
      <c r="K9" s="29">
        <f>IF(ISNUMBER(_xll.PIArcVal(K$5,$C9, 0,"TPI","exact time"))=TRUE,_xll.PIArcVal(K$5,$C9, 0,"TPI","exact time"),"")</f>
        <v>23.145</v>
      </c>
      <c r="L9" s="9">
        <f>IF(ISNUMBER(_xll.PIArcVal(K$5,$D9, 0,"TPI","exact time"))=TRUE, _xll.PIArcVal(K$5,$D9, 0,"TPI","exact time"), "")</f>
        <v>22.411999999999999</v>
      </c>
      <c r="M9" s="29">
        <f>IF(ISNUMBER(_xll.PIArcVal(M$5,$C9, 0,"TPI","exact time"))=TRUE,_xll.PIArcVal(M$5,$C9, 0,"TPI","exact time"),"")</f>
        <v>8.3000000000000004E-2</v>
      </c>
      <c r="N9" s="9">
        <f>IF(ISNUMBER(_xll.PIArcVal(M$5,$D9, 0,"TPI","exact time"))=TRUE, _xll.PIArcVal(M$5,$D9, 0,"TPI","exact time"), "")</f>
        <v>6.6000000000000003E-2</v>
      </c>
      <c r="O9" s="29">
        <f>IF(ISNUMBER(_xll.PIArcVal(O$5,$C9, 0,"TPI","exact time"))=TRUE,_xll.PIArcVal(O$5,$C9, 0,"TPI","exact time"),"")</f>
        <v>29.33</v>
      </c>
      <c r="P9" s="9">
        <f>IF(ISNUMBER(_xll.PIArcVal(O$5,$D9, 0,"TPI","exact time"))=TRUE, _xll.PIArcVal(O$5,$D9, 0,"TPI","exact time"), "")</f>
        <v>28.11</v>
      </c>
      <c r="Q9" s="29">
        <f>IF(ISNUMBER(_xll.PIArcVal(Q$5,$C9, 0,"TPI","exact time"))=TRUE,_xll.PIArcVal(Q$5,$C9, 0,"TPI","exact time"),"")</f>
        <v>1.0660000000000001</v>
      </c>
      <c r="R9" s="9">
        <f>IF(ISNUMBER(_xll.PIArcVal(Q$5,$D9, 0,"TPI","exact time"))=TRUE, _xll.PIArcVal(Q$5,$D9, 0,"TPI","exact time"), "")</f>
        <v>0.73399999999999999</v>
      </c>
      <c r="S9" s="29">
        <f>IF(ISNUMBER(_xll.PIArcVal(S$5,$C9, 0,"TPI","exact time"))=TRUE,_xll.PIArcVal(S$5,$C9, 0,"TPI","exact time"),"")</f>
        <v>56.305</v>
      </c>
      <c r="T9" s="9">
        <f>IF(ISNUMBER(_xll.PIArcVal(S$5,$D9, 0,"TPI","exact time"))=TRUE, _xll.PIArcVal(S$5,$D9, 0,"TPI","exact time"), "")</f>
        <v>55.981000000000002</v>
      </c>
      <c r="U9" s="29">
        <f>IF(ISNUMBER(_xll.PIArcVal(U$5,$C9, 0,"TPI","exact time"))=TRUE,_xll.PIArcVal(U$5,$C9, 0,"TPI","exact time"),"")</f>
        <v>1.073</v>
      </c>
      <c r="V9" s="9">
        <f>IF(ISNUMBER(_xll.PIArcVal(U$5,$D9, 0,"TPI","exact time"))=TRUE, _xll.PIArcVal(U$5,$D9, 0,"TPI","exact time"), "")</f>
        <v>1.206</v>
      </c>
    </row>
    <row r="10" spans="1:23" ht="13.5" thickBot="1" x14ac:dyDescent="0.25">
      <c r="A10">
        <f t="shared" si="3"/>
        <v>4</v>
      </c>
      <c r="B10" s="28">
        <f t="shared" si="0"/>
        <v>46251</v>
      </c>
      <c r="C10" s="30">
        <f t="shared" si="1"/>
        <v>46251.3125</v>
      </c>
      <c r="D10" s="30">
        <f t="shared" si="2"/>
        <v>46251.8125</v>
      </c>
      <c r="E10" s="29">
        <f>IF(ISNUMBER(_xll.PIArcVal(E$5,$C10, 0,"TPI","exact time"))=TRUE,_xll.PIArcVal(E$5,$C10, 0,"TPI","exact time"),"")</f>
        <v>20.696000000000002</v>
      </c>
      <c r="F10" s="9">
        <f>IF(ISNUMBER(_xll.PIArcVal(E$5,$D10, 0,"TPI","exact time"))=TRUE, _xll.PIArcVal(E$5,$D10, 0,"TPI","exact time"), "")</f>
        <v>24.681000000000001</v>
      </c>
      <c r="G10" s="29">
        <f>IF(ISNUMBER(_xll.PIArcVal(G$5,$C10, 0,"TPI","exact time"))=TRUE,_xll.PIArcVal(G$5,$C10, 0,"TPI","exact time"),"")</f>
        <v>2.0670000000000002</v>
      </c>
      <c r="H10" s="9">
        <f>IF(ISNUMBER(_xll.PIArcVal(G$5,$D10, 0,"TPI","exact time"))=TRUE, _xll.PIArcVal(G$5,$D10, 0,"TPI","exact time"), "")</f>
        <v>2.3029999999999999</v>
      </c>
      <c r="I10" s="29">
        <f>IF(ISNUMBER(_xll.PIArcVal(I$5,$C10, 0,"TPI","exact time"))=TRUE,_xll.PIArcVal(I$5,$C10, 0,"TPI","exact time"),"")</f>
        <v>27.38</v>
      </c>
      <c r="J10" s="9">
        <f>IF(ISNUMBER(_xll.PIArcVal(I$5,$D10, 0,"TPI","exact time"))=TRUE, _xll.PIArcVal(I$5,$D10, 0,"TPI","exact time"), "")</f>
        <v>28.45</v>
      </c>
      <c r="K10" s="29">
        <f>IF(ISNUMBER(_xll.PIArcVal(K$5,$C10, 0,"TPI","exact time"))=TRUE,_xll.PIArcVal(K$5,$C10, 0,"TPI","exact time"),"")</f>
        <v>23.283000000000001</v>
      </c>
      <c r="L10" s="9">
        <f>IF(ISNUMBER(_xll.PIArcVal(K$5,$D10, 0,"TPI","exact time"))=TRUE, _xll.PIArcVal(K$5,$D10, 0,"TPI","exact time"), "")</f>
        <v>20.567</v>
      </c>
      <c r="M10" s="29">
        <f>IF(ISNUMBER(_xll.PIArcVal(M$5,$C10, 0,"TPI","exact time"))=TRUE,_xll.PIArcVal(M$5,$C10, 0,"TPI","exact time"),"")</f>
        <v>0.11</v>
      </c>
      <c r="N10" s="9">
        <f>IF(ISNUMBER(_xll.PIArcVal(M$5,$D10, 0,"TPI","exact time"))=TRUE, _xll.PIArcVal(M$5,$D10, 0,"TPI","exact time"), "")</f>
        <v>0.04</v>
      </c>
      <c r="O10" s="29">
        <f>IF(ISNUMBER(_xll.PIArcVal(O$5,$C10, 0,"TPI","exact time"))=TRUE,_xll.PIArcVal(O$5,$C10, 0,"TPI","exact time"),"")</f>
        <v>28.11</v>
      </c>
      <c r="P10" s="9">
        <f>IF(ISNUMBER(_xll.PIArcVal(O$5,$D10, 0,"TPI","exact time"))=TRUE, _xll.PIArcVal(O$5,$D10, 0,"TPI","exact time"), "")</f>
        <v>28.27</v>
      </c>
      <c r="Q10" s="29">
        <f>IF(ISNUMBER(_xll.PIArcVal(Q$5,$C10, 0,"TPI","exact time"))=TRUE,_xll.PIArcVal(Q$5,$C10, 0,"TPI","exact time"),"")</f>
        <v>0.94599999999999995</v>
      </c>
      <c r="R10" s="9">
        <f>IF(ISNUMBER(_xll.PIArcVal(Q$5,$D10, 0,"TPI","exact time"))=TRUE, _xll.PIArcVal(Q$5,$D10, 0,"TPI","exact time"), "")</f>
        <v>1.1970000000000001</v>
      </c>
      <c r="S10" s="29">
        <f>IF(ISNUMBER(_xll.PIArcVal(S$5,$C10, 0,"TPI","exact time"))=TRUE,_xll.PIArcVal(S$5,$C10, 0,"TPI","exact time"),"")</f>
        <v>56.015999999999998</v>
      </c>
      <c r="T10" s="9">
        <f>IF(ISNUMBER(_xll.PIArcVal(S$5,$D10, 0,"TPI","exact time"))=TRUE, _xll.PIArcVal(S$5,$D10, 0,"TPI","exact time"), "")</f>
        <v>55.908000000000001</v>
      </c>
      <c r="U10" s="29">
        <f>IF(ISNUMBER(_xll.PIArcVal(U$5,$C10, 0,"TPI","exact time"))=TRUE,_xll.PIArcVal(U$5,$C10, 0,"TPI","exact time"),"")</f>
        <v>1.107</v>
      </c>
      <c r="V10" s="9">
        <f>IF(ISNUMBER(_xll.PIArcVal(U$5,$D10, 0,"TPI","exact time"))=TRUE, _xll.PIArcVal(U$5,$D10, 0,"TPI","exact time"), "")</f>
        <v>1.4350000000000001</v>
      </c>
    </row>
    <row r="11" spans="1:23" ht="13.5" thickBot="1" x14ac:dyDescent="0.25">
      <c r="A11">
        <f t="shared" si="3"/>
        <v>5</v>
      </c>
      <c r="B11" s="28">
        <f t="shared" si="0"/>
        <v>46252</v>
      </c>
      <c r="C11" s="30">
        <f t="shared" si="1"/>
        <v>46252.3125</v>
      </c>
      <c r="D11" s="30">
        <f t="shared" si="2"/>
        <v>46252.8125</v>
      </c>
      <c r="E11" s="29">
        <f>IF(ISNUMBER(_xll.PIArcVal(E$5,$C11, 0,"TPI","exact time"))=TRUE,_xll.PIArcVal(E$5,$C11, 0,"TPI","exact time"),"")</f>
        <v>22.5</v>
      </c>
      <c r="F11" s="9">
        <f>IF(ISNUMBER(_xll.PIArcVal(E$5,$D11, 0,"TPI","exact time"))=TRUE, _xll.PIArcVal(E$5,$D11, 0,"TPI","exact time"), "")</f>
        <v>24.085999999999999</v>
      </c>
      <c r="G11" s="29">
        <f>IF(ISNUMBER(_xll.PIArcVal(G$5,$C11, 0,"TPI","exact time"))=TRUE,_xll.PIArcVal(G$5,$C11, 0,"TPI","exact time"),"")</f>
        <v>2.5670000000000002</v>
      </c>
      <c r="H11" s="9">
        <f>IF(ISNUMBER(_xll.PIArcVal(G$5,$D11, 0,"TPI","exact time"))=TRUE, _xll.PIArcVal(G$5,$D11, 0,"TPI","exact time"), "")</f>
        <v>1.821</v>
      </c>
      <c r="I11" s="29">
        <f>IF(ISNUMBER(_xll.PIArcVal(I$5,$C11, 0,"TPI","exact time"))=TRUE,_xll.PIArcVal(I$5,$C11, 0,"TPI","exact time"),"")</f>
        <v>27.76</v>
      </c>
      <c r="J11" s="9">
        <f>IF(ISNUMBER(_xll.PIArcVal(I$5,$D11, 0,"TPI","exact time"))=TRUE, _xll.PIArcVal(I$5,$D11, 0,"TPI","exact time"), "")</f>
        <v>28.67</v>
      </c>
      <c r="K11" s="29">
        <f>IF(ISNUMBER(_xll.PIArcVal(K$5,$C11, 0,"TPI","exact time"))=TRUE,_xll.PIArcVal(K$5,$C11, 0,"TPI","exact time"),"")</f>
        <v>21.212</v>
      </c>
      <c r="L11" s="9">
        <f>IF(ISNUMBER(_xll.PIArcVal(K$5,$D11, 0,"TPI","exact time"))=TRUE, _xll.PIArcVal(K$5,$D11, 0,"TPI","exact time"), "")</f>
        <v>25.276</v>
      </c>
      <c r="M11" s="29">
        <f>IF(ISNUMBER(_xll.PIArcVal(M$5,$C11, 0,"TPI","exact time"))=TRUE,_xll.PIArcVal(M$5,$C11, 0,"TPI","exact time"),"")</f>
        <v>3.2000000000000001E-2</v>
      </c>
      <c r="N11" s="9">
        <f>IF(ISNUMBER(_xll.PIArcVal(M$5,$D11, 0,"TPI","exact time"))=TRUE, _xll.PIArcVal(M$5,$D11, 0,"TPI","exact time"), "")</f>
        <v>5.2999999999999999E-2</v>
      </c>
      <c r="O11" s="29">
        <f>IF(ISNUMBER(_xll.PIArcVal(O$5,$C11, 0,"TPI","exact time"))=TRUE,_xll.PIArcVal(O$5,$C11, 0,"TPI","exact time"),"")</f>
        <v>30.01</v>
      </c>
      <c r="P11" s="9">
        <f>IF(ISNUMBER(_xll.PIArcVal(O$5,$D11, 0,"TPI","exact time"))=TRUE, _xll.PIArcVal(O$5,$D11, 0,"TPI","exact time"), "")</f>
        <v>29.66</v>
      </c>
      <c r="Q11" s="29">
        <f>IF(ISNUMBER(_xll.PIArcVal(Q$5,$C11, 0,"TPI","exact time"))=TRUE,_xll.PIArcVal(Q$5,$C11, 0,"TPI","exact time"),"")</f>
        <v>0.84099999999999997</v>
      </c>
      <c r="R11" s="9">
        <f>IF(ISNUMBER(_xll.PIArcVal(Q$5,$D11, 0,"TPI","exact time"))=TRUE, _xll.PIArcVal(Q$5,$D11, 0,"TPI","exact time"), "")</f>
        <v>0.51100000000000001</v>
      </c>
      <c r="S11" s="29">
        <f>IF(ISNUMBER(_xll.PIArcVal(S$5,$C11, 0,"TPI","exact time"))=TRUE,_xll.PIArcVal(S$5,$C11, 0,"TPI","exact time"),"")</f>
        <v>55.356999999999999</v>
      </c>
      <c r="T11" s="9">
        <f>IF(ISNUMBER(_xll.PIArcVal(S$5,$D11, 0,"TPI","exact time"))=TRUE, _xll.PIArcVal(S$5,$D11, 0,"TPI","exact time"), "")</f>
        <v>57.058999999999997</v>
      </c>
      <c r="U11" s="29">
        <f>IF(ISNUMBER(_xll.PIArcVal(U$5,$C11, 0,"TPI","exact time"))=TRUE,_xll.PIArcVal(U$5,$C11, 0,"TPI","exact time"),"")</f>
        <v>1.1439999999999999</v>
      </c>
      <c r="V11" s="9">
        <f>IF(ISNUMBER(_xll.PIArcVal(U$5,$D11, 0,"TPI","exact time"))=TRUE, _xll.PIArcVal(U$5,$D11, 0,"TPI","exact time"), "")</f>
        <v>0.64800000000000002</v>
      </c>
    </row>
    <row r="12" spans="1:23" ht="13.5" thickBot="1" x14ac:dyDescent="0.25">
      <c r="A12">
        <f t="shared" si="3"/>
        <v>6</v>
      </c>
      <c r="B12" s="28">
        <f t="shared" si="0"/>
        <v>46253</v>
      </c>
      <c r="C12" s="30">
        <f t="shared" si="1"/>
        <v>46253.3125</v>
      </c>
      <c r="D12" s="30">
        <f t="shared" si="2"/>
        <v>46253.8125</v>
      </c>
      <c r="E12" s="29">
        <f>IF(ISNUMBER(_xll.PIArcVal(E$5,$C12, 0,"TPI","exact time"))=TRUE,_xll.PIArcVal(E$5,$C12, 0,"TPI","exact time"),"")</f>
        <v>22.401</v>
      </c>
      <c r="F12" s="9">
        <f>IF(ISNUMBER(_xll.PIArcVal(E$5,$D12, 0,"TPI","exact time"))=TRUE, _xll.PIArcVal(E$5,$D12, 0,"TPI","exact time"), "")</f>
        <v>22.599</v>
      </c>
      <c r="G12" s="29">
        <f>IF(ISNUMBER(_xll.PIArcVal(G$5,$C12, 0,"TPI","exact time"))=TRUE,_xll.PIArcVal(G$5,$C12, 0,"TPI","exact time"),"")</f>
        <v>0.96499999999999997</v>
      </c>
      <c r="H12" s="9">
        <f>IF(ISNUMBER(_xll.PIArcVal(G$5,$D12, 0,"TPI","exact time"))=TRUE, _xll.PIArcVal(G$5,$D12, 0,"TPI","exact time"), "")</f>
        <v>1.1180000000000001</v>
      </c>
      <c r="I12" s="29">
        <f>IF(ISNUMBER(_xll.PIArcVal(I$5,$C12, 0,"TPI","exact time"))=TRUE,_xll.PIArcVal(I$5,$C12, 0,"TPI","exact time"),"")</f>
        <v>30.71</v>
      </c>
      <c r="J12" s="9">
        <f>IF(ISNUMBER(_xll.PIArcVal(I$5,$D12, 0,"TPI","exact time"))=TRUE, _xll.PIArcVal(I$5,$D12, 0,"TPI","exact time"), "")</f>
        <v>30.82</v>
      </c>
      <c r="K12" s="29">
        <f>IF(ISNUMBER(_xll.PIArcVal(K$5,$C12, 0,"TPI","exact time"))=TRUE,_xll.PIArcVal(K$5,$C12, 0,"TPI","exact time"),"")</f>
        <v>23.591000000000001</v>
      </c>
      <c r="L12" s="9">
        <f>IF(ISNUMBER(_xll.PIArcVal(K$5,$D12, 0,"TPI","exact time"))=TRUE, _xll.PIArcVal(K$5,$D12, 0,"TPI","exact time"), "")</f>
        <v>23.491</v>
      </c>
      <c r="M12" s="29">
        <f>IF(ISNUMBER(_xll.PIArcVal(M$5,$C12, 0,"TPI","exact time"))=TRUE,_xll.PIArcVal(M$5,$C12, 0,"TPI","exact time"),"")</f>
        <v>2.9000000000000001E-2</v>
      </c>
      <c r="N12" s="9">
        <f>IF(ISNUMBER(_xll.PIArcVal(M$5,$D12, 0,"TPI","exact time"))=TRUE, _xll.PIArcVal(M$5,$D12, 0,"TPI","exact time"), "")</f>
        <v>5.0999999999999997E-2</v>
      </c>
      <c r="O12" s="29">
        <f>IF(ISNUMBER(_xll.PIArcVal(O$5,$C12, 0,"TPI","exact time"))=TRUE,_xll.PIArcVal(O$5,$C12, 0,"TPI","exact time"),"")</f>
        <v>30.43</v>
      </c>
      <c r="P12" s="9">
        <f>IF(ISNUMBER(_xll.PIArcVal(O$5,$D12, 0,"TPI","exact time"))=TRUE, _xll.PIArcVal(O$5,$D12, 0,"TPI","exact time"), "")</f>
        <v>31.43</v>
      </c>
      <c r="Q12" s="29">
        <f>IF(ISNUMBER(_xll.PIArcVal(Q$5,$C12, 0,"TPI","exact time"))=TRUE,_xll.PIArcVal(Q$5,$C12, 0,"TPI","exact time"),"")</f>
        <v>0.48599999999999999</v>
      </c>
      <c r="R12" s="9">
        <f>IF(ISNUMBER(_xll.PIArcVal(Q$5,$D12, 0,"TPI","exact time"))=TRUE, _xll.PIArcVal(Q$5,$D12, 0,"TPI","exact time"), "")</f>
        <v>0.46600000000000003</v>
      </c>
      <c r="S12" s="29">
        <f>IF(ISNUMBER(_xll.PIArcVal(S$5,$C12, 0,"TPI","exact time"))=TRUE,_xll.PIArcVal(S$5,$C12, 0,"TPI","exact time"),"")</f>
        <v>57.497999999999998</v>
      </c>
      <c r="T12" s="9">
        <f>IF(ISNUMBER(_xll.PIArcVal(S$5,$D12, 0,"TPI","exact time"))=TRUE, _xll.PIArcVal(S$5,$D12, 0,"TPI","exact time"), "")</f>
        <v>57.186</v>
      </c>
      <c r="U12" s="29">
        <f>IF(ISNUMBER(_xll.PIArcVal(U$5,$C12, 0,"TPI","exact time"))=TRUE,_xll.PIArcVal(U$5,$C12, 0,"TPI","exact time"),"")</f>
        <v>0.57299999999999995</v>
      </c>
      <c r="V12" s="9">
        <f>IF(ISNUMBER(_xll.PIArcVal(U$5,$D12, 0,"TPI","exact time"))=TRUE, _xll.PIArcVal(U$5,$D12, 0,"TPI","exact time"), "")</f>
        <v>0.65</v>
      </c>
    </row>
    <row r="13" spans="1:23" ht="13.5" thickBot="1" x14ac:dyDescent="0.25">
      <c r="A13">
        <f t="shared" si="3"/>
        <v>7</v>
      </c>
      <c r="B13" s="28">
        <f t="shared" si="0"/>
        <v>46254</v>
      </c>
      <c r="C13" s="30">
        <f t="shared" si="1"/>
        <v>46254.3125</v>
      </c>
      <c r="D13" s="30">
        <f t="shared" si="2"/>
        <v>46254.8125</v>
      </c>
      <c r="E13" s="29">
        <f>IF(ISNUMBER(_xll.PIArcVal(E$5,$C13, 0,"TPI","exact time"))=TRUE,_xll.PIArcVal(E$5,$C13, 0,"TPI","exact time"),"")</f>
        <v>21.242999999999999</v>
      </c>
      <c r="F13" s="9">
        <f>IF(ISNUMBER(_xll.PIArcVal(E$5,$D13, 0,"TPI","exact time"))=TRUE, _xll.PIArcVal(E$5,$D13, 0,"TPI","exact time"), "")</f>
        <v>23.193999999999999</v>
      </c>
      <c r="G13" s="29">
        <f>IF(ISNUMBER(_xll.PIArcVal(G$5,$C13, 0,"TPI","exact time"))=TRUE,_xll.PIArcVal(G$5,$C13, 0,"TPI","exact time"),"")</f>
        <v>1.2949999999999999</v>
      </c>
      <c r="H13" s="9">
        <f>IF(ISNUMBER(_xll.PIArcVal(G$5,$D13, 0,"TPI","exact time"))=TRUE, _xll.PIArcVal(G$5,$D13, 0,"TPI","exact time"), "")</f>
        <v>1.2709999999999999</v>
      </c>
      <c r="I13" s="29">
        <f>IF(ISNUMBER(_xll.PIArcVal(I$5,$C13, 0,"TPI","exact time"))=TRUE,_xll.PIArcVal(I$5,$C13, 0,"TPI","exact time"),"")</f>
        <v>29.01</v>
      </c>
      <c r="J13" s="9">
        <f>IF(ISNUMBER(_xll.PIArcVal(I$5,$D13, 0,"TPI","exact time"))=TRUE, _xll.PIArcVal(I$5,$D13, 0,"TPI","exact time"), "")</f>
        <v>28.32</v>
      </c>
      <c r="K13" s="29">
        <f>IF(ISNUMBER(_xll.PIArcVal(K$5,$C13, 0,"TPI","exact time"))=TRUE,_xll.PIArcVal(K$5,$C13, 0,"TPI","exact time"),"")</f>
        <v>22.138999999999999</v>
      </c>
      <c r="L13" s="9">
        <f>IF(ISNUMBER(_xll.PIArcVal(K$5,$D13, 0,"TPI","exact time"))=TRUE, _xll.PIArcVal(K$5,$D13, 0,"TPI","exact time"), "")</f>
        <v>23.69</v>
      </c>
      <c r="M13" s="29">
        <f>IF(ISNUMBER(_xll.PIArcVal(M$5,$C13, 0,"TPI","exact time"))=TRUE,_xll.PIArcVal(M$5,$C13, 0,"TPI","exact time"),"")</f>
        <v>4.3999999999999997E-2</v>
      </c>
      <c r="N13" s="9">
        <f>IF(ISNUMBER(_xll.PIArcVal(M$5,$D13, 0,"TPI","exact time"))=TRUE, _xll.PIArcVal(M$5,$D13, 0,"TPI","exact time"), "")</f>
        <v>4.2000000000000003E-2</v>
      </c>
      <c r="O13" s="29">
        <f>IF(ISNUMBER(_xll.PIArcVal(O$5,$C13, 0,"TPI","exact time"))=TRUE,_xll.PIArcVal(O$5,$C13, 0,"TPI","exact time"),"")</f>
        <v>30.03</v>
      </c>
      <c r="P13" s="9">
        <f>IF(ISNUMBER(_xll.PIArcVal(O$5,$D13, 0,"TPI","exact time"))=TRUE, _xll.PIArcVal(O$5,$D13, 0,"TPI","exact time"), "")</f>
        <v>28.87</v>
      </c>
      <c r="Q13" s="29">
        <f>IF(ISNUMBER(_xll.PIArcVal(Q$5,$C13, 0,"TPI","exact time"))=TRUE,_xll.PIArcVal(Q$5,$C13, 0,"TPI","exact time"),"")</f>
        <v>0.53</v>
      </c>
      <c r="R13" s="9">
        <f>IF(ISNUMBER(_xll.PIArcVal(Q$5,$D13, 0,"TPI","exact time"))=TRUE, _xll.PIArcVal(Q$5,$D13, 0,"TPI","exact time"), "")</f>
        <v>0.79800000000000004</v>
      </c>
      <c r="S13" s="29">
        <f>IF(ISNUMBER(_xll.PIArcVal(S$5,$C13, 0,"TPI","exact time"))=TRUE,_xll.PIArcVal(S$5,$C13, 0,"TPI","exact time"),"")</f>
        <v>56.895000000000003</v>
      </c>
      <c r="T13" s="9">
        <f>IF(ISNUMBER(_xll.PIArcVal(S$5,$D13, 0,"TPI","exact time"))=TRUE, _xll.PIArcVal(S$5,$D13, 0,"TPI","exact time"), "")</f>
        <v>54.981000000000002</v>
      </c>
      <c r="U13" s="29">
        <f>IF(ISNUMBER(_xll.PIArcVal(U$5,$C13, 0,"TPI","exact time"))=TRUE,_xll.PIArcVal(U$5,$C13, 0,"TPI","exact time"),"")</f>
        <v>0.84299999999999997</v>
      </c>
      <c r="V13" s="9">
        <f>IF(ISNUMBER(_xll.PIArcVal(U$5,$D13, 0,"TPI","exact time"))=TRUE, _xll.PIArcVal(U$5,$D13, 0,"TPI","exact time"), "")</f>
        <v>2.41</v>
      </c>
    </row>
    <row r="14" spans="1:23" ht="13.5" thickBot="1" x14ac:dyDescent="0.25">
      <c r="A14">
        <f t="shared" si="3"/>
        <v>8</v>
      </c>
      <c r="B14" s="28">
        <f t="shared" si="0"/>
        <v>46255</v>
      </c>
      <c r="C14" s="30">
        <f t="shared" si="1"/>
        <v>46255.3125</v>
      </c>
      <c r="D14" s="30">
        <f t="shared" si="2"/>
        <v>46255.8125</v>
      </c>
      <c r="E14" s="29" t="str">
        <f>IF(ISNUMBER(_xll.PIArcVal(E$5,$C14, 0,"TPI","exact time"))=TRUE,_xll.PIArcVal(E$5,$C14, 0,"TPI","exact time"),"")</f>
        <v/>
      </c>
      <c r="F14" s="9">
        <f>IF(ISNUMBER(_xll.PIArcVal(E$5,$D14, 0,"TPI","exact time"))=TRUE, _xll.PIArcVal(E$5,$D14, 0,"TPI","exact time"), "")</f>
        <v>23.591000000000001</v>
      </c>
      <c r="G14" s="29" t="str">
        <f>IF(ISNUMBER(_xll.PIArcVal(G$5,$C14, 0,"TPI","exact time"))=TRUE,_xll.PIArcVal(G$5,$C14, 0,"TPI","exact time"),"")</f>
        <v/>
      </c>
      <c r="H14" s="9">
        <f>IF(ISNUMBER(_xll.PIArcVal(G$5,$D14, 0,"TPI","exact time"))=TRUE, _xll.PIArcVal(G$5,$D14, 0,"TPI","exact time"), "")</f>
        <v>1.1879999999999999</v>
      </c>
      <c r="I14" s="29" t="str">
        <f>IF(ISNUMBER(_xll.PIArcVal(I$5,$C14, 0,"TPI","exact time"))=TRUE,_xll.PIArcVal(I$5,$C14, 0,"TPI","exact time"),"")</f>
        <v/>
      </c>
      <c r="J14" s="9">
        <f>IF(ISNUMBER(_xll.PIArcVal(I$5,$D14, 0,"TPI","exact time"))=TRUE, _xll.PIArcVal(I$5,$D14, 0,"TPI","exact time"), "")</f>
        <v>29.69</v>
      </c>
      <c r="K14" s="29" t="str">
        <f>IF(ISNUMBER(_xll.PIArcVal(K$5,$C14, 0,"TPI","exact time"))=TRUE,_xll.PIArcVal(K$5,$C14, 0,"TPI","exact time"),"")</f>
        <v/>
      </c>
      <c r="L14" s="9">
        <f>IF(ISNUMBER(_xll.PIArcVal(K$5,$D14, 0,"TPI","exact time"))=TRUE, _xll.PIArcVal(K$5,$D14, 0,"TPI","exact time"), "")</f>
        <v>25.474</v>
      </c>
      <c r="M14" s="29" t="str">
        <f>IF(ISNUMBER(_xll.PIArcVal(M$5,$C14, 0,"TPI","exact time"))=TRUE,_xll.PIArcVal(M$5,$C14, 0,"TPI","exact time"),"")</f>
        <v/>
      </c>
      <c r="N14" s="9">
        <f>IF(ISNUMBER(_xll.PIArcVal(M$5,$D14, 0,"TPI","exact time"))=TRUE, _xll.PIArcVal(M$5,$D14, 0,"TPI","exact time"), "")</f>
        <v>0.05</v>
      </c>
      <c r="O14" s="29" t="str">
        <f>IF(ISNUMBER(_xll.PIArcVal(O$5,$C14, 0,"TPI","exact time"))=TRUE,_xll.PIArcVal(O$5,$C14, 0,"TPI","exact time"),"")</f>
        <v/>
      </c>
      <c r="P14" s="9">
        <f>IF(ISNUMBER(_xll.PIArcVal(O$5,$D14, 0,"TPI","exact time"))=TRUE, _xll.PIArcVal(O$5,$D14, 0,"TPI","exact time"), "")</f>
        <v>29.77</v>
      </c>
      <c r="Q14" s="29" t="str">
        <f>IF(ISNUMBER(_xll.PIArcVal(Q$5,$C14, 0,"TPI","exact time"))=TRUE,_xll.PIArcVal(Q$5,$C14, 0,"TPI","exact time"),"")</f>
        <v/>
      </c>
      <c r="R14" s="9">
        <f>IF(ISNUMBER(_xll.PIArcVal(Q$5,$D14, 0,"TPI","exact time"))=TRUE, _xll.PIArcVal(Q$5,$D14, 0,"TPI","exact time"), "")</f>
        <v>0.73399999999999999</v>
      </c>
      <c r="S14" s="29" t="str">
        <f>IF(ISNUMBER(_xll.PIArcVal(S$5,$C14, 0,"TPI","exact time"))=TRUE,_xll.PIArcVal(S$5,$C14, 0,"TPI","exact time"),"")</f>
        <v/>
      </c>
      <c r="T14" s="9">
        <f>IF(ISNUMBER(_xll.PIArcVal(S$5,$D14, 0,"TPI","exact time"))=TRUE, _xll.PIArcVal(S$5,$D14, 0,"TPI","exact time"), "")</f>
        <v>55.753999999999998</v>
      </c>
      <c r="U14" s="29" t="str">
        <f>IF(ISNUMBER(_xll.PIArcVal(U$5,$C14, 0,"TPI","exact time"))=TRUE,_xll.PIArcVal(U$5,$C14, 0,"TPI","exact time"),"")</f>
        <v/>
      </c>
      <c r="V14" s="9">
        <f>IF(ISNUMBER(_xll.PIArcVal(U$5,$D14, 0,"TPI","exact time"))=TRUE, _xll.PIArcVal(U$5,$D14, 0,"TPI","exact time"), "")</f>
        <v>1.889</v>
      </c>
    </row>
    <row r="15" spans="1:23" ht="13.5" thickBot="1" x14ac:dyDescent="0.25">
      <c r="A15">
        <f t="shared" si="3"/>
        <v>9</v>
      </c>
      <c r="B15" s="28">
        <f t="shared" si="0"/>
        <v>46256</v>
      </c>
      <c r="C15" s="30">
        <f t="shared" si="1"/>
        <v>46256.3125</v>
      </c>
      <c r="D15" s="30">
        <f t="shared" si="2"/>
        <v>46256.8125</v>
      </c>
      <c r="E15" s="29">
        <f>IF(ISNUMBER(_xll.PIArcVal(E$5,$C15, 0,"TPI","exact time"))=TRUE,_xll.PIArcVal(E$5,$C15, 0,"TPI","exact time"),"")</f>
        <v>24.175000000000001</v>
      </c>
      <c r="F15" s="9">
        <f>IF(ISNUMBER(_xll.PIArcVal(E$5,$D15, 0,"TPI","exact time"))=TRUE, _xll.PIArcVal(E$5,$D15, 0,"TPI","exact time"), "")</f>
        <v>23.88</v>
      </c>
      <c r="G15" s="29">
        <f>IF(ISNUMBER(_xll.PIArcVal(G$5,$C15, 0,"TPI","exact time"))=TRUE,_xll.PIArcVal(G$5,$C15, 0,"TPI","exact time"),"")</f>
        <v>1.6910000000000001</v>
      </c>
      <c r="H15" s="9">
        <f>IF(ISNUMBER(_xll.PIArcVal(G$5,$D15, 0,"TPI","exact time"))=TRUE, _xll.PIArcVal(G$5,$D15, 0,"TPI","exact time"), "")</f>
        <v>1.782</v>
      </c>
      <c r="I15" s="29">
        <f>IF(ISNUMBER(_xll.PIArcVal(I$5,$C15, 0,"TPI","exact time"))=TRUE,_xll.PIArcVal(I$5,$C15, 0,"TPI","exact time"),"")</f>
        <v>28</v>
      </c>
      <c r="J15" s="9">
        <f>IF(ISNUMBER(_xll.PIArcVal(I$5,$D15, 0,"TPI","exact time"))=TRUE, _xll.PIArcVal(I$5,$D15, 0,"TPI","exact time"), "")</f>
        <v>27.25</v>
      </c>
      <c r="K15" s="29">
        <f>IF(ISNUMBER(_xll.PIArcVal(K$5,$C15, 0,"TPI","exact time"))=TRUE,_xll.PIArcVal(K$5,$C15, 0,"TPI","exact time"),"")</f>
        <v>23.376999999999999</v>
      </c>
      <c r="L15" s="9">
        <f>IF(ISNUMBER(_xll.PIArcVal(K$5,$D15, 0,"TPI","exact time"))=TRUE, _xll.PIArcVal(K$5,$D15, 0,"TPI","exact time"), "")</f>
        <v>22.786000000000001</v>
      </c>
      <c r="M15" s="29">
        <f>IF(ISNUMBER(_xll.PIArcVal(M$5,$C15, 0,"TPI","exact time"))=TRUE,_xll.PIArcVal(M$5,$C15, 0,"TPI","exact time"),"")</f>
        <v>6.7000000000000004E-2</v>
      </c>
      <c r="N15" s="9">
        <f>IF(ISNUMBER(_xll.PIArcVal(M$5,$D15, 0,"TPI","exact time"))=TRUE, _xll.PIArcVal(M$5,$D15, 0,"TPI","exact time"), "")</f>
        <v>0.104</v>
      </c>
      <c r="O15" s="29">
        <f>IF(ISNUMBER(_xll.PIArcVal(O$5,$C15, 0,"TPI","exact time"))=TRUE,_xll.PIArcVal(O$5,$C15, 0,"TPI","exact time"),"")</f>
        <v>28.91</v>
      </c>
      <c r="P15" s="9">
        <f>IF(ISNUMBER(_xll.PIArcVal(O$5,$D15, 0,"TPI","exact time"))=TRUE, _xll.PIArcVal(O$5,$D15, 0,"TPI","exact time"), "")</f>
        <v>28.84</v>
      </c>
      <c r="Q15" s="29" t="str">
        <f>IF(ISNUMBER(_xll.PIArcVal(Q$5,$C15, 0,"TPI","exact time"))=TRUE,_xll.PIArcVal(Q$5,$C15, 0,"TPI","exact time"),"")</f>
        <v/>
      </c>
      <c r="R15" s="9">
        <f>IF(ISNUMBER(_xll.PIArcVal(Q$5,$D15, 0,"TPI","exact time"))=TRUE, _xll.PIArcVal(Q$5,$D15, 0,"TPI","exact time"), "")</f>
        <v>2.198</v>
      </c>
      <c r="S15" s="29" t="str">
        <f>IF(ISNUMBER(_xll.PIArcVal(S$5,$C15, 0,"TPI","exact time"))=TRUE,_xll.PIArcVal(S$5,$C15, 0,"TPI","exact time"),"")</f>
        <v/>
      </c>
      <c r="T15" s="9">
        <f>IF(ISNUMBER(_xll.PIArcVal(S$5,$D15, 0,"TPI","exact time"))=TRUE, _xll.PIArcVal(S$5,$D15, 0,"TPI","exact time"), "")</f>
        <v>51.384</v>
      </c>
      <c r="U15" s="29" t="str">
        <f>IF(ISNUMBER(_xll.PIArcVal(U$5,$C15, 0,"TPI","exact time"))=TRUE,_xll.PIArcVal(U$5,$C15, 0,"TPI","exact time"),"")</f>
        <v/>
      </c>
      <c r="V15" s="9">
        <f>IF(ISNUMBER(_xll.PIArcVal(U$5,$D15, 0,"TPI","exact time"))=TRUE, _xll.PIArcVal(U$5,$D15, 0,"TPI","exact time"), "")</f>
        <v>4.452</v>
      </c>
    </row>
    <row r="16" spans="1:23" ht="13.5" thickBot="1" x14ac:dyDescent="0.25">
      <c r="A16">
        <f t="shared" si="3"/>
        <v>10</v>
      </c>
      <c r="B16" s="28">
        <f t="shared" si="0"/>
        <v>46257</v>
      </c>
      <c r="C16" s="30">
        <f t="shared" si="1"/>
        <v>46257.3125</v>
      </c>
      <c r="D16" s="30">
        <f t="shared" si="2"/>
        <v>46257.8125</v>
      </c>
      <c r="E16" s="29">
        <f>IF(ISNUMBER(_xll.PIArcVal(E$5,$C16, 0,"TPI","exact time"))=TRUE,_xll.PIArcVal(E$5,$C16, 0,"TPI","exact time"),"")</f>
        <v>21.393000000000001</v>
      </c>
      <c r="F16" s="9">
        <f>IF(ISNUMBER(_xll.PIArcVal(E$5,$D16, 0,"TPI","exact time"))=TRUE, _xll.PIArcVal(E$5,$D16, 0,"TPI","exact time"), "")</f>
        <v>21.492000000000001</v>
      </c>
      <c r="G16" s="29">
        <f>IF(ISNUMBER(_xll.PIArcVal(G$5,$C16, 0,"TPI","exact time"))=TRUE,_xll.PIArcVal(G$5,$C16, 0,"TPI","exact time"),"")</f>
        <v>1.86</v>
      </c>
      <c r="H16" s="9">
        <f>IF(ISNUMBER(_xll.PIArcVal(G$5,$D16, 0,"TPI","exact time"))=TRUE, _xll.PIArcVal(G$5,$D16, 0,"TPI","exact time"), "")</f>
        <v>3.2440000000000002</v>
      </c>
      <c r="I16" s="29">
        <f>IF(ISNUMBER(_xll.PIArcVal(I$5,$C16, 0,"TPI","exact time"))=TRUE,_xll.PIArcVal(I$5,$C16, 0,"TPI","exact time"),"")</f>
        <v>27.75</v>
      </c>
      <c r="J16" s="9">
        <f>IF(ISNUMBER(_xll.PIArcVal(I$5,$D16, 0,"TPI","exact time"))=TRUE, _xll.PIArcVal(I$5,$D16, 0,"TPI","exact time"), "")</f>
        <v>28.32</v>
      </c>
      <c r="K16" s="29">
        <f>IF(ISNUMBER(_xll.PIArcVal(K$5,$C16, 0,"TPI","exact time"))=TRUE,_xll.PIArcVal(K$5,$C16, 0,"TPI","exact time"),"")</f>
        <v>22.486999999999998</v>
      </c>
      <c r="L16" s="9">
        <f>IF(ISNUMBER(_xll.PIArcVal(K$5,$D16, 0,"TPI","exact time"))=TRUE, _xll.PIArcVal(K$5,$D16, 0,"TPI","exact time"), "")</f>
        <v>22.786000000000001</v>
      </c>
      <c r="M16" s="29">
        <f>IF(ISNUMBER(_xll.PIArcVal(M$5,$C16, 0,"TPI","exact time"))=TRUE,_xll.PIArcVal(M$5,$C16, 0,"TPI","exact time"),"")</f>
        <v>0.106</v>
      </c>
      <c r="N16" s="9">
        <f>IF(ISNUMBER(_xll.PIArcVal(M$5,$D16, 0,"TPI","exact time"))=TRUE, _xll.PIArcVal(M$5,$D16, 0,"TPI","exact time"), "")</f>
        <v>7.6999999999999999E-2</v>
      </c>
      <c r="O16" s="29">
        <f>IF(ISNUMBER(_xll.PIArcVal(O$5,$C16, 0,"TPI","exact time"))=TRUE,_xll.PIArcVal(O$5,$C16, 0,"TPI","exact time"),"")</f>
        <v>30.01</v>
      </c>
      <c r="P16" s="9">
        <f>IF(ISNUMBER(_xll.PIArcVal(O$5,$D16, 0,"TPI","exact time"))=TRUE, _xll.PIArcVal(O$5,$D16, 0,"TPI","exact time"), "")</f>
        <v>29.97</v>
      </c>
      <c r="Q16" s="29">
        <f>IF(ISNUMBER(_xll.PIArcVal(Q$5,$C16, 0,"TPI","exact time"))=TRUE,_xll.PIArcVal(Q$5,$C16, 0,"TPI","exact time"),"")</f>
        <v>0.53300000000000003</v>
      </c>
      <c r="R16" s="9">
        <f>IF(ISNUMBER(_xll.PIArcVal(Q$5,$D16, 0,"TPI","exact time"))=TRUE, _xll.PIArcVal(Q$5,$D16, 0,"TPI","exact time"), "")</f>
        <v>0.72599999999999998</v>
      </c>
      <c r="S16" s="29">
        <f>IF(ISNUMBER(_xll.PIArcVal(S$5,$C16, 0,"TPI","exact time"))=TRUE,_xll.PIArcVal(S$5,$C16, 0,"TPI","exact time"),"")</f>
        <v>57.165999999999997</v>
      </c>
      <c r="T16" s="9">
        <f>IF(ISNUMBER(_xll.PIArcVal(S$5,$D16, 0,"TPI","exact time"))=TRUE, _xll.PIArcVal(S$5,$D16, 0,"TPI","exact time"), "")</f>
        <v>56.784999999999997</v>
      </c>
      <c r="U16" s="29">
        <f>IF(ISNUMBER(_xll.PIArcVal(U$5,$C16, 0,"TPI","exact time"))=TRUE,_xll.PIArcVal(U$5,$C16, 0,"TPI","exact time"),"")</f>
        <v>0.86399999999999999</v>
      </c>
      <c r="V16" s="9">
        <f>IF(ISNUMBER(_xll.PIArcVal(U$5,$D16, 0,"TPI","exact time"))=TRUE, _xll.PIArcVal(U$5,$D16, 0,"TPI","exact time"), "")</f>
        <v>0.93100000000000005</v>
      </c>
    </row>
    <row r="17" spans="1:22" ht="13.5" thickBot="1" x14ac:dyDescent="0.25">
      <c r="A17">
        <f t="shared" si="3"/>
        <v>11</v>
      </c>
      <c r="B17" s="28">
        <f t="shared" si="0"/>
        <v>46258</v>
      </c>
      <c r="C17" s="30">
        <f t="shared" si="1"/>
        <v>46258.3125</v>
      </c>
      <c r="D17" s="30">
        <f t="shared" si="2"/>
        <v>46258.8125</v>
      </c>
      <c r="E17" s="29">
        <f>IF(ISNUMBER(_xll.PIArcVal(E$5,$C17, 0,"TPI","exact time"))=TRUE,_xll.PIArcVal(E$5,$C17, 0,"TPI","exact time"),"")</f>
        <v>21.640999999999998</v>
      </c>
      <c r="F17" s="9">
        <f>IF(ISNUMBER(_xll.PIArcVal(E$5,$D17, 0,"TPI","exact time"))=TRUE, _xll.PIArcVal(E$5,$D17, 0,"TPI","exact time"), "")</f>
        <v>22.542999999999999</v>
      </c>
      <c r="G17" s="29">
        <f>IF(ISNUMBER(_xll.PIArcVal(G$5,$C17, 0,"TPI","exact time"))=TRUE,_xll.PIArcVal(G$5,$C17, 0,"TPI","exact time"),"")</f>
        <v>2.0419999999999998</v>
      </c>
      <c r="H17" s="9">
        <f>IF(ISNUMBER(_xll.PIArcVal(G$5,$D17, 0,"TPI","exact time"))=TRUE, _xll.PIArcVal(G$5,$D17, 0,"TPI","exact time"), "")</f>
        <v>2.032</v>
      </c>
      <c r="I17" s="29">
        <f>IF(ISNUMBER(_xll.PIArcVal(I$5,$C17, 0,"TPI","exact time"))=TRUE,_xll.PIArcVal(I$5,$C17, 0,"TPI","exact time"),"")</f>
        <v>28.26</v>
      </c>
      <c r="J17" s="9">
        <f>IF(ISNUMBER(_xll.PIArcVal(I$5,$D17, 0,"TPI","exact time"))=TRUE, _xll.PIArcVal(I$5,$D17, 0,"TPI","exact time"), "")</f>
        <v>28.09</v>
      </c>
      <c r="K17" s="29">
        <f>IF(ISNUMBER(_xll.PIArcVal(K$5,$C17, 0,"TPI","exact time"))=TRUE,_xll.PIArcVal(K$5,$C17, 0,"TPI","exact time"),"")</f>
        <v>22.885000000000002</v>
      </c>
      <c r="L17" s="9">
        <f>IF(ISNUMBER(_xll.PIArcVal(K$5,$D17, 0,"TPI","exact time"))=TRUE, _xll.PIArcVal(K$5,$D17, 0,"TPI","exact time"), "")</f>
        <v>24.132000000000001</v>
      </c>
      <c r="M17" s="29">
        <f>IF(ISNUMBER(_xll.PIArcVal(M$5,$C17, 0,"TPI","exact time"))=TRUE,_xll.PIArcVal(M$5,$C17, 0,"TPI","exact time"),"")</f>
        <v>9.0999999999999998E-2</v>
      </c>
      <c r="N17" s="9">
        <f>IF(ISNUMBER(_xll.PIArcVal(M$5,$D17, 0,"TPI","exact time"))=TRUE, _xll.PIArcVal(M$5,$D17, 0,"TPI","exact time"), "")</f>
        <v>3.5000000000000003E-2</v>
      </c>
      <c r="O17" s="29">
        <f>IF(ISNUMBER(_xll.PIArcVal(O$5,$C17, 0,"TPI","exact time"))=TRUE,_xll.PIArcVal(O$5,$C17, 0,"TPI","exact time"),"")</f>
        <v>29.3</v>
      </c>
      <c r="P17" s="9">
        <f>IF(ISNUMBER(_xll.PIArcVal(O$5,$D17, 0,"TPI","exact time"))=TRUE, _xll.PIArcVal(O$5,$D17, 0,"TPI","exact time"), "")</f>
        <v>28.79</v>
      </c>
      <c r="Q17" s="29">
        <f>IF(ISNUMBER(_xll.PIArcVal(Q$5,$C17, 0,"TPI","exact time"))=TRUE,_xll.PIArcVal(Q$5,$C17, 0,"TPI","exact time"),"")</f>
        <v>0.64500000000000002</v>
      </c>
      <c r="R17" s="9">
        <f>IF(ISNUMBER(_xll.PIArcVal(Q$5,$D17, 0,"TPI","exact time"))=TRUE, _xll.PIArcVal(Q$5,$D17, 0,"TPI","exact time"), "")</f>
        <v>1.099</v>
      </c>
      <c r="S17" s="29">
        <f>IF(ISNUMBER(_xll.PIArcVal(S$5,$C17, 0,"TPI","exact time"))=TRUE,_xll.PIArcVal(S$5,$C17, 0,"TPI","exact time"),"")</f>
        <v>57.445</v>
      </c>
      <c r="T17" s="9">
        <f>IF(ISNUMBER(_xll.PIArcVal(S$5,$D17, 0,"TPI","exact time"))=TRUE, _xll.PIArcVal(S$5,$D17, 0,"TPI","exact time"), "")</f>
        <v>56.451000000000001</v>
      </c>
      <c r="U17" s="29">
        <f>IF(ISNUMBER(_xll.PIArcVal(U$5,$C17, 0,"TPI","exact time"))=TRUE,_xll.PIArcVal(U$5,$C17, 0,"TPI","exact time"),"")</f>
        <v>0.80100000000000005</v>
      </c>
      <c r="V17" s="9">
        <f>IF(ISNUMBER(_xll.PIArcVal(U$5,$D17, 0,"TPI","exact time"))=TRUE, _xll.PIArcVal(U$5,$D17, 0,"TPI","exact time"), "")</f>
        <v>1.28</v>
      </c>
    </row>
    <row r="18" spans="1:22" ht="13.5" thickBot="1" x14ac:dyDescent="0.25">
      <c r="A18">
        <f t="shared" si="3"/>
        <v>12</v>
      </c>
      <c r="B18" s="28">
        <f t="shared" si="0"/>
        <v>46259</v>
      </c>
      <c r="C18" s="30">
        <f t="shared" si="1"/>
        <v>46259.3125</v>
      </c>
      <c r="D18" s="30">
        <f t="shared" si="2"/>
        <v>46259.8125</v>
      </c>
      <c r="E18" s="29">
        <f>IF(ISNUMBER(_xll.PIArcVal(E$5,$C18, 0,"TPI","exact time"))=TRUE,_xll.PIArcVal(E$5,$C18, 0,"TPI","exact time"),"")</f>
        <v>21.724</v>
      </c>
      <c r="F18" s="9">
        <f>IF(ISNUMBER(_xll.PIArcVal(E$5,$D18, 0,"TPI","exact time"))=TRUE, _xll.PIArcVal(E$5,$D18, 0,"TPI","exact time"), "")</f>
        <v>22.189</v>
      </c>
      <c r="G18" s="29">
        <f>IF(ISNUMBER(_xll.PIArcVal(G$5,$C18, 0,"TPI","exact time"))=TRUE,_xll.PIArcVal(G$5,$C18, 0,"TPI","exact time"),"")</f>
        <v>5.9749999999999996</v>
      </c>
      <c r="H18" s="9">
        <f>IF(ISNUMBER(_xll.PIArcVal(G$5,$D18, 0,"TPI","exact time"))=TRUE, _xll.PIArcVal(G$5,$D18, 0,"TPI","exact time"), "")</f>
        <v>2.98</v>
      </c>
      <c r="I18" s="29">
        <f>IF(ISNUMBER(_xll.PIArcVal(I$5,$C18, 0,"TPI","exact time"))=TRUE,_xll.PIArcVal(I$5,$C18, 0,"TPI","exact time"),"")</f>
        <v>26.67</v>
      </c>
      <c r="J18" s="9">
        <f>IF(ISNUMBER(_xll.PIArcVal(I$5,$D18, 0,"TPI","exact time"))=TRUE, _xll.PIArcVal(I$5,$D18, 0,"TPI","exact time"), "")</f>
        <v>25.99</v>
      </c>
      <c r="K18" s="29">
        <f>IF(ISNUMBER(_xll.PIArcVal(K$5,$C18, 0,"TPI","exact time"))=TRUE,_xll.PIArcVal(K$5,$C18, 0,"TPI","exact time"),"")</f>
        <v>22.841000000000001</v>
      </c>
      <c r="L18" s="9">
        <f>IF(ISNUMBER(_xll.PIArcVal(K$5,$D18, 0,"TPI","exact time"))=TRUE, _xll.PIArcVal(K$5,$D18, 0,"TPI","exact time"), "")</f>
        <v>22.885000000000002</v>
      </c>
      <c r="M18" s="29">
        <f>IF(ISNUMBER(_xll.PIArcVal(M$5,$C18, 0,"TPI","exact time"))=TRUE,_xll.PIArcVal(M$5,$C18, 0,"TPI","exact time"),"")</f>
        <v>6.7000000000000004E-2</v>
      </c>
      <c r="N18" s="9">
        <f>IF(ISNUMBER(_xll.PIArcVal(M$5,$D18, 0,"TPI","exact time"))=TRUE, _xll.PIArcVal(M$5,$D18, 0,"TPI","exact time"), "")</f>
        <v>7.5999999999999998E-2</v>
      </c>
      <c r="O18" s="29">
        <f>IF(ISNUMBER(_xll.PIArcVal(O$5,$C18, 0,"TPI","exact time"))=TRUE,_xll.PIArcVal(O$5,$C18, 0,"TPI","exact time"),"")</f>
        <v>28.91</v>
      </c>
      <c r="P18" s="9">
        <f>IF(ISNUMBER(_xll.PIArcVal(O$5,$D18, 0,"TPI","exact time"))=TRUE, _xll.PIArcVal(O$5,$D18, 0,"TPI","exact time"), "")</f>
        <v>28.51</v>
      </c>
      <c r="Q18" s="29">
        <f>IF(ISNUMBER(_xll.PIArcVal(Q$5,$C18, 0,"TPI","exact time"))=TRUE,_xll.PIArcVal(Q$5,$C18, 0,"TPI","exact time"),"")</f>
        <v>0.92800000000000005</v>
      </c>
      <c r="R18" s="9">
        <f>IF(ISNUMBER(_xll.PIArcVal(Q$5,$D18, 0,"TPI","exact time"))=TRUE, _xll.PIArcVal(Q$5,$D18, 0,"TPI","exact time"), "")</f>
        <v>0.78200000000000003</v>
      </c>
      <c r="S18" s="29">
        <f>IF(ISNUMBER(_xll.PIArcVal(S$5,$C18, 0,"TPI","exact time"))=TRUE,_xll.PIArcVal(S$5,$C18, 0,"TPI","exact time"),"")</f>
        <v>57.02</v>
      </c>
      <c r="T18" s="9">
        <f>IF(ISNUMBER(_xll.PIArcVal(S$5,$D18, 0,"TPI","exact time"))=TRUE, _xll.PIArcVal(S$5,$D18, 0,"TPI","exact time"), "")</f>
        <v>57.246000000000002</v>
      </c>
      <c r="U18" s="29">
        <f>IF(ISNUMBER(_xll.PIArcVal(U$5,$C18, 0,"TPI","exact time"))=TRUE,_xll.PIArcVal(U$5,$C18, 0,"TPI","exact time"),"")</f>
        <v>1.0820000000000001</v>
      </c>
      <c r="V18" s="9">
        <f>IF(ISNUMBER(_xll.PIArcVal(U$5,$D18, 0,"TPI","exact time"))=TRUE, _xll.PIArcVal(U$5,$D18, 0,"TPI","exact time"), "")</f>
        <v>0.85699999999999998</v>
      </c>
    </row>
    <row r="19" spans="1:22" ht="13.5" thickBot="1" x14ac:dyDescent="0.25">
      <c r="A19">
        <f t="shared" si="3"/>
        <v>13</v>
      </c>
      <c r="B19" s="28">
        <f t="shared" si="0"/>
        <v>46260</v>
      </c>
      <c r="C19" s="30">
        <f t="shared" si="1"/>
        <v>46260.3125</v>
      </c>
      <c r="D19" s="30">
        <f t="shared" si="2"/>
        <v>46260.8125</v>
      </c>
      <c r="E19" s="29">
        <f>IF(ISNUMBER(_xll.PIArcVal(E$5,$C19, 0,"TPI","exact time"))=TRUE,_xll.PIArcVal(E$5,$C19, 0,"TPI","exact time"),"")</f>
        <v>22.251999999999999</v>
      </c>
      <c r="F19" s="9">
        <f>IF(ISNUMBER(_xll.PIArcVal(E$5,$D19, 0,"TPI","exact time"))=TRUE, _xll.PIArcVal(E$5,$D19, 0,"TPI","exact time"), "")</f>
        <v>22.593</v>
      </c>
      <c r="G19" s="29">
        <f>IF(ISNUMBER(_xll.PIArcVal(G$5,$C19, 0,"TPI","exact time"))=TRUE,_xll.PIArcVal(G$5,$C19, 0,"TPI","exact time"),"")</f>
        <v>2.2480000000000002</v>
      </c>
      <c r="H19" s="9">
        <f>IF(ISNUMBER(_xll.PIArcVal(G$5,$D19, 0,"TPI","exact time"))=TRUE, _xll.PIArcVal(G$5,$D19, 0,"TPI","exact time"), "")</f>
        <v>4.2629999999999999</v>
      </c>
      <c r="I19" s="29">
        <f>IF(ISNUMBER(_xll.PIArcVal(I$5,$C19, 0,"TPI","exact time"))=TRUE,_xll.PIArcVal(I$5,$C19, 0,"TPI","exact time"),"")</f>
        <v>27.56</v>
      </c>
      <c r="J19" s="9">
        <f>IF(ISNUMBER(_xll.PIArcVal(I$5,$D19, 0,"TPI","exact time"))=TRUE, _xll.PIArcVal(I$5,$D19, 0,"TPI","exact time"), "")</f>
        <v>25.83</v>
      </c>
      <c r="K19" s="29">
        <f>IF(ISNUMBER(_xll.PIArcVal(K$5,$C19, 0,"TPI","exact time"))=TRUE,_xll.PIArcVal(K$5,$C19, 0,"TPI","exact time"),"")</f>
        <v>23.391999999999999</v>
      </c>
      <c r="L19" s="9">
        <f>IF(ISNUMBER(_xll.PIArcVal(K$5,$D19, 0,"TPI","exact time"))=TRUE, _xll.PIArcVal(K$5,$D19, 0,"TPI","exact time"), "")</f>
        <v>23.785</v>
      </c>
      <c r="M19" s="29">
        <f>IF(ISNUMBER(_xll.PIArcVal(M$5,$C19, 0,"TPI","exact time"))=TRUE,_xll.PIArcVal(M$5,$C19, 0,"TPI","exact time"),"")</f>
        <v>4.9000000000000002E-2</v>
      </c>
      <c r="N19" s="9">
        <f>IF(ISNUMBER(_xll.PIArcVal(M$5,$D19, 0,"TPI","exact time"))=TRUE, _xll.PIArcVal(M$5,$D19, 0,"TPI","exact time"), "")</f>
        <v>8.5999999999999993E-2</v>
      </c>
      <c r="O19" s="29">
        <f>IF(ISNUMBER(_xll.PIArcVal(O$5,$C19, 0,"TPI","exact time"))=TRUE,_xll.PIArcVal(O$5,$C19, 0,"TPI","exact time"),"")</f>
        <v>28.42</v>
      </c>
      <c r="P19" s="9">
        <f>IF(ISNUMBER(_xll.PIArcVal(O$5,$D19, 0,"TPI","exact time"))=TRUE, _xll.PIArcVal(O$5,$D19, 0,"TPI","exact time"), "")</f>
        <v>29.19</v>
      </c>
      <c r="Q19" s="29">
        <f>IF(ISNUMBER(_xll.PIArcVal(Q$5,$C19, 0,"TPI","exact time"))=TRUE,_xll.PIArcVal(Q$5,$C19, 0,"TPI","exact time"),"")</f>
        <v>0.56999999999999995</v>
      </c>
      <c r="R19" s="9">
        <f>IF(ISNUMBER(_xll.PIArcVal(Q$5,$D19, 0,"TPI","exact time"))=TRUE, _xll.PIArcVal(Q$5,$D19, 0,"TPI","exact time"), "")</f>
        <v>0.53700000000000003</v>
      </c>
      <c r="S19" s="29">
        <f>IF(ISNUMBER(_xll.PIArcVal(S$5,$C19, 0,"TPI","exact time"))=TRUE,_xll.PIArcVal(S$5,$C19, 0,"TPI","exact time"),"")</f>
        <v>58.036999999999999</v>
      </c>
      <c r="T19" s="9">
        <f>IF(ISNUMBER(_xll.PIArcVal(S$5,$D19, 0,"TPI","exact time"))=TRUE, _xll.PIArcVal(S$5,$D19, 0,"TPI","exact time"), "")</f>
        <v>57.472000000000001</v>
      </c>
      <c r="U19" s="29">
        <f>IF(ISNUMBER(_xll.PIArcVal(U$5,$C19, 0,"TPI","exact time"))=TRUE,_xll.PIArcVal(U$5,$C19, 0,"TPI","exact time"),"")</f>
        <v>0.65</v>
      </c>
      <c r="V19" s="9">
        <f>IF(ISNUMBER(_xll.PIArcVal(U$5,$D19, 0,"TPI","exact time"))=TRUE, _xll.PIArcVal(U$5,$D19, 0,"TPI","exact time"), "")</f>
        <v>0.71199999999999997</v>
      </c>
    </row>
    <row r="20" spans="1:22" ht="13.5" thickBot="1" x14ac:dyDescent="0.25">
      <c r="A20">
        <f t="shared" si="3"/>
        <v>14</v>
      </c>
      <c r="B20" s="28">
        <f t="shared" si="0"/>
        <v>46261</v>
      </c>
      <c r="C20" s="30">
        <f t="shared" si="1"/>
        <v>46261.3125</v>
      </c>
      <c r="D20" s="30">
        <f t="shared" si="2"/>
        <v>46261.8125</v>
      </c>
      <c r="E20" s="29">
        <f>IF(ISNUMBER(_xll.PIArcVal(E$5,$C20, 0,"TPI","exact time"))=TRUE,_xll.PIArcVal(E$5,$C20, 0,"TPI","exact time"),"")</f>
        <v>22.55</v>
      </c>
      <c r="F20" s="9">
        <f>IF(ISNUMBER(_xll.PIArcVal(E$5,$D20, 0,"TPI","exact time"))=TRUE, _xll.PIArcVal(E$5,$D20, 0,"TPI","exact time"), "")</f>
        <v>23.88</v>
      </c>
      <c r="G20" s="29">
        <f>IF(ISNUMBER(_xll.PIArcVal(G$5,$C20, 0,"TPI","exact time"))=TRUE,_xll.PIArcVal(G$5,$C20, 0,"TPI","exact time"),"")</f>
        <v>2.2709999999999999</v>
      </c>
      <c r="H20" s="9">
        <f>IF(ISNUMBER(_xll.PIArcVal(G$5,$D20, 0,"TPI","exact time"))=TRUE, _xll.PIArcVal(G$5,$D20, 0,"TPI","exact time"), "")</f>
        <v>1.7969999999999999</v>
      </c>
      <c r="I20" s="29">
        <f>IF(ISNUMBER(_xll.PIArcVal(I$5,$C20, 0,"TPI","exact time"))=TRUE,_xll.PIArcVal(I$5,$C20, 0,"TPI","exact time"),"")</f>
        <v>28.12</v>
      </c>
      <c r="J20" s="9">
        <f>IF(ISNUMBER(_xll.PIArcVal(I$5,$D20, 0,"TPI","exact time"))=TRUE, _xll.PIArcVal(I$5,$D20, 0,"TPI","exact time"), "")</f>
        <v>29.42</v>
      </c>
      <c r="K20" s="29">
        <f>IF(ISNUMBER(_xll.PIArcVal(K$5,$C20, 0,"TPI","exact time"))=TRUE,_xll.PIArcVal(K$5,$C20, 0,"TPI","exact time"),"")</f>
        <v>23.541</v>
      </c>
      <c r="L20" s="9">
        <f>IF(ISNUMBER(_xll.PIArcVal(K$5,$D20, 0,"TPI","exact time"))=TRUE, _xll.PIArcVal(K$5,$D20, 0,"TPI","exact time"), "")</f>
        <v>22.288</v>
      </c>
      <c r="M20" s="29">
        <f>IF(ISNUMBER(_xll.PIArcVal(M$5,$C20, 0,"TPI","exact time"))=TRUE,_xll.PIArcVal(M$5,$C20, 0,"TPI","exact time"),"")</f>
        <v>0.05</v>
      </c>
      <c r="N20" s="9">
        <f>IF(ISNUMBER(_xll.PIArcVal(M$5,$D20, 0,"TPI","exact time"))=TRUE, _xll.PIArcVal(M$5,$D20, 0,"TPI","exact time"), "")</f>
        <v>2.7E-2</v>
      </c>
      <c r="O20" s="29">
        <f>IF(ISNUMBER(_xll.PIArcVal(O$5,$C20, 0,"TPI","exact time"))=TRUE,_xll.PIArcVal(O$5,$C20, 0,"TPI","exact time"),"")</f>
        <v>29.26</v>
      </c>
      <c r="P20" s="9">
        <f>IF(ISNUMBER(_xll.PIArcVal(O$5,$D20, 0,"TPI","exact time"))=TRUE, _xll.PIArcVal(O$5,$D20, 0,"TPI","exact time"), "")</f>
        <v>30.57</v>
      </c>
      <c r="Q20" s="29" t="str">
        <f>IF(ISNUMBER(_xll.PIArcVal(Q$5,$C20, 0,"TPI","exact time"))=TRUE,_xll.PIArcVal(Q$5,$C20, 0,"TPI","exact time"),"")</f>
        <v/>
      </c>
      <c r="R20" s="9">
        <f>IF(ISNUMBER(_xll.PIArcVal(Q$5,$D20, 0,"TPI","exact time"))=TRUE, _xll.PIArcVal(Q$5,$D20, 0,"TPI","exact time"), "")</f>
        <v>0.44400000000000001</v>
      </c>
      <c r="S20" s="29" t="str">
        <f>IF(ISNUMBER(_xll.PIArcVal(S$5,$C20, 0,"TPI","exact time"))=TRUE,_xll.PIArcVal(S$5,$C20, 0,"TPI","exact time"),"")</f>
        <v/>
      </c>
      <c r="T20" s="9">
        <f>IF(ISNUMBER(_xll.PIArcVal(S$5,$D20, 0,"TPI","exact time"))=TRUE, _xll.PIArcVal(S$5,$D20, 0,"TPI","exact time"), "")</f>
        <v>57.484999999999999</v>
      </c>
      <c r="U20" s="29" t="str">
        <f>IF(ISNUMBER(_xll.PIArcVal(U$5,$C20, 0,"TPI","exact time"))=TRUE,_xll.PIArcVal(U$5,$C20, 0,"TPI","exact time"),"")</f>
        <v/>
      </c>
      <c r="V20" s="9">
        <f>IF(ISNUMBER(_xll.PIArcVal(U$5,$D20, 0,"TPI","exact time"))=TRUE, _xll.PIArcVal(U$5,$D20, 0,"TPI","exact time"), "")</f>
        <v>0.84</v>
      </c>
    </row>
    <row r="21" spans="1:22" ht="13.5" thickBot="1" x14ac:dyDescent="0.25">
      <c r="A21">
        <f t="shared" si="3"/>
        <v>15</v>
      </c>
      <c r="B21" s="28">
        <f t="shared" si="0"/>
        <v>46262</v>
      </c>
      <c r="C21" s="30">
        <f t="shared" si="1"/>
        <v>46262.3125</v>
      </c>
      <c r="D21" s="30">
        <f t="shared" si="2"/>
        <v>46262.8125</v>
      </c>
      <c r="E21" s="29">
        <f>IF(ISNUMBER(_xll.PIArcVal(E$5,$C21, 0,"TPI","exact time"))=TRUE,_xll.PIArcVal(E$5,$C21, 0,"TPI","exact time"),"")</f>
        <v>23.491</v>
      </c>
      <c r="F21" s="9">
        <f>IF(ISNUMBER(_xll.PIArcVal(E$5,$D21, 0,"TPI","exact time"))=TRUE, _xll.PIArcVal(E$5,$D21, 0,"TPI","exact time"), "")</f>
        <v>22.542999999999999</v>
      </c>
      <c r="G21" s="29">
        <f>IF(ISNUMBER(_xll.PIArcVal(G$5,$C21, 0,"TPI","exact time"))=TRUE,_xll.PIArcVal(G$5,$C21, 0,"TPI","exact time"),"")</f>
        <v>1.99</v>
      </c>
      <c r="H21" s="9">
        <f>IF(ISNUMBER(_xll.PIArcVal(G$5,$D21, 0,"TPI","exact time"))=TRUE, _xll.PIArcVal(G$5,$D21, 0,"TPI","exact time"), "")</f>
        <v>1.716</v>
      </c>
      <c r="I21" s="29">
        <f>IF(ISNUMBER(_xll.PIArcVal(I$5,$C21, 0,"TPI","exact time"))=TRUE,_xll.PIArcVal(I$5,$C21, 0,"TPI","exact time"),"")</f>
        <v>29.52</v>
      </c>
      <c r="J21" s="9">
        <f>IF(ISNUMBER(_xll.PIArcVal(I$5,$D21, 0,"TPI","exact time"))=TRUE, _xll.PIArcVal(I$5,$D21, 0,"TPI","exact time"), "")</f>
        <v>29.59</v>
      </c>
      <c r="K21" s="29">
        <f>IF(ISNUMBER(_xll.PIArcVal(K$5,$C21, 0,"TPI","exact time"))=TRUE,_xll.PIArcVal(K$5,$C21, 0,"TPI","exact time"),"")</f>
        <v>23.565999999999999</v>
      </c>
      <c r="L21" s="9">
        <f>IF(ISNUMBER(_xll.PIArcVal(K$5,$D21, 0,"TPI","exact time"))=TRUE, _xll.PIArcVal(K$5,$D21, 0,"TPI","exact time"), "")</f>
        <v>22.196000000000002</v>
      </c>
      <c r="M21" s="29">
        <f>IF(ISNUMBER(_xll.PIArcVal(M$5,$C21, 0,"TPI","exact time"))=TRUE,_xll.PIArcVal(M$5,$C21, 0,"TPI","exact time"),"")</f>
        <v>0.152</v>
      </c>
      <c r="N21" s="9">
        <f>IF(ISNUMBER(_xll.PIArcVal(M$5,$D21, 0,"TPI","exact time"))=TRUE, _xll.PIArcVal(M$5,$D21, 0,"TPI","exact time"), "")</f>
        <v>0.13700000000000001</v>
      </c>
      <c r="O21" s="29">
        <f>IF(ISNUMBER(_xll.PIArcVal(O$5,$C21, 0,"TPI","exact time"))=TRUE,_xll.PIArcVal(O$5,$C21, 0,"TPI","exact time"),"")</f>
        <v>30.46</v>
      </c>
      <c r="P21" s="9">
        <f>IF(ISNUMBER(_xll.PIArcVal(O$5,$D21, 0,"TPI","exact time"))=TRUE, _xll.PIArcVal(O$5,$D21, 0,"TPI","exact time"), "")</f>
        <v>30.12</v>
      </c>
      <c r="Q21" s="29">
        <f>IF(ISNUMBER(_xll.PIArcVal(Q$5,$C21, 0,"TPI","exact time"))=TRUE,_xll.PIArcVal(Q$5,$C21, 0,"TPI","exact time"),"")</f>
        <v>0.47499999999999998</v>
      </c>
      <c r="R21" s="9">
        <f>IF(ISNUMBER(_xll.PIArcVal(Q$5,$D21, 0,"TPI","exact time"))=TRUE, _xll.PIArcVal(Q$5,$D21, 0,"TPI","exact time"), "")</f>
        <v>0.41899999999999998</v>
      </c>
      <c r="S21" s="29">
        <f>IF(ISNUMBER(_xll.PIArcVal(S$5,$C21, 0,"TPI","exact time"))=TRUE,_xll.PIArcVal(S$5,$C21, 0,"TPI","exact time"),"")</f>
        <v>57.438000000000002</v>
      </c>
      <c r="T21" s="9">
        <f>IF(ISNUMBER(_xll.PIArcVal(S$5,$D21, 0,"TPI","exact time"))=TRUE, _xll.PIArcVal(S$5,$D21, 0,"TPI","exact time"), "")</f>
        <v>57.631999999999998</v>
      </c>
      <c r="U21" s="29">
        <f>IF(ISNUMBER(_xll.PIArcVal(U$5,$C21, 0,"TPI","exact time"))=TRUE,_xll.PIArcVal(U$5,$C21, 0,"TPI","exact time"),"")</f>
        <v>0.65400000000000003</v>
      </c>
      <c r="V21" s="9">
        <f>IF(ISNUMBER(_xll.PIArcVal(U$5,$D21, 0,"TPI","exact time"))=TRUE, _xll.PIArcVal(U$5,$D21, 0,"TPI","exact time"), "")</f>
        <v>0.67500000000000004</v>
      </c>
    </row>
    <row r="22" spans="1:22" ht="13.5" thickBot="1" x14ac:dyDescent="0.25">
      <c r="A22">
        <f t="shared" si="3"/>
        <v>16</v>
      </c>
      <c r="B22" s="28">
        <f t="shared" si="0"/>
        <v>46263</v>
      </c>
      <c r="C22" s="30">
        <f t="shared" si="1"/>
        <v>46263.3125</v>
      </c>
      <c r="D22" s="30">
        <f t="shared" si="2"/>
        <v>46263.8125</v>
      </c>
      <c r="E22" s="29">
        <f>IF(ISNUMBER(_xll.PIArcVal(E$5,$C22, 0,"TPI","exact time"))=TRUE,_xll.PIArcVal(E$5,$C22, 0,"TPI","exact time"),"")</f>
        <v>19.701000000000001</v>
      </c>
      <c r="F22" s="9">
        <f>IF(ISNUMBER(_xll.PIArcVal(E$5,$D22, 0,"TPI","exact time"))=TRUE, _xll.PIArcVal(E$5,$D22, 0,"TPI","exact time"), "")</f>
        <v>20.995000000000001</v>
      </c>
      <c r="G22" s="29">
        <f>IF(ISNUMBER(_xll.PIArcVal(G$5,$C22, 0,"TPI","exact time"))=TRUE,_xll.PIArcVal(G$5,$C22, 0,"TPI","exact time"),"")</f>
        <v>1.3540000000000001</v>
      </c>
      <c r="H22" s="9">
        <f>IF(ISNUMBER(_xll.PIArcVal(G$5,$D22, 0,"TPI","exact time"))=TRUE, _xll.PIArcVal(G$5,$D22, 0,"TPI","exact time"), "")</f>
        <v>0.95399999999999996</v>
      </c>
      <c r="I22" s="29">
        <f>IF(ISNUMBER(_xll.PIArcVal(I$5,$C22, 0,"TPI","exact time"))=TRUE,_xll.PIArcVal(I$5,$C22, 0,"TPI","exact time"),"")</f>
        <v>27.3</v>
      </c>
      <c r="J22" s="9">
        <f>IF(ISNUMBER(_xll.PIArcVal(I$5,$D22, 0,"TPI","exact time"))=TRUE, _xll.PIArcVal(I$5,$D22, 0,"TPI","exact time"), "")</f>
        <v>30.37</v>
      </c>
      <c r="K22" s="29">
        <f>IF(ISNUMBER(_xll.PIArcVal(K$5,$C22, 0,"TPI","exact time"))=TRUE,_xll.PIArcVal(K$5,$C22, 0,"TPI","exact time"),"")</f>
        <v>20.398</v>
      </c>
      <c r="L22" s="9">
        <f>IF(ISNUMBER(_xll.PIArcVal(K$5,$D22, 0,"TPI","exact time"))=TRUE, _xll.PIArcVal(K$5,$D22, 0,"TPI","exact time"), "")</f>
        <v>21.393000000000001</v>
      </c>
      <c r="M22" s="29">
        <f>IF(ISNUMBER(_xll.PIArcVal(M$5,$C22, 0,"TPI","exact time"))=TRUE,_xll.PIArcVal(M$5,$C22, 0,"TPI","exact time"),"")</f>
        <v>7.6999999999999999E-2</v>
      </c>
      <c r="N22" s="9">
        <f>IF(ISNUMBER(_xll.PIArcVal(M$5,$D22, 0,"TPI","exact time"))=TRUE, _xll.PIArcVal(M$5,$D22, 0,"TPI","exact time"), "")</f>
        <v>7.8E-2</v>
      </c>
      <c r="O22" s="29">
        <f>IF(ISNUMBER(_xll.PIArcVal(O$5,$C22, 0,"TPI","exact time"))=TRUE,_xll.PIArcVal(O$5,$C22, 0,"TPI","exact time"),"")</f>
        <v>28.54</v>
      </c>
      <c r="P22" s="9">
        <f>IF(ISNUMBER(_xll.PIArcVal(O$5,$D22, 0,"TPI","exact time"))=TRUE, _xll.PIArcVal(O$5,$D22, 0,"TPI","exact time"), "")</f>
        <v>31.25</v>
      </c>
      <c r="Q22" s="29">
        <f>IF(ISNUMBER(_xll.PIArcVal(Q$5,$C22, 0,"TPI","exact time"))=TRUE,_xll.PIArcVal(Q$5,$C22, 0,"TPI","exact time"),"")</f>
        <v>0.45900000000000002</v>
      </c>
      <c r="R22" s="9">
        <f>IF(ISNUMBER(_xll.PIArcVal(Q$5,$D22, 0,"TPI","exact time"))=TRUE, _xll.PIArcVal(Q$5,$D22, 0,"TPI","exact time"), "")</f>
        <v>0.45400000000000001</v>
      </c>
      <c r="S22" s="29">
        <f>IF(ISNUMBER(_xll.PIArcVal(S$5,$C22, 0,"TPI","exact time"))=TRUE,_xll.PIArcVal(S$5,$C22, 0,"TPI","exact time"),"")</f>
        <v>57.127000000000002</v>
      </c>
      <c r="T22" s="9">
        <f>IF(ISNUMBER(_xll.PIArcVal(S$5,$D22, 0,"TPI","exact time"))=TRUE, _xll.PIArcVal(S$5,$D22, 0,"TPI","exact time"), "")</f>
        <v>56.825000000000003</v>
      </c>
      <c r="U22" s="29">
        <f>IF(ISNUMBER(_xll.PIArcVal(U$5,$C22, 0,"TPI","exact time"))=TRUE,_xll.PIArcVal(U$5,$C22, 0,"TPI","exact time"),"")</f>
        <v>0.82099999999999995</v>
      </c>
      <c r="V22" s="9">
        <f>IF(ISNUMBER(_xll.PIArcVal(U$5,$D22, 0,"TPI","exact time"))=TRUE, _xll.PIArcVal(U$5,$D22, 0,"TPI","exact time"), "")</f>
        <v>1.1319999999999999</v>
      </c>
    </row>
    <row r="23" spans="1:22" ht="13.5" thickBot="1" x14ac:dyDescent="0.25">
      <c r="A23">
        <f t="shared" si="3"/>
        <v>17</v>
      </c>
      <c r="B23" s="28">
        <f t="shared" si="0"/>
        <v>46264</v>
      </c>
      <c r="C23" s="30">
        <f t="shared" si="1"/>
        <v>46264.3125</v>
      </c>
      <c r="D23" s="30">
        <f t="shared" si="2"/>
        <v>46264.8125</v>
      </c>
      <c r="E23" s="29">
        <f>IF(ISNUMBER(_xll.PIArcVal(E$5,$C23, 0,"TPI","exact time"))=TRUE,_xll.PIArcVal(E$5,$C23, 0,"TPI","exact time"),"")</f>
        <v>20</v>
      </c>
      <c r="F23" s="9">
        <f>IF(ISNUMBER(_xll.PIArcVal(E$5,$D23, 0,"TPI","exact time"))=TRUE, _xll.PIArcVal(E$5,$D23, 0,"TPI","exact time"), "")</f>
        <v>23.084</v>
      </c>
      <c r="G23" s="29">
        <f>IF(ISNUMBER(_xll.PIArcVal(G$5,$C23, 0,"TPI","exact time"))=TRUE,_xll.PIArcVal(G$5,$C23, 0,"TPI","exact time"),"")</f>
        <v>0.97099999999999997</v>
      </c>
      <c r="H23" s="9">
        <f>IF(ISNUMBER(_xll.PIArcVal(G$5,$D23, 0,"TPI","exact time"))=TRUE, _xll.PIArcVal(G$5,$D23, 0,"TPI","exact time"), "")</f>
        <v>1.677</v>
      </c>
      <c r="I23" s="29">
        <f>IF(ISNUMBER(_xll.PIArcVal(I$5,$C23, 0,"TPI","exact time"))=TRUE,_xll.PIArcVal(I$5,$C23, 0,"TPI","exact time"),"")</f>
        <v>28.38</v>
      </c>
      <c r="J23" s="9">
        <f>IF(ISNUMBER(_xll.PIArcVal(I$5,$D23, 0,"TPI","exact time"))=TRUE, _xll.PIArcVal(I$5,$D23, 0,"TPI","exact time"), "")</f>
        <v>29.28</v>
      </c>
      <c r="K23" s="29">
        <f>IF(ISNUMBER(_xll.PIArcVal(K$5,$C23, 0,"TPI","exact time"))=TRUE,_xll.PIArcVal(K$5,$C23, 0,"TPI","exact time"),"")</f>
        <v>22.288</v>
      </c>
      <c r="L23" s="9">
        <f>IF(ISNUMBER(_xll.PIArcVal(K$5,$D23, 0,"TPI","exact time"))=TRUE, _xll.PIArcVal(K$5,$D23, 0,"TPI","exact time"), "")</f>
        <v>24.675999999999998</v>
      </c>
      <c r="M23" s="29">
        <f>IF(ISNUMBER(_xll.PIArcVal(M$5,$C23, 0,"TPI","exact time"))=TRUE,_xll.PIArcVal(M$5,$C23, 0,"TPI","exact time"),"")</f>
        <v>9.7000000000000003E-2</v>
      </c>
      <c r="N23" s="9">
        <f>IF(ISNUMBER(_xll.PIArcVal(M$5,$D23, 0,"TPI","exact time"))=TRUE, _xll.PIArcVal(M$5,$D23, 0,"TPI","exact time"), "")</f>
        <v>0.125</v>
      </c>
      <c r="O23" s="29">
        <f>IF(ISNUMBER(_xll.PIArcVal(O$5,$C23, 0,"TPI","exact time"))=TRUE,_xll.PIArcVal(O$5,$C23, 0,"TPI","exact time"),"")</f>
        <v>29.79</v>
      </c>
      <c r="P23" s="9">
        <f>IF(ISNUMBER(_xll.PIArcVal(O$5,$D23, 0,"TPI","exact time"))=TRUE, _xll.PIArcVal(O$5,$D23, 0,"TPI","exact time"), "")</f>
        <v>30.15</v>
      </c>
      <c r="Q23" s="29">
        <f>IF(ISNUMBER(_xll.PIArcVal(Q$5,$C23, 0,"TPI","exact time"))=TRUE,_xll.PIArcVal(Q$5,$C23, 0,"TPI","exact time"),"")</f>
        <v>0.60099999999999998</v>
      </c>
      <c r="R23" s="9">
        <f>IF(ISNUMBER(_xll.PIArcVal(Q$5,$D23, 0,"TPI","exact time"))=TRUE, _xll.PIArcVal(Q$5,$D23, 0,"TPI","exact time"), "")</f>
        <v>0.56100000000000005</v>
      </c>
      <c r="S23" s="29">
        <f>IF(ISNUMBER(_xll.PIArcVal(S$5,$C23, 0,"TPI","exact time"))=TRUE,_xll.PIArcVal(S$5,$C23, 0,"TPI","exact time"),"")</f>
        <v>53.348999999999997</v>
      </c>
      <c r="T23" s="9">
        <f>IF(ISNUMBER(_xll.PIArcVal(S$5,$D23, 0,"TPI","exact time"))=TRUE, _xll.PIArcVal(S$5,$D23, 0,"TPI","exact time"), "")</f>
        <v>55.825000000000003</v>
      </c>
      <c r="U23" s="29">
        <f>IF(ISNUMBER(_xll.PIArcVal(U$5,$C23, 0,"TPI","exact time"))=TRUE,_xll.PIArcVal(U$5,$C23, 0,"TPI","exact time"),"")</f>
        <v>3.4649999999999999</v>
      </c>
      <c r="V23" s="9">
        <f>IF(ISNUMBER(_xll.PIArcVal(U$5,$D23, 0,"TPI","exact time"))=TRUE, _xll.PIArcVal(U$5,$D23, 0,"TPI","exact time"), "")</f>
        <v>1.8089999999999999</v>
      </c>
    </row>
    <row r="24" spans="1:22" ht="13.5" thickBot="1" x14ac:dyDescent="0.25">
      <c r="A24">
        <f t="shared" si="3"/>
        <v>18</v>
      </c>
      <c r="B24" s="28">
        <f t="shared" si="0"/>
        <v>46265</v>
      </c>
      <c r="C24" s="30">
        <f t="shared" si="1"/>
        <v>46265.3125</v>
      </c>
      <c r="D24" s="30">
        <f t="shared" si="2"/>
        <v>46265.8125</v>
      </c>
      <c r="E24" s="29">
        <f>IF(ISNUMBER(_xll.PIArcVal(E$5,$C24, 0,"TPI","exact time"))=TRUE,_xll.PIArcVal(E$5,$C24, 0,"TPI","exact time"),"")</f>
        <v>21.457999999999998</v>
      </c>
      <c r="F24" s="9" t="str">
        <f>IF(ISNUMBER(_xll.PIArcVal(E$5,$D24, 0,"TPI","exact time"))=TRUE, _xll.PIArcVal(E$5,$D24, 0,"TPI","exact time"), "")</f>
        <v/>
      </c>
      <c r="G24" s="29">
        <f>IF(ISNUMBER(_xll.PIArcVal(G$5,$C24, 0,"TPI","exact time"))=TRUE,_xll.PIArcVal(G$5,$C24, 0,"TPI","exact time"),"")</f>
        <v>1.538</v>
      </c>
      <c r="H24" s="9" t="str">
        <f>IF(ISNUMBER(_xll.PIArcVal(G$5,$D24, 0,"TPI","exact time"))=TRUE, _xll.PIArcVal(G$5,$D24, 0,"TPI","exact time"), "")</f>
        <v/>
      </c>
      <c r="I24" s="29">
        <f>IF(ISNUMBER(_xll.PIArcVal(I$5,$C24, 0,"TPI","exact time"))=TRUE,_xll.PIArcVal(I$5,$C24, 0,"TPI","exact time"),"")</f>
        <v>27</v>
      </c>
      <c r="J24" s="9" t="str">
        <f>IF(ISNUMBER(_xll.PIArcVal(I$5,$D24, 0,"TPI","exact time"))=TRUE, _xll.PIArcVal(I$5,$D24, 0,"TPI","exact time"), "")</f>
        <v/>
      </c>
      <c r="K24" s="29">
        <f>IF(ISNUMBER(_xll.PIArcVal(K$5,$C24, 0,"TPI","exact time"))=TRUE,_xll.PIArcVal(K$5,$C24, 0,"TPI","exact time"),"")</f>
        <v>21.358000000000001</v>
      </c>
      <c r="L24" s="9" t="str">
        <f>IF(ISNUMBER(_xll.PIArcVal(K$5,$D24, 0,"TPI","exact time"))=TRUE, _xll.PIArcVal(K$5,$D24, 0,"TPI","exact time"), "")</f>
        <v/>
      </c>
      <c r="M24" s="29">
        <f>IF(ISNUMBER(_xll.PIArcVal(M$5,$C24, 0,"TPI","exact time"))=TRUE,_xll.PIArcVal(M$5,$C24, 0,"TPI","exact time"),"")</f>
        <v>0.10299999999999999</v>
      </c>
      <c r="N24" s="9" t="str">
        <f>IF(ISNUMBER(_xll.PIArcVal(M$5,$D24, 0,"TPI","exact time"))=TRUE, _xll.PIArcVal(M$5,$D24, 0,"TPI","exact time"), "")</f>
        <v/>
      </c>
      <c r="O24" s="29">
        <f>IF(ISNUMBER(_xll.PIArcVal(O$5,$C24, 0,"TPI","exact time"))=TRUE,_xll.PIArcVal(O$5,$C24, 0,"TPI","exact time"),"")</f>
        <v>28.73</v>
      </c>
      <c r="P24" s="9" t="str">
        <f>IF(ISNUMBER(_xll.PIArcVal(O$5,$D24, 0,"TPI","exact time"))=TRUE, _xll.PIArcVal(O$5,$D24, 0,"TPI","exact time"), "")</f>
        <v/>
      </c>
      <c r="Q24" s="29" t="str">
        <f>IF(ISNUMBER(_xll.PIArcVal(Q$5,$C24, 0,"TPI","exact time"))=TRUE,_xll.PIArcVal(Q$5,$C24, 0,"TPI","exact time"),"")</f>
        <v/>
      </c>
      <c r="R24" s="9" t="str">
        <f>IF(ISNUMBER(_xll.PIArcVal(Q$5,$D24, 0,"TPI","exact time"))=TRUE, _xll.PIArcVal(Q$5,$D24, 0,"TPI","exact time"), "")</f>
        <v/>
      </c>
      <c r="S24" s="29" t="str">
        <f>IF(ISNUMBER(_xll.PIArcVal(S$5,$C24, 0,"TPI","exact time"))=TRUE,_xll.PIArcVal(S$5,$C24, 0,"TPI","exact time"),"")</f>
        <v/>
      </c>
      <c r="T24" s="9" t="str">
        <f>IF(ISNUMBER(_xll.PIArcVal(S$5,$D24, 0,"TPI","exact time"))=TRUE, _xll.PIArcVal(S$5,$D24, 0,"TPI","exact time"), "")</f>
        <v/>
      </c>
      <c r="U24" s="29" t="str">
        <f>IF(ISNUMBER(_xll.PIArcVal(U$5,$C24, 0,"TPI","exact time"))=TRUE,_xll.PIArcVal(U$5,$C24, 0,"TPI","exact time"),"")</f>
        <v/>
      </c>
      <c r="V24" s="9" t="str">
        <f>IF(ISNUMBER(_xll.PIArcVal(U$5,$D24, 0,"TPI","exact time"))=TRUE, _xll.PIArcVal(U$5,$D24, 0,"TPI","exact time"), "")</f>
        <v/>
      </c>
    </row>
    <row r="25" spans="1:22" ht="13.5" thickBot="1" x14ac:dyDescent="0.25">
      <c r="A25">
        <f t="shared" si="3"/>
        <v>19</v>
      </c>
      <c r="B25" s="28">
        <f t="shared" si="0"/>
        <v>46266</v>
      </c>
      <c r="C25" s="30">
        <f t="shared" si="1"/>
        <v>46266.3125</v>
      </c>
      <c r="D25" s="30">
        <f t="shared" si="2"/>
        <v>46266.8125</v>
      </c>
      <c r="E25" s="29" t="str">
        <f>IF(ISNUMBER(_xll.PIArcVal(E$5,$C25, 0,"TPI","exact time"))=TRUE,_xll.PIArcVal(E$5,$C25, 0,"TPI","exact time"),"")</f>
        <v/>
      </c>
      <c r="F25" s="9">
        <f>IF(ISNUMBER(_xll.PIArcVal(E$5,$D25, 0,"TPI","exact time"))=TRUE, _xll.PIArcVal(E$5,$D25, 0,"TPI","exact time"), "")</f>
        <v>21.108000000000001</v>
      </c>
      <c r="G25" s="29" t="str">
        <f>IF(ISNUMBER(_xll.PIArcVal(G$5,$C25, 0,"TPI","exact time"))=TRUE,_xll.PIArcVal(G$5,$C25, 0,"TPI","exact time"),"")</f>
        <v/>
      </c>
      <c r="H25" s="9">
        <f>IF(ISNUMBER(_xll.PIArcVal(G$5,$D25, 0,"TPI","exact time"))=TRUE, _xll.PIArcVal(G$5,$D25, 0,"TPI","exact time"), "")</f>
        <v>2.657</v>
      </c>
      <c r="I25" s="29" t="str">
        <f>IF(ISNUMBER(_xll.PIArcVal(I$5,$C25, 0,"TPI","exact time"))=TRUE,_xll.PIArcVal(I$5,$C25, 0,"TPI","exact time"),"")</f>
        <v/>
      </c>
      <c r="J25" s="9">
        <f>IF(ISNUMBER(_xll.PIArcVal(I$5,$D25, 0,"TPI","exact time"))=TRUE, _xll.PIArcVal(I$5,$D25, 0,"TPI","exact time"), "")</f>
        <v>28.95</v>
      </c>
      <c r="K25" s="29" t="str">
        <f>IF(ISNUMBER(_xll.PIArcVal(K$5,$C25, 0,"TPI","exact time"))=TRUE,_xll.PIArcVal(K$5,$C25, 0,"TPI","exact time"),"")</f>
        <v/>
      </c>
      <c r="L25" s="9">
        <f>IF(ISNUMBER(_xll.PIArcVal(K$5,$D25, 0,"TPI","exact time"))=TRUE, _xll.PIArcVal(K$5,$D25, 0,"TPI","exact time"), "")</f>
        <v>22.564</v>
      </c>
      <c r="M25" s="29" t="str">
        <f>IF(ISNUMBER(_xll.PIArcVal(M$5,$C25, 0,"TPI","exact time"))=TRUE,_xll.PIArcVal(M$5,$C25, 0,"TPI","exact time"),"")</f>
        <v/>
      </c>
      <c r="N25" s="9">
        <f>IF(ISNUMBER(_xll.PIArcVal(M$5,$D25, 0,"TPI","exact time"))=TRUE, _xll.PIArcVal(M$5,$D25, 0,"TPI","exact time"), "")</f>
        <v>5.3999999999999999E-2</v>
      </c>
      <c r="O25" s="29" t="str">
        <f>IF(ISNUMBER(_xll.PIArcVal(O$5,$C25, 0,"TPI","exact time"))=TRUE,_xll.PIArcVal(O$5,$C25, 0,"TPI","exact time"),"")</f>
        <v/>
      </c>
      <c r="P25" s="9">
        <f>IF(ISNUMBER(_xll.PIArcVal(O$5,$D25, 0,"TPI","exact time"))=TRUE, _xll.PIArcVal(O$5,$D25, 0,"TPI","exact time"), "")</f>
        <v>28.59</v>
      </c>
      <c r="Q25" s="29" t="str">
        <f>IF(ISNUMBER(_xll.PIArcVal(Q$5,$C25, 0,"TPI","exact time"))=TRUE,_xll.PIArcVal(Q$5,$C25, 0,"TPI","exact time"),"")</f>
        <v/>
      </c>
      <c r="R25" s="9">
        <f>IF(ISNUMBER(_xll.PIArcVal(Q$5,$D25, 0,"TPI","exact time"))=TRUE, _xll.PIArcVal(Q$5,$D25, 0,"TPI","exact time"), "")</f>
        <v>0.60699999999999998</v>
      </c>
      <c r="S25" s="29" t="str">
        <f>IF(ISNUMBER(_xll.PIArcVal(S$5,$C25, 0,"TPI","exact time"))=TRUE,_xll.PIArcVal(S$5,$C25, 0,"TPI","exact time"),"")</f>
        <v/>
      </c>
      <c r="T25" s="9">
        <f>IF(ISNUMBER(_xll.PIArcVal(S$5,$D25, 0,"TPI","exact time"))=TRUE, _xll.PIArcVal(S$5,$D25, 0,"TPI","exact time"), "")</f>
        <v>55.411000000000001</v>
      </c>
      <c r="U25" s="29" t="str">
        <f>IF(ISNUMBER(_xll.PIArcVal(U$5,$C25, 0,"TPI","exact time"))=TRUE,_xll.PIArcVal(U$5,$C25, 0,"TPI","exact time"),"")</f>
        <v/>
      </c>
      <c r="V25" s="9">
        <f>IF(ISNUMBER(_xll.PIArcVal(U$5,$D25, 0,"TPI","exact time"))=TRUE, _xll.PIArcVal(U$5,$D25, 0,"TPI","exact time"), "")</f>
        <v>1.6519999999999999</v>
      </c>
    </row>
    <row r="26" spans="1:22" ht="13.5" thickBot="1" x14ac:dyDescent="0.25">
      <c r="A26">
        <f t="shared" si="3"/>
        <v>20</v>
      </c>
      <c r="B26" s="28">
        <f t="shared" si="0"/>
        <v>46267</v>
      </c>
      <c r="C26" s="30">
        <f t="shared" si="1"/>
        <v>46267.3125</v>
      </c>
      <c r="D26" s="30">
        <f t="shared" si="2"/>
        <v>46267.8125</v>
      </c>
      <c r="E26" s="29">
        <f>IF(ISNUMBER(_xll.PIArcVal(E$5,$C26, 0,"TPI","exact time"))=TRUE,_xll.PIArcVal(E$5,$C26, 0,"TPI","exact time"),"")</f>
        <v>23.391999999999999</v>
      </c>
      <c r="F26" s="9">
        <f>IF(ISNUMBER(_xll.PIArcVal(E$5,$D26, 0,"TPI","exact time"))=TRUE, _xll.PIArcVal(E$5,$D26, 0,"TPI","exact time"), "")</f>
        <v>23.292999999999999</v>
      </c>
      <c r="G26" s="29">
        <f>IF(ISNUMBER(_xll.PIArcVal(G$5,$C26, 0,"TPI","exact time"))=TRUE,_xll.PIArcVal(G$5,$C26, 0,"TPI","exact time"),"")</f>
        <v>2.6150000000000002</v>
      </c>
      <c r="H26" s="9">
        <f>IF(ISNUMBER(_xll.PIArcVal(G$5,$D26, 0,"TPI","exact time"))=TRUE, _xll.PIArcVal(G$5,$D26, 0,"TPI","exact time"), "")</f>
        <v>2.73</v>
      </c>
      <c r="I26" s="29">
        <f>IF(ISNUMBER(_xll.PIArcVal(I$5,$C26, 0,"TPI","exact time"))=TRUE,_xll.PIArcVal(I$5,$C26, 0,"TPI","exact time"),"")</f>
        <v>26.88</v>
      </c>
      <c r="J26" s="9">
        <f>IF(ISNUMBER(_xll.PIArcVal(I$5,$D26, 0,"TPI","exact time"))=TRUE, _xll.PIArcVal(I$5,$D26, 0,"TPI","exact time"), "")</f>
        <v>28.44</v>
      </c>
      <c r="K26" s="29">
        <f>IF(ISNUMBER(_xll.PIArcVal(K$5,$C26, 0,"TPI","exact time"))=TRUE,_xll.PIArcVal(K$5,$C26, 0,"TPI","exact time"),"")</f>
        <v>23.491</v>
      </c>
      <c r="L26" s="9">
        <f>IF(ISNUMBER(_xll.PIArcVal(K$5,$D26, 0,"TPI","exact time"))=TRUE, _xll.PIArcVal(K$5,$D26, 0,"TPI","exact time"), "")</f>
        <v>19.402999999999999</v>
      </c>
      <c r="M26" s="29">
        <f>IF(ISNUMBER(_xll.PIArcVal(M$5,$C26, 0,"TPI","exact time"))=TRUE,_xll.PIArcVal(M$5,$C26, 0,"TPI","exact time"),"")</f>
        <v>7.5999999999999998E-2</v>
      </c>
      <c r="N26" s="9">
        <f>IF(ISNUMBER(_xll.PIArcVal(M$5,$D26, 0,"TPI","exact time"))=TRUE, _xll.PIArcVal(M$5,$D26, 0,"TPI","exact time"), "")</f>
        <v>4.5999999999999999E-2</v>
      </c>
      <c r="O26" s="29">
        <f>IF(ISNUMBER(_xll.PIArcVal(O$5,$C26, 0,"TPI","exact time"))=TRUE,_xll.PIArcVal(O$5,$C26, 0,"TPI","exact time"),"")</f>
        <v>26.89</v>
      </c>
      <c r="P26" s="9">
        <f>IF(ISNUMBER(_xll.PIArcVal(O$5,$D26, 0,"TPI","exact time"))=TRUE, _xll.PIArcVal(O$5,$D26, 0,"TPI","exact time"), "")</f>
        <v>29.21</v>
      </c>
      <c r="Q26" s="29" t="str">
        <f>IF(ISNUMBER(_xll.PIArcVal(Q$5,$C26, 0,"TPI","exact time"))=TRUE,_xll.PIArcVal(Q$5,$C26, 0,"TPI","exact time"),"")</f>
        <v/>
      </c>
      <c r="R26" s="9">
        <f>IF(ISNUMBER(_xll.PIArcVal(Q$5,$D26, 0,"TPI","exact time"))=TRUE, _xll.PIArcVal(Q$5,$D26, 0,"TPI","exact time"), "")</f>
        <v>0.68</v>
      </c>
      <c r="S26" s="29" t="str">
        <f>IF(ISNUMBER(_xll.PIArcVal(S$5,$C26, 0,"TPI","exact time"))=TRUE,_xll.PIArcVal(S$5,$C26, 0,"TPI","exact time"),"")</f>
        <v/>
      </c>
      <c r="T26" s="9">
        <f>IF(ISNUMBER(_xll.PIArcVal(S$5,$D26, 0,"TPI","exact time"))=TRUE, _xll.PIArcVal(S$5,$D26, 0,"TPI","exact time"), "")</f>
        <v>56.656999999999996</v>
      </c>
      <c r="U26" s="29" t="str">
        <f>IF(ISNUMBER(_xll.PIArcVal(U$5,$C26, 0,"TPI","exact time"))=TRUE,_xll.PIArcVal(U$5,$C26, 0,"TPI","exact time"),"")</f>
        <v/>
      </c>
      <c r="V26" s="9">
        <f>IF(ISNUMBER(_xll.PIArcVal(U$5,$D26, 0,"TPI","exact time"))=TRUE, _xll.PIArcVal(U$5,$D26, 0,"TPI","exact time"), "")</f>
        <v>1.099</v>
      </c>
    </row>
    <row r="27" spans="1:22" ht="13.5" thickBot="1" x14ac:dyDescent="0.25">
      <c r="A27">
        <f t="shared" si="3"/>
        <v>21</v>
      </c>
      <c r="B27" s="28">
        <f t="shared" si="0"/>
        <v>46268</v>
      </c>
      <c r="C27" s="30">
        <f t="shared" si="1"/>
        <v>46268.3125</v>
      </c>
      <c r="D27" s="30">
        <f t="shared" si="2"/>
        <v>46268.8125</v>
      </c>
      <c r="E27" s="29">
        <f>IF(ISNUMBER(_xll.PIArcVal(E$5,$C27, 0,"TPI","exact time"))=TRUE,_xll.PIArcVal(E$5,$C27, 0,"TPI","exact time"),"")</f>
        <v>23.431999999999999</v>
      </c>
      <c r="F27" s="9">
        <f>IF(ISNUMBER(_xll.PIArcVal(E$5,$D27, 0,"TPI","exact time"))=TRUE, _xll.PIArcVal(E$5,$D27, 0,"TPI","exact time"), "")</f>
        <v>21.99</v>
      </c>
      <c r="G27" s="29">
        <f>IF(ISNUMBER(_xll.PIArcVal(G$5,$C27, 0,"TPI","exact time"))=TRUE,_xll.PIArcVal(G$5,$C27, 0,"TPI","exact time"),"")</f>
        <v>2.0859999999999999</v>
      </c>
      <c r="H27" s="9">
        <f>IF(ISNUMBER(_xll.PIArcVal(G$5,$D27, 0,"TPI","exact time"))=TRUE, _xll.PIArcVal(G$5,$D27, 0,"TPI","exact time"), "")</f>
        <v>2.048</v>
      </c>
      <c r="I27" s="29">
        <f>IF(ISNUMBER(_xll.PIArcVal(I$5,$C27, 0,"TPI","exact time"))=TRUE,_xll.PIArcVal(I$5,$C27, 0,"TPI","exact time"),"")</f>
        <v>30</v>
      </c>
      <c r="J27" s="9">
        <f>IF(ISNUMBER(_xll.PIArcVal(I$5,$D27, 0,"TPI","exact time"))=TRUE, _xll.PIArcVal(I$5,$D27, 0,"TPI","exact time"), "")</f>
        <v>30.22</v>
      </c>
      <c r="K27" s="29">
        <f>IF(ISNUMBER(_xll.PIArcVal(K$5,$C27, 0,"TPI","exact time"))=TRUE,_xll.PIArcVal(K$5,$C27, 0,"TPI","exact time"),"")</f>
        <v>23.382999999999999</v>
      </c>
      <c r="L27" s="9">
        <f>IF(ISNUMBER(_xll.PIArcVal(K$5,$D27, 0,"TPI","exact time"))=TRUE, _xll.PIArcVal(K$5,$D27, 0,"TPI","exact time"), "")</f>
        <v>22.786000000000001</v>
      </c>
      <c r="M27" s="29">
        <f>IF(ISNUMBER(_xll.PIArcVal(M$5,$C27, 0,"TPI","exact time"))=TRUE,_xll.PIArcVal(M$5,$C27, 0,"TPI","exact time"),"")</f>
        <v>7.2999999999999995E-2</v>
      </c>
      <c r="N27" s="9">
        <f>IF(ISNUMBER(_xll.PIArcVal(M$5,$D27, 0,"TPI","exact time"))=TRUE, _xll.PIArcVal(M$5,$D27, 0,"TPI","exact time"), "")</f>
        <v>4.1000000000000002E-2</v>
      </c>
      <c r="O27" s="29">
        <f>IF(ISNUMBER(_xll.PIArcVal(O$5,$C27, 0,"TPI","exact time"))=TRUE,_xll.PIArcVal(O$5,$C27, 0,"TPI","exact time"),"")</f>
        <v>31.46</v>
      </c>
      <c r="P27" s="9">
        <f>IF(ISNUMBER(_xll.PIArcVal(O$5,$D27, 0,"TPI","exact time"))=TRUE, _xll.PIArcVal(O$5,$D27, 0,"TPI","exact time"), "")</f>
        <v>31.29</v>
      </c>
      <c r="Q27" s="29">
        <f>IF(ISNUMBER(_xll.PIArcVal(Q$5,$C27, 0,"TPI","exact time"))=TRUE,_xll.PIArcVal(Q$5,$C27, 0,"TPI","exact time"),"")</f>
        <v>0.92400000000000004</v>
      </c>
      <c r="R27" s="9">
        <f>IF(ISNUMBER(_xll.PIArcVal(Q$5,$D27, 0,"TPI","exact time"))=TRUE, _xll.PIArcVal(Q$5,$D27, 0,"TPI","exact time"), "")</f>
        <v>0.56999999999999995</v>
      </c>
      <c r="S27" s="29">
        <f>IF(ISNUMBER(_xll.PIArcVal(S$5,$C27, 0,"TPI","exact time"))=TRUE,_xll.PIArcVal(S$5,$C27, 0,"TPI","exact time"),"")</f>
        <v>55.795999999999999</v>
      </c>
      <c r="T27" s="9">
        <f>IF(ISNUMBER(_xll.PIArcVal(S$5,$D27, 0,"TPI","exact time"))=TRUE, _xll.PIArcVal(S$5,$D27, 0,"TPI","exact time"), "")</f>
        <v>57.256999999999998</v>
      </c>
      <c r="U27" s="29">
        <f>IF(ISNUMBER(_xll.PIArcVal(U$5,$C27, 0,"TPI","exact time"))=TRUE,_xll.PIArcVal(U$5,$C27, 0,"TPI","exact time"),"")</f>
        <v>1.2390000000000001</v>
      </c>
      <c r="V27" s="9">
        <f>IF(ISNUMBER(_xll.PIArcVal(U$5,$D27, 0,"TPI","exact time"))=TRUE, _xll.PIArcVal(U$5,$D27, 0,"TPI","exact time"), "")</f>
        <v>0.83199999999999996</v>
      </c>
    </row>
    <row r="28" spans="1:22" ht="13.5" thickBot="1" x14ac:dyDescent="0.25">
      <c r="A28">
        <f t="shared" si="3"/>
        <v>22</v>
      </c>
      <c r="B28" s="28">
        <f t="shared" si="0"/>
        <v>46269</v>
      </c>
      <c r="C28" s="30">
        <f t="shared" si="1"/>
        <v>46269.3125</v>
      </c>
      <c r="D28" s="30">
        <f t="shared" si="2"/>
        <v>46269.8125</v>
      </c>
      <c r="E28" s="29">
        <f>IF(ISNUMBER(_xll.PIArcVal(E$5,$C28, 0,"TPI","exact time"))=TRUE,_xll.PIArcVal(E$5,$C28, 0,"TPI","exact time"),"")</f>
        <v>18.905000000000001</v>
      </c>
      <c r="F28" s="9">
        <f>IF(ISNUMBER(_xll.PIArcVal(E$5,$D28, 0,"TPI","exact time"))=TRUE, _xll.PIArcVal(E$5,$D28, 0,"TPI","exact time"), "")</f>
        <v>23.681000000000001</v>
      </c>
      <c r="G28" s="29">
        <f>IF(ISNUMBER(_xll.PIArcVal(G$5,$C28, 0,"TPI","exact time"))=TRUE,_xll.PIArcVal(G$5,$C28, 0,"TPI","exact time"),"")</f>
        <v>1.381</v>
      </c>
      <c r="H28" s="9">
        <f>IF(ISNUMBER(_xll.PIArcVal(G$5,$D28, 0,"TPI","exact time"))=TRUE, _xll.PIArcVal(G$5,$D28, 0,"TPI","exact time"), "")</f>
        <v>2.2570000000000001</v>
      </c>
      <c r="I28" s="29">
        <f>IF(ISNUMBER(_xll.PIArcVal(I$5,$C28, 0,"TPI","exact time"))=TRUE,_xll.PIArcVal(I$5,$C28, 0,"TPI","exact time"),"")</f>
        <v>29.32</v>
      </c>
      <c r="J28" s="9">
        <f>IF(ISNUMBER(_xll.PIArcVal(I$5,$D28, 0,"TPI","exact time"))=TRUE, _xll.PIArcVal(I$5,$D28, 0,"TPI","exact time"), "")</f>
        <v>30.21</v>
      </c>
      <c r="K28" s="29">
        <f>IF(ISNUMBER(_xll.PIArcVal(K$5,$C28, 0,"TPI","exact time"))=TRUE,_xll.PIArcVal(K$5,$C28, 0,"TPI","exact time"),"")</f>
        <v>21.640999999999998</v>
      </c>
      <c r="L28" s="9">
        <f>IF(ISNUMBER(_xll.PIArcVal(K$5,$D28, 0,"TPI","exact time"))=TRUE, _xll.PIArcVal(K$5,$D28, 0,"TPI","exact time"), "")</f>
        <v>25.173999999999999</v>
      </c>
      <c r="M28" s="29">
        <f>IF(ISNUMBER(_xll.PIArcVal(M$5,$C28, 0,"TPI","exact time"))=TRUE,_xll.PIArcVal(M$5,$C28, 0,"TPI","exact time"),"")</f>
        <v>0.14099999999999999</v>
      </c>
      <c r="N28" s="9">
        <f>IF(ISNUMBER(_xll.PIArcVal(M$5,$D28, 0,"TPI","exact time"))=TRUE, _xll.PIArcVal(M$5,$D28, 0,"TPI","exact time"), "")</f>
        <v>5.1999999999999998E-2</v>
      </c>
      <c r="O28" s="29">
        <f>IF(ISNUMBER(_xll.PIArcVal(O$5,$C28, 0,"TPI","exact time"))=TRUE,_xll.PIArcVal(O$5,$C28, 0,"TPI","exact time"),"")</f>
        <v>29.01</v>
      </c>
      <c r="P28" s="9">
        <f>IF(ISNUMBER(_xll.PIArcVal(O$5,$D28, 0,"TPI","exact time"))=TRUE, _xll.PIArcVal(O$5,$D28, 0,"TPI","exact time"), "")</f>
        <v>31.45</v>
      </c>
      <c r="Q28" s="29">
        <f>IF(ISNUMBER(_xll.PIArcVal(Q$5,$C28, 0,"TPI","exact time"))=TRUE,_xll.PIArcVal(Q$5,$C28, 0,"TPI","exact time"),"")</f>
        <v>0.39300000000000002</v>
      </c>
      <c r="R28" s="9">
        <f>IF(ISNUMBER(_xll.PIArcVal(Q$5,$D28, 0,"TPI","exact time"))=TRUE, _xll.PIArcVal(Q$5,$D28, 0,"TPI","exact time"), "")</f>
        <v>0.46800000000000003</v>
      </c>
      <c r="S28" s="29">
        <f>IF(ISNUMBER(_xll.PIArcVal(S$5,$C28, 0,"TPI","exact time"))=TRUE,_xll.PIArcVal(S$5,$C28, 0,"TPI","exact time"),"")</f>
        <v>57.517000000000003</v>
      </c>
      <c r="T28" s="9">
        <f>IF(ISNUMBER(_xll.PIArcVal(S$5,$D28, 0,"TPI","exact time"))=TRUE, _xll.PIArcVal(S$5,$D28, 0,"TPI","exact time"), "")</f>
        <v>57.222999999999999</v>
      </c>
      <c r="U28" s="29">
        <f>IF(ISNUMBER(_xll.PIArcVal(U$5,$C28, 0,"TPI","exact time"))=TRUE,_xll.PIArcVal(U$5,$C28, 0,"TPI","exact time"),"")</f>
        <v>0.53300000000000003</v>
      </c>
      <c r="V28" s="9">
        <f>IF(ISNUMBER(_xll.PIArcVal(U$5,$D28, 0,"TPI","exact time"))=TRUE, _xll.PIArcVal(U$5,$D28, 0,"TPI","exact time"), "")</f>
        <v>0.63900000000000001</v>
      </c>
    </row>
    <row r="29" spans="1:22" ht="13.5" thickBot="1" x14ac:dyDescent="0.25">
      <c r="A29">
        <f t="shared" si="3"/>
        <v>23</v>
      </c>
      <c r="B29" s="28">
        <f t="shared" si="0"/>
        <v>46270</v>
      </c>
      <c r="C29" s="30">
        <f t="shared" si="1"/>
        <v>46270.3125</v>
      </c>
      <c r="D29" s="30">
        <f t="shared" si="2"/>
        <v>46270.8125</v>
      </c>
      <c r="E29" s="29">
        <f>IF(ISNUMBER(_xll.PIArcVal(E$5,$C29, 0,"TPI","exact time"))=TRUE,_xll.PIArcVal(E$5,$C29, 0,"TPI","exact time"),"")</f>
        <v>17.710999999999999</v>
      </c>
      <c r="F29" s="9">
        <f>IF(ISNUMBER(_xll.PIArcVal(E$5,$D29, 0,"TPI","exact time"))=TRUE, _xll.PIArcVal(E$5,$D29, 0,"TPI","exact time"), "")</f>
        <v>23.971</v>
      </c>
      <c r="G29" s="29">
        <f>IF(ISNUMBER(_xll.PIArcVal(G$5,$C29, 0,"TPI","exact time"))=TRUE,_xll.PIArcVal(G$5,$C29, 0,"TPI","exact time"),"")</f>
        <v>2.0019999999999998</v>
      </c>
      <c r="H29" s="9">
        <f>IF(ISNUMBER(_xll.PIArcVal(G$5,$D29, 0,"TPI","exact time"))=TRUE, _xll.PIArcVal(G$5,$D29, 0,"TPI","exact time"), "")</f>
        <v>1.4410000000000001</v>
      </c>
      <c r="I29" s="29">
        <f>IF(ISNUMBER(_xll.PIArcVal(I$5,$C29, 0,"TPI","exact time"))=TRUE,_xll.PIArcVal(I$5,$C29, 0,"TPI","exact time"),"")</f>
        <v>27.77</v>
      </c>
      <c r="J29" s="9">
        <f>IF(ISNUMBER(_xll.PIArcVal(I$5,$D29, 0,"TPI","exact time"))=TRUE, _xll.PIArcVal(I$5,$D29, 0,"TPI","exact time"), "")</f>
        <v>28.66</v>
      </c>
      <c r="K29" s="29">
        <f>IF(ISNUMBER(_xll.PIArcVal(K$5,$C29, 0,"TPI","exact time"))=TRUE,_xll.PIArcVal(K$5,$C29, 0,"TPI","exact time"),"")</f>
        <v>22.138999999999999</v>
      </c>
      <c r="L29" s="9">
        <f>IF(ISNUMBER(_xll.PIArcVal(K$5,$D29, 0,"TPI","exact time"))=TRUE, _xll.PIArcVal(K$5,$D29, 0,"TPI","exact time"), "")</f>
        <v>26.068999999999999</v>
      </c>
      <c r="M29" s="29">
        <f>IF(ISNUMBER(_xll.PIArcVal(M$5,$C29, 0,"TPI","exact time"))=TRUE,_xll.PIArcVal(M$5,$C29, 0,"TPI","exact time"),"")</f>
        <v>0.57699999999999996</v>
      </c>
      <c r="N29" s="9">
        <f>IF(ISNUMBER(_xll.PIArcVal(M$5,$D29, 0,"TPI","exact time"))=TRUE, _xll.PIArcVal(M$5,$D29, 0,"TPI","exact time"), "")</f>
        <v>4.9000000000000002E-2</v>
      </c>
      <c r="O29" s="29">
        <f>IF(ISNUMBER(_xll.PIArcVal(O$5,$C29, 0,"TPI","exact time"))=TRUE,_xll.PIArcVal(O$5,$C29, 0,"TPI","exact time"),"")</f>
        <v>28.44</v>
      </c>
      <c r="P29" s="9">
        <f>IF(ISNUMBER(_xll.PIArcVal(O$5,$D29, 0,"TPI","exact time"))=TRUE, _xll.PIArcVal(O$5,$D29, 0,"TPI","exact time"), "")</f>
        <v>30.07</v>
      </c>
      <c r="Q29" s="29">
        <f>IF(ISNUMBER(_xll.PIArcVal(Q$5,$C29, 0,"TPI","exact time"))=TRUE,_xll.PIArcVal(Q$5,$C29, 0,"TPI","exact time"),"")</f>
        <v>0.41199999999999998</v>
      </c>
      <c r="R29" s="9">
        <f>IF(ISNUMBER(_xll.PIArcVal(Q$5,$D29, 0,"TPI","exact time"))=TRUE, _xll.PIArcVal(Q$5,$D29, 0,"TPI","exact time"), "")</f>
        <v>0.65100000000000002</v>
      </c>
      <c r="S29" s="29">
        <f>IF(ISNUMBER(_xll.PIArcVal(S$5,$C29, 0,"TPI","exact time"))=TRUE,_xll.PIArcVal(S$5,$C29, 0,"TPI","exact time"),"")</f>
        <v>57.93</v>
      </c>
      <c r="T29" s="9">
        <f>IF(ISNUMBER(_xll.PIArcVal(S$5,$D29, 0,"TPI","exact time"))=TRUE, _xll.PIArcVal(S$5,$D29, 0,"TPI","exact time"), "")</f>
        <v>57.598999999999997</v>
      </c>
      <c r="U29" s="29">
        <f>IF(ISNUMBER(_xll.PIArcVal(U$5,$C29, 0,"TPI","exact time"))=TRUE,_xll.PIArcVal(U$5,$C29, 0,"TPI","exact time"),"")</f>
        <v>0.57399999999999995</v>
      </c>
      <c r="V29" s="9">
        <f>IF(ISNUMBER(_xll.PIArcVal(U$5,$D29, 0,"TPI","exact time"))=TRUE, _xll.PIArcVal(U$5,$D29, 0,"TPI","exact time"), "")</f>
        <v>0.72899999999999998</v>
      </c>
    </row>
    <row r="30" spans="1:22" ht="13.5" thickBot="1" x14ac:dyDescent="0.25">
      <c r="A30">
        <f t="shared" si="3"/>
        <v>24</v>
      </c>
      <c r="B30" s="28">
        <f t="shared" si="0"/>
        <v>46271</v>
      </c>
      <c r="C30" s="30">
        <f t="shared" si="1"/>
        <v>46271.3125</v>
      </c>
      <c r="D30" s="30">
        <f t="shared" si="2"/>
        <v>46271.8125</v>
      </c>
      <c r="E30" s="29">
        <f>IF(ISNUMBER(_xll.PIArcVal(E$5,$C30, 0,"TPI","exact time"))=TRUE,_xll.PIArcVal(E$5,$C30, 0,"TPI","exact time"),"")</f>
        <v>21.791</v>
      </c>
      <c r="F30" s="9">
        <f>IF(ISNUMBER(_xll.PIArcVal(E$5,$D30, 0,"TPI","exact time"))=TRUE, _xll.PIArcVal(E$5,$D30, 0,"TPI","exact time"), "")</f>
        <v>24.57</v>
      </c>
      <c r="G30" s="29">
        <f>IF(ISNUMBER(_xll.PIArcVal(G$5,$C30, 0,"TPI","exact time"))=TRUE,_xll.PIArcVal(G$5,$C30, 0,"TPI","exact time"),"")</f>
        <v>3.226</v>
      </c>
      <c r="H30" s="9">
        <f>IF(ISNUMBER(_xll.PIArcVal(G$5,$D30, 0,"TPI","exact time"))=TRUE, _xll.PIArcVal(G$5,$D30, 0,"TPI","exact time"), "")</f>
        <v>2.9020000000000001</v>
      </c>
      <c r="I30" s="29">
        <f>IF(ISNUMBER(_xll.PIArcVal(I$5,$C30, 0,"TPI","exact time"))=TRUE,_xll.PIArcVal(I$5,$C30, 0,"TPI","exact time"),"")</f>
        <v>26.86</v>
      </c>
      <c r="J30" s="9">
        <f>IF(ISNUMBER(_xll.PIArcVal(I$5,$D30, 0,"TPI","exact time"))=TRUE, _xll.PIArcVal(I$5,$D30, 0,"TPI","exact time"), "")</f>
        <v>26.57</v>
      </c>
      <c r="K30" s="29">
        <f>IF(ISNUMBER(_xll.PIArcVal(K$5,$C30, 0,"TPI","exact time"))=TRUE,_xll.PIArcVal(K$5,$C30, 0,"TPI","exact time"),"")</f>
        <v>23.431999999999999</v>
      </c>
      <c r="L30" s="9">
        <f>IF(ISNUMBER(_xll.PIArcVal(K$5,$D30, 0,"TPI","exact time"))=TRUE, _xll.PIArcVal(K$5,$D30, 0,"TPI","exact time"), "")</f>
        <v>25.37</v>
      </c>
      <c r="M30" s="29">
        <f>IF(ISNUMBER(_xll.PIArcVal(M$5,$C30, 0,"TPI","exact time"))=TRUE,_xll.PIArcVal(M$5,$C30, 0,"TPI","exact time"),"")</f>
        <v>3.9E-2</v>
      </c>
      <c r="N30" s="9">
        <f>IF(ISNUMBER(_xll.PIArcVal(M$5,$D30, 0,"TPI","exact time"))=TRUE, _xll.PIArcVal(M$5,$D30, 0,"TPI","exact time"), "")</f>
        <v>4.9000000000000002E-2</v>
      </c>
      <c r="O30" s="29">
        <f>IF(ISNUMBER(_xll.PIArcVal(O$5,$C30, 0,"TPI","exact time"))=TRUE,_xll.PIArcVal(O$5,$C30, 0,"TPI","exact time"),"")</f>
        <v>29.09</v>
      </c>
      <c r="P30" s="9">
        <f>IF(ISNUMBER(_xll.PIArcVal(O$5,$D30, 0,"TPI","exact time"))=TRUE, _xll.PIArcVal(O$5,$D30, 0,"TPI","exact time"), "")</f>
        <v>28.68</v>
      </c>
      <c r="Q30" s="29">
        <f>IF(ISNUMBER(_xll.PIArcVal(Q$5,$C30, 0,"TPI","exact time"))=TRUE,_xll.PIArcVal(Q$5,$C30, 0,"TPI","exact time"),"")</f>
        <v>0.71699999999999997</v>
      </c>
      <c r="R30" s="9">
        <f>IF(ISNUMBER(_xll.PIArcVal(Q$5,$D30, 0,"TPI","exact time"))=TRUE, _xll.PIArcVal(Q$5,$D30, 0,"TPI","exact time"), "")</f>
        <v>0.52700000000000002</v>
      </c>
      <c r="S30" s="29">
        <f>IF(ISNUMBER(_xll.PIArcVal(S$5,$C30, 0,"TPI","exact time"))=TRUE,_xll.PIArcVal(S$5,$C30, 0,"TPI","exact time"),"")</f>
        <v>57.313000000000002</v>
      </c>
      <c r="T30" s="9">
        <f>IF(ISNUMBER(_xll.PIArcVal(S$5,$D30, 0,"TPI","exact time"))=TRUE, _xll.PIArcVal(S$5,$D30, 0,"TPI","exact time"), "")</f>
        <v>57.6</v>
      </c>
      <c r="U30" s="29">
        <f>IF(ISNUMBER(_xll.PIArcVal(U$5,$C30, 0,"TPI","exact time"))=TRUE,_xll.PIArcVal(U$5,$C30, 0,"TPI","exact time"),"")</f>
        <v>1.0660000000000001</v>
      </c>
      <c r="V30" s="9">
        <f>IF(ISNUMBER(_xll.PIArcVal(U$5,$D30, 0,"TPI","exact time"))=TRUE, _xll.PIArcVal(U$5,$D30, 0,"TPI","exact time"), "")</f>
        <v>0.72099999999999997</v>
      </c>
    </row>
    <row r="31" spans="1:22" ht="13.5" thickBot="1" x14ac:dyDescent="0.25">
      <c r="A31">
        <f t="shared" si="3"/>
        <v>25</v>
      </c>
      <c r="B31" s="28">
        <f t="shared" si="0"/>
        <v>46272</v>
      </c>
      <c r="C31" s="30">
        <f t="shared" si="1"/>
        <v>46272.3125</v>
      </c>
      <c r="D31" s="30">
        <f t="shared" si="2"/>
        <v>46272.8125</v>
      </c>
      <c r="E31" s="29">
        <f>IF(ISNUMBER(_xll.PIArcVal(E$5,$C31, 0,"TPI","exact time"))=TRUE,_xll.PIArcVal(E$5,$C31, 0,"TPI","exact time"),"")</f>
        <v>24.875</v>
      </c>
      <c r="F31" s="9">
        <f>IF(ISNUMBER(_xll.PIArcVal(E$5,$D31, 0,"TPI","exact time"))=TRUE, _xll.PIArcVal(E$5,$D31, 0,"TPI","exact time"), "")</f>
        <v>26.663</v>
      </c>
      <c r="G31" s="29">
        <f>IF(ISNUMBER(_xll.PIArcVal(G$5,$C31, 0,"TPI","exact time"))=TRUE,_xll.PIArcVal(G$5,$C31, 0,"TPI","exact time"),"")</f>
        <v>2.8490000000000002</v>
      </c>
      <c r="H31" s="9">
        <f>IF(ISNUMBER(_xll.PIArcVal(G$5,$D31, 0,"TPI","exact time"))=TRUE, _xll.PIArcVal(G$5,$D31, 0,"TPI","exact time"), "")</f>
        <v>1.901</v>
      </c>
      <c r="I31" s="29">
        <f>IF(ISNUMBER(_xll.PIArcVal(I$5,$C31, 0,"TPI","exact time"))=TRUE,_xll.PIArcVal(I$5,$C31, 0,"TPI","exact time"),"")</f>
        <v>27.3</v>
      </c>
      <c r="J31" s="9">
        <f>IF(ISNUMBER(_xll.PIArcVal(I$5,$D31, 0,"TPI","exact time"))=TRUE, _xll.PIArcVal(I$5,$D31, 0,"TPI","exact time"), "")</f>
        <v>27.66</v>
      </c>
      <c r="K31" s="29">
        <f>IF(ISNUMBER(_xll.PIArcVal(K$5,$C31, 0,"TPI","exact time"))=TRUE,_xll.PIArcVal(K$5,$C31, 0,"TPI","exact time"),"")</f>
        <v>26.068999999999999</v>
      </c>
      <c r="L31" s="9">
        <f>IF(ISNUMBER(_xll.PIArcVal(K$5,$D31, 0,"TPI","exact time"))=TRUE, _xll.PIArcVal(K$5,$D31, 0,"TPI","exact time"), "")</f>
        <v>26.465</v>
      </c>
      <c r="M31" s="29">
        <f>IF(ISNUMBER(_xll.PIArcVal(M$5,$C31, 0,"TPI","exact time"))=TRUE,_xll.PIArcVal(M$5,$C31, 0,"TPI","exact time"),"")</f>
        <v>6.5000000000000002E-2</v>
      </c>
      <c r="N31" s="9">
        <f>IF(ISNUMBER(_xll.PIArcVal(M$5,$D31, 0,"TPI","exact time"))=TRUE, _xll.PIArcVal(M$5,$D31, 0,"TPI","exact time"), "")</f>
        <v>5.8999999999999997E-2</v>
      </c>
      <c r="O31" s="29">
        <f>IF(ISNUMBER(_xll.PIArcVal(O$5,$C31, 0,"TPI","exact time"))=TRUE,_xll.PIArcVal(O$5,$C31, 0,"TPI","exact time"),"")</f>
        <v>27.87</v>
      </c>
      <c r="P31" s="9">
        <f>IF(ISNUMBER(_xll.PIArcVal(O$5,$D31, 0,"TPI","exact time"))=TRUE, _xll.PIArcVal(O$5,$D31, 0,"TPI","exact time"), "")</f>
        <v>28.96</v>
      </c>
      <c r="Q31" s="29">
        <f>IF(ISNUMBER(_xll.PIArcVal(Q$5,$C31, 0,"TPI","exact time"))=TRUE,_xll.PIArcVal(Q$5,$C31, 0,"TPI","exact time"),"")</f>
        <v>0.67900000000000005</v>
      </c>
      <c r="R31" s="9">
        <f>IF(ISNUMBER(_xll.PIArcVal(Q$5,$D31, 0,"TPI","exact time"))=TRUE, _xll.PIArcVal(Q$5,$D31, 0,"TPI","exact time"), "")</f>
        <v>0.48499999999999999</v>
      </c>
      <c r="S31" s="29">
        <f>IF(ISNUMBER(_xll.PIArcVal(S$5,$C31, 0,"TPI","exact time"))=TRUE,_xll.PIArcVal(S$5,$C31, 0,"TPI","exact time"),"")</f>
        <v>55.353000000000002</v>
      </c>
      <c r="T31" s="9">
        <f>IF(ISNUMBER(_xll.PIArcVal(S$5,$D31, 0,"TPI","exact time"))=TRUE, _xll.PIArcVal(S$5,$D31, 0,"TPI","exact time"), "")</f>
        <v>57.158999999999999</v>
      </c>
      <c r="U31" s="29">
        <f>IF(ISNUMBER(_xll.PIArcVal(U$5,$C31, 0,"TPI","exact time"))=TRUE,_xll.PIArcVal(U$5,$C31, 0,"TPI","exact time"),"")</f>
        <v>2.1579999999999999</v>
      </c>
      <c r="V31" s="9">
        <f>IF(ISNUMBER(_xll.PIArcVal(U$5,$D31, 0,"TPI","exact time"))=TRUE, _xll.PIArcVal(U$5,$D31, 0,"TPI","exact time"), "")</f>
        <v>0.68799999999999994</v>
      </c>
    </row>
    <row r="32" spans="1:22" ht="13.5" thickBot="1" x14ac:dyDescent="0.25">
      <c r="A32">
        <f t="shared" si="3"/>
        <v>26</v>
      </c>
      <c r="B32" s="28">
        <f t="shared" si="0"/>
        <v>46273</v>
      </c>
      <c r="C32" s="30">
        <f t="shared" si="1"/>
        <v>46273.3125</v>
      </c>
      <c r="D32" s="30">
        <f t="shared" si="2"/>
        <v>46273.8125</v>
      </c>
      <c r="E32" s="29">
        <f>IF(ISNUMBER(_xll.PIArcVal(E$5,$C32, 0,"TPI","exact time"))=TRUE,_xll.PIArcVal(E$5,$C32, 0,"TPI","exact time"),"")</f>
        <v>23.122</v>
      </c>
      <c r="F32" s="9">
        <f>IF(ISNUMBER(_xll.PIArcVal(E$5,$D32, 0,"TPI","exact time"))=TRUE, _xll.PIArcVal(E$5,$D32, 0,"TPI","exact time"), "")</f>
        <v>25.068000000000001</v>
      </c>
      <c r="G32" s="29">
        <f>IF(ISNUMBER(_xll.PIArcVal(G$5,$C32, 0,"TPI","exact time"))=TRUE,_xll.PIArcVal(G$5,$C32, 0,"TPI","exact time"),"")</f>
        <v>3.302</v>
      </c>
      <c r="H32" s="9">
        <f>IF(ISNUMBER(_xll.PIArcVal(G$5,$D32, 0,"TPI","exact time"))=TRUE, _xll.PIArcVal(G$5,$D32, 0,"TPI","exact time"), "")</f>
        <v>3.0830000000000002</v>
      </c>
      <c r="I32" s="29">
        <f>IF(ISNUMBER(_xll.PIArcVal(I$5,$C32, 0,"TPI","exact time"))=TRUE,_xll.PIArcVal(I$5,$C32, 0,"TPI","exact time"),"")</f>
        <v>26.32</v>
      </c>
      <c r="J32" s="9">
        <f>IF(ISNUMBER(_xll.PIArcVal(I$5,$D32, 0,"TPI","exact time"))=TRUE, _xll.PIArcVal(I$5,$D32, 0,"TPI","exact time"), "")</f>
        <v>25.8</v>
      </c>
      <c r="K32" s="29">
        <f>IF(ISNUMBER(_xll.PIArcVal(K$5,$C32, 0,"TPI","exact time"))=TRUE,_xll.PIArcVal(K$5,$C32, 0,"TPI","exact time"),"")</f>
        <v>23.571999999999999</v>
      </c>
      <c r="L32" s="9">
        <f>IF(ISNUMBER(_xll.PIArcVal(K$5,$D32, 0,"TPI","exact time"))=TRUE, _xll.PIArcVal(K$5,$D32, 0,"TPI","exact time"), "")</f>
        <v>25.97</v>
      </c>
      <c r="M32" s="29">
        <f>IF(ISNUMBER(_xll.PIArcVal(M$5,$C32, 0,"TPI","exact time"))=TRUE,_xll.PIArcVal(M$5,$C32, 0,"TPI","exact time"),"")</f>
        <v>9.9000000000000005E-2</v>
      </c>
      <c r="N32" s="9">
        <f>IF(ISNUMBER(_xll.PIArcVal(M$5,$D32, 0,"TPI","exact time"))=TRUE, _xll.PIArcVal(M$5,$D32, 0,"TPI","exact time"), "")</f>
        <v>0.106</v>
      </c>
      <c r="O32" s="29">
        <f>IF(ISNUMBER(_xll.PIArcVal(O$5,$C32, 0,"TPI","exact time"))=TRUE,_xll.PIArcVal(O$5,$C32, 0,"TPI","exact time"),"")</f>
        <v>28.31</v>
      </c>
      <c r="P32" s="9">
        <f>IF(ISNUMBER(_xll.PIArcVal(O$5,$D32, 0,"TPI","exact time"))=TRUE, _xll.PIArcVal(O$5,$D32, 0,"TPI","exact time"), "")</f>
        <v>27.45</v>
      </c>
      <c r="Q32" s="29">
        <f>IF(ISNUMBER(_xll.PIArcVal(Q$5,$C32, 0,"TPI","exact time"))=TRUE,_xll.PIArcVal(Q$5,$C32, 0,"TPI","exact time"),"")</f>
        <v>0.54800000000000004</v>
      </c>
      <c r="R32" s="9">
        <f>IF(ISNUMBER(_xll.PIArcVal(Q$5,$D32, 0,"TPI","exact time"))=TRUE, _xll.PIArcVal(Q$5,$D32, 0,"TPI","exact time"), "")</f>
        <v>0.66200000000000003</v>
      </c>
      <c r="S32" s="29">
        <f>IF(ISNUMBER(_xll.PIArcVal(S$5,$C32, 0,"TPI","exact time"))=TRUE,_xll.PIArcVal(S$5,$C32, 0,"TPI","exact time"),"")</f>
        <v>57.23</v>
      </c>
      <c r="T32" s="9">
        <f>IF(ISNUMBER(_xll.PIArcVal(S$5,$D32, 0,"TPI","exact time"))=TRUE, _xll.PIArcVal(S$5,$D32, 0,"TPI","exact time"), "")</f>
        <v>56.963999999999999</v>
      </c>
      <c r="U32" s="29">
        <f>IF(ISNUMBER(_xll.PIArcVal(U$5,$C32, 0,"TPI","exact time"))=TRUE,_xll.PIArcVal(U$5,$C32, 0,"TPI","exact time"),"")</f>
        <v>0.93100000000000005</v>
      </c>
      <c r="V32" s="9">
        <f>IF(ISNUMBER(_xll.PIArcVal(U$5,$D32, 0,"TPI","exact time"))=TRUE, _xll.PIArcVal(U$5,$D32, 0,"TPI","exact time"), "")</f>
        <v>0.96899999999999997</v>
      </c>
    </row>
    <row r="33" spans="1:22" ht="13.5" thickBot="1" x14ac:dyDescent="0.25">
      <c r="A33">
        <f t="shared" si="3"/>
        <v>27</v>
      </c>
      <c r="B33" s="28">
        <f t="shared" si="0"/>
        <v>46274</v>
      </c>
      <c r="C33" s="30">
        <f t="shared" si="1"/>
        <v>46274.3125</v>
      </c>
      <c r="D33" s="30">
        <f t="shared" si="2"/>
        <v>46274.8125</v>
      </c>
      <c r="E33" s="29">
        <f>IF(ISNUMBER(_xll.PIArcVal(E$5,$C33, 0,"TPI","exact time"))=TRUE,_xll.PIArcVal(E$5,$C33, 0,"TPI","exact time"),"")</f>
        <v>25.128</v>
      </c>
      <c r="F33" s="9">
        <f>IF(ISNUMBER(_xll.PIArcVal(E$5,$D33, 0,"TPI","exact time"))=TRUE, _xll.PIArcVal(E$5,$D33, 0,"TPI","exact time"), "")</f>
        <v>24.337</v>
      </c>
      <c r="G33" s="29">
        <f>IF(ISNUMBER(_xll.PIArcVal(G$5,$C33, 0,"TPI","exact time"))=TRUE,_xll.PIArcVal(G$5,$C33, 0,"TPI","exact time"),"")</f>
        <v>3.9340000000000002</v>
      </c>
      <c r="H33" s="9">
        <f>IF(ISNUMBER(_xll.PIArcVal(G$5,$D33, 0,"TPI","exact time"))=TRUE, _xll.PIArcVal(G$5,$D33, 0,"TPI","exact time"), "")</f>
        <v>2.57</v>
      </c>
      <c r="I33" s="29">
        <f>IF(ISNUMBER(_xll.PIArcVal(I$5,$C33, 0,"TPI","exact time"))=TRUE,_xll.PIArcVal(I$5,$C33, 0,"TPI","exact time"),"")</f>
        <v>27.26</v>
      </c>
      <c r="J33" s="9">
        <f>IF(ISNUMBER(_xll.PIArcVal(I$5,$D33, 0,"TPI","exact time"))=TRUE, _xll.PIArcVal(I$5,$D33, 0,"TPI","exact time"), "")</f>
        <v>25.95</v>
      </c>
      <c r="K33" s="29">
        <f>IF(ISNUMBER(_xll.PIArcVal(K$5,$C33, 0,"TPI","exact time"))=TRUE,_xll.PIArcVal(K$5,$C33, 0,"TPI","exact time"),"")</f>
        <v>25.227</v>
      </c>
      <c r="L33" s="9">
        <f>IF(ISNUMBER(_xll.PIArcVal(K$5,$D33, 0,"TPI","exact time"))=TRUE, _xll.PIArcVal(K$5,$D33, 0,"TPI","exact time"), "")</f>
        <v>26.167000000000002</v>
      </c>
      <c r="M33" s="29">
        <f>IF(ISNUMBER(_xll.PIArcVal(M$5,$C33, 0,"TPI","exact time"))=TRUE,_xll.PIArcVal(M$5,$C33, 0,"TPI","exact time"),"")</f>
        <v>7.2999999999999995E-2</v>
      </c>
      <c r="N33" s="9">
        <f>IF(ISNUMBER(_xll.PIArcVal(M$5,$D33, 0,"TPI","exact time"))=TRUE, _xll.PIArcVal(M$5,$D33, 0,"TPI","exact time"), "")</f>
        <v>6.2E-2</v>
      </c>
      <c r="O33" s="29">
        <f>IF(ISNUMBER(_xll.PIArcVal(O$5,$C33, 0,"TPI","exact time"))=TRUE,_xll.PIArcVal(O$5,$C33, 0,"TPI","exact time"),"")</f>
        <v>28.8</v>
      </c>
      <c r="P33" s="9">
        <f>IF(ISNUMBER(_xll.PIArcVal(O$5,$D33, 0,"TPI","exact time"))=TRUE, _xll.PIArcVal(O$5,$D33, 0,"TPI","exact time"), "")</f>
        <v>28.28</v>
      </c>
      <c r="Q33" s="29">
        <f>IF(ISNUMBER(_xll.PIArcVal(Q$5,$C33, 0,"TPI","exact time"))=TRUE,_xll.PIArcVal(Q$5,$C33, 0,"TPI","exact time"),"")</f>
        <v>0.73699999999999999</v>
      </c>
      <c r="R33" s="9">
        <f>IF(ISNUMBER(_xll.PIArcVal(Q$5,$D33, 0,"TPI","exact time"))=TRUE, _xll.PIArcVal(Q$5,$D33, 0,"TPI","exact time"), "")</f>
        <v>0.96899999999999997</v>
      </c>
      <c r="S33" s="29">
        <f>IF(ISNUMBER(_xll.PIArcVal(S$5,$C33, 0,"TPI","exact time"))=TRUE,_xll.PIArcVal(S$5,$C33, 0,"TPI","exact time"),"")</f>
        <v>55.98</v>
      </c>
      <c r="T33" s="9">
        <f>IF(ISNUMBER(_xll.PIArcVal(S$5,$D33, 0,"TPI","exact time"))=TRUE, _xll.PIArcVal(S$5,$D33, 0,"TPI","exact time"), "")</f>
        <v>54.634999999999998</v>
      </c>
      <c r="U33" s="29">
        <f>IF(ISNUMBER(_xll.PIArcVal(U$5,$C33, 0,"TPI","exact time"))=TRUE,_xll.PIArcVal(U$5,$C33, 0,"TPI","exact time"),"")</f>
        <v>1.484</v>
      </c>
      <c r="V33" s="9">
        <f>IF(ISNUMBER(_xll.PIArcVal(U$5,$D33, 0,"TPI","exact time"))=TRUE, _xll.PIArcVal(U$5,$D33, 0,"TPI","exact time"), "")</f>
        <v>1.542</v>
      </c>
    </row>
    <row r="34" spans="1:22" ht="13.5" thickBot="1" x14ac:dyDescent="0.25">
      <c r="A34">
        <f t="shared" si="3"/>
        <v>28</v>
      </c>
      <c r="B34" s="28">
        <f t="shared" si="0"/>
        <v>46275</v>
      </c>
      <c r="C34" s="30">
        <f t="shared" si="1"/>
        <v>46275.3125</v>
      </c>
      <c r="D34" s="30">
        <f t="shared" si="2"/>
        <v>46275.8125</v>
      </c>
      <c r="E34" s="29" t="str">
        <f>IF(ISNUMBER(_xll.PIArcVal(E$5,$C34, 0,"TPI","exact time"))=TRUE,_xll.PIArcVal(E$5,$C34, 0,"TPI","exact time"),"")</f>
        <v/>
      </c>
      <c r="F34" s="9">
        <f>IF(ISNUMBER(_xll.PIArcVal(E$5,$D34, 0,"TPI","exact time"))=TRUE, _xll.PIArcVal(E$5,$D34, 0,"TPI","exact time"), "")</f>
        <v>26.792999999999999</v>
      </c>
      <c r="G34" s="29" t="str">
        <f>IF(ISNUMBER(_xll.PIArcVal(G$5,$C34, 0,"TPI","exact time"))=TRUE,_xll.PIArcVal(G$5,$C34, 0,"TPI","exact time"),"")</f>
        <v/>
      </c>
      <c r="H34" s="9">
        <f>IF(ISNUMBER(_xll.PIArcVal(G$5,$D34, 0,"TPI","exact time"))=TRUE, _xll.PIArcVal(G$5,$D34, 0,"TPI","exact time"), "")</f>
        <v>2.8439999999999999</v>
      </c>
      <c r="I34" s="29" t="str">
        <f>IF(ISNUMBER(_xll.PIArcVal(I$5,$C34, 0,"TPI","exact time"))=TRUE,_xll.PIArcVal(I$5,$C34, 0,"TPI","exact time"),"")</f>
        <v/>
      </c>
      <c r="J34" s="9">
        <f>IF(ISNUMBER(_xll.PIArcVal(I$5,$D34, 0,"TPI","exact time"))=TRUE, _xll.PIArcVal(I$5,$D34, 0,"TPI","exact time"), "")</f>
        <v>28.76</v>
      </c>
      <c r="K34" s="29" t="str">
        <f>IF(ISNUMBER(_xll.PIArcVal(K$5,$C34, 0,"TPI","exact time"))=TRUE,_xll.PIArcVal(K$5,$C34, 0,"TPI","exact time"),"")</f>
        <v/>
      </c>
      <c r="L34" s="9">
        <f>IF(ISNUMBER(_xll.PIArcVal(K$5,$D34, 0,"TPI","exact time"))=TRUE, _xll.PIArcVal(K$5,$D34, 0,"TPI","exact time"), "")</f>
        <v>27.766999999999999</v>
      </c>
      <c r="M34" s="29" t="str">
        <f>IF(ISNUMBER(_xll.PIArcVal(M$5,$C34, 0,"TPI","exact time"))=TRUE,_xll.PIArcVal(M$5,$C34, 0,"TPI","exact time"),"")</f>
        <v/>
      </c>
      <c r="N34" s="9">
        <f>IF(ISNUMBER(_xll.PIArcVal(M$5,$D34, 0,"TPI","exact time"))=TRUE, _xll.PIArcVal(M$5,$D34, 0,"TPI","exact time"), "")</f>
        <v>0.14499999999999999</v>
      </c>
      <c r="O34" s="29" t="str">
        <f>IF(ISNUMBER(_xll.PIArcVal(O$5,$C34, 0,"TPI","exact time"))=TRUE,_xll.PIArcVal(O$5,$C34, 0,"TPI","exact time"),"")</f>
        <v/>
      </c>
      <c r="P34" s="9">
        <f>IF(ISNUMBER(_xll.PIArcVal(O$5,$D34, 0,"TPI","exact time"))=TRUE, _xll.PIArcVal(O$5,$D34, 0,"TPI","exact time"), "")</f>
        <v>30.48</v>
      </c>
      <c r="Q34" s="29" t="str">
        <f>IF(ISNUMBER(_xll.PIArcVal(Q$5,$C34, 0,"TPI","exact time"))=TRUE,_xll.PIArcVal(Q$5,$C34, 0,"TPI","exact time"),"")</f>
        <v/>
      </c>
      <c r="R34" s="9">
        <f>IF(ISNUMBER(_xll.PIArcVal(Q$5,$D34, 0,"TPI","exact time"))=TRUE, _xll.PIArcVal(Q$5,$D34, 0,"TPI","exact time"), "")</f>
        <v>0.76900000000000002</v>
      </c>
      <c r="S34" s="29" t="str">
        <f>IF(ISNUMBER(_xll.PIArcVal(S$5,$C34, 0,"TPI","exact time"))=TRUE,_xll.PIArcVal(S$5,$C34, 0,"TPI","exact time"),"")</f>
        <v/>
      </c>
      <c r="T34" s="9">
        <f>IF(ISNUMBER(_xll.PIArcVal(S$5,$D34, 0,"TPI","exact time"))=TRUE, _xll.PIArcVal(S$5,$D34, 0,"TPI","exact time"), "")</f>
        <v>55.16</v>
      </c>
      <c r="U34" s="29" t="str">
        <f>IF(ISNUMBER(_xll.PIArcVal(U$5,$C34, 0,"TPI","exact time"))=TRUE,_xll.PIArcVal(U$5,$C34, 0,"TPI","exact time"),"")</f>
        <v/>
      </c>
      <c r="V34" s="9">
        <f>IF(ISNUMBER(_xll.PIArcVal(U$5,$D34, 0,"TPI","exact time"))=TRUE, _xll.PIArcVal(U$5,$D34, 0,"TPI","exact time"), "")</f>
        <v>1.7390000000000001</v>
      </c>
    </row>
    <row r="35" spans="1:22" ht="13.5" thickBot="1" x14ac:dyDescent="0.25">
      <c r="A35">
        <f t="shared" si="3"/>
        <v>29</v>
      </c>
      <c r="B35" s="28">
        <f t="shared" si="0"/>
        <v>46276</v>
      </c>
      <c r="C35" s="30">
        <f t="shared" si="1"/>
        <v>46276.3125</v>
      </c>
      <c r="D35" s="30">
        <f t="shared" si="2"/>
        <v>46276.8125</v>
      </c>
      <c r="E35" s="29">
        <f>IF(ISNUMBER(_xll.PIArcVal(E$5,$C35, 0,"TPI","exact time"))=TRUE,_xll.PIArcVal(E$5,$C35, 0,"TPI","exact time"),"")</f>
        <v>26.146000000000001</v>
      </c>
      <c r="F35" s="9">
        <f>IF(ISNUMBER(_xll.PIArcVal(E$5,$D35, 0,"TPI","exact time"))=TRUE, _xll.PIArcVal(E$5,$D35, 0,"TPI","exact time"), "")</f>
        <v>25.469000000000001</v>
      </c>
      <c r="G35" s="29">
        <f>IF(ISNUMBER(_xll.PIArcVal(G$5,$C35, 0,"TPI","exact time"))=TRUE,_xll.PIArcVal(G$5,$C35, 0,"TPI","exact time"),"")</f>
        <v>2.3490000000000002</v>
      </c>
      <c r="H35" s="9">
        <f>IF(ISNUMBER(_xll.PIArcVal(G$5,$D35, 0,"TPI","exact time"))=TRUE, _xll.PIArcVal(G$5,$D35, 0,"TPI","exact time"), "")</f>
        <v>2.7330000000000001</v>
      </c>
      <c r="I35" s="29">
        <f>IF(ISNUMBER(_xll.PIArcVal(I$5,$C35, 0,"TPI","exact time"))=TRUE,_xll.PIArcVal(I$5,$C35, 0,"TPI","exact time"),"")</f>
        <v>28.79</v>
      </c>
      <c r="J35" s="9">
        <f>IF(ISNUMBER(_xll.PIArcVal(I$5,$D35, 0,"TPI","exact time"))=TRUE, _xll.PIArcVal(I$5,$D35, 0,"TPI","exact time"), "")</f>
        <v>28.09</v>
      </c>
      <c r="K35" s="29">
        <f>IF(ISNUMBER(_xll.PIArcVal(K$5,$C35, 0,"TPI","exact time"))=TRUE,_xll.PIArcVal(K$5,$C35, 0,"TPI","exact time"),"")</f>
        <v>26.471</v>
      </c>
      <c r="L35" s="9">
        <f>IF(ISNUMBER(_xll.PIArcVal(K$5,$D35, 0,"TPI","exact time"))=TRUE, _xll.PIArcVal(K$5,$D35, 0,"TPI","exact time"), "")</f>
        <v>26.268000000000001</v>
      </c>
      <c r="M35" s="29">
        <f>IF(ISNUMBER(_xll.PIArcVal(M$5,$C35, 0,"TPI","exact time"))=TRUE,_xll.PIArcVal(M$5,$C35, 0,"TPI","exact time"),"")</f>
        <v>0.13700000000000001</v>
      </c>
      <c r="N35" s="9">
        <f>IF(ISNUMBER(_xll.PIArcVal(M$5,$D35, 0,"TPI","exact time"))=TRUE, _xll.PIArcVal(M$5,$D35, 0,"TPI","exact time"), "")</f>
        <v>8.5999999999999993E-2</v>
      </c>
      <c r="O35" s="29">
        <f>IF(ISNUMBER(_xll.PIArcVal(O$5,$C35, 0,"TPI","exact time"))=TRUE,_xll.PIArcVal(O$5,$C35, 0,"TPI","exact time"),"")</f>
        <v>29.78</v>
      </c>
      <c r="P35" s="9">
        <f>IF(ISNUMBER(_xll.PIArcVal(O$5,$D35, 0,"TPI","exact time"))=TRUE, _xll.PIArcVal(O$5,$D35, 0,"TPI","exact time"), "")</f>
        <v>29.04</v>
      </c>
      <c r="Q35" s="29">
        <f>IF(ISNUMBER(_xll.PIArcVal(Q$5,$C35, 0,"TPI","exact time"))=TRUE,_xll.PIArcVal(Q$5,$C35, 0,"TPI","exact time"),"")</f>
        <v>0.59899999999999998</v>
      </c>
      <c r="R35" s="9">
        <f>IF(ISNUMBER(_xll.PIArcVal(Q$5,$D35, 0,"TPI","exact time"))=TRUE, _xll.PIArcVal(Q$5,$D35, 0,"TPI","exact time"), "")</f>
        <v>0.58699999999999997</v>
      </c>
      <c r="S35" s="29">
        <f>IF(ISNUMBER(_xll.PIArcVal(S$5,$C35, 0,"TPI","exact time"))=TRUE,_xll.PIArcVal(S$5,$C35, 0,"TPI","exact time"),"")</f>
        <v>56.704999999999998</v>
      </c>
      <c r="T35" s="9">
        <f>IF(ISNUMBER(_xll.PIArcVal(S$5,$D35, 0,"TPI","exact time"))=TRUE, _xll.PIArcVal(S$5,$D35, 0,"TPI","exact time"), "")</f>
        <v>56.673000000000002</v>
      </c>
      <c r="U35" s="29">
        <f>IF(ISNUMBER(_xll.PIArcVal(U$5,$C35, 0,"TPI","exact time"))=TRUE,_xll.PIArcVal(U$5,$C35, 0,"TPI","exact time"),"")</f>
        <v>0.79200000000000004</v>
      </c>
      <c r="V35" s="9">
        <f>IF(ISNUMBER(_xll.PIArcVal(U$5,$D35, 0,"TPI","exact time"))=TRUE, _xll.PIArcVal(U$5,$D35, 0,"TPI","exact time"), "")</f>
        <v>0.66100000000000003</v>
      </c>
    </row>
    <row r="36" spans="1:22" ht="13.5" thickBot="1" x14ac:dyDescent="0.25">
      <c r="A36">
        <f t="shared" si="3"/>
        <v>30</v>
      </c>
      <c r="B36" s="28">
        <f>+B37-1</f>
        <v>46277</v>
      </c>
      <c r="C36" s="30">
        <f t="shared" si="1"/>
        <v>46277.3125</v>
      </c>
      <c r="D36" s="30">
        <f t="shared" si="2"/>
        <v>46277.8125</v>
      </c>
      <c r="E36" s="29">
        <f>IF(ISNUMBER(_xll.PIArcVal(E$5,$C36, 0,"TPI","exact time"))=TRUE,_xll.PIArcVal(E$5,$C36, 0,"TPI","exact time"),"")</f>
        <v>26.094000000000001</v>
      </c>
      <c r="F36" s="9">
        <f>IF(ISNUMBER(_xll.PIArcVal(E$5,$D36, 0,"TPI","exact time"))=TRUE, _xll.PIArcVal(E$5,$D36, 0,"TPI","exact time"), "")</f>
        <v>23.669</v>
      </c>
      <c r="G36" s="29">
        <f>IF(ISNUMBER(_xll.PIArcVal(G$5,$C36, 0,"TPI","exact time"))=TRUE,_xll.PIArcVal(G$5,$C36, 0,"TPI","exact time"),"")</f>
        <v>3.5649999999999999</v>
      </c>
      <c r="H36" s="9">
        <f>IF(ISNUMBER(_xll.PIArcVal(G$5,$D36, 0,"TPI","exact time"))=TRUE, _xll.PIArcVal(G$5,$D36, 0,"TPI","exact time"), "")</f>
        <v>2.339</v>
      </c>
      <c r="I36" s="29">
        <f>IF(ISNUMBER(_xll.PIArcVal(I$5,$C36, 0,"TPI","exact time"))=TRUE,_xll.PIArcVal(I$5,$C36, 0,"TPI","exact time"),"")</f>
        <v>28.82</v>
      </c>
      <c r="J36" s="9">
        <f>IF(ISNUMBER(_xll.PIArcVal(I$5,$D36, 0,"TPI","exact time"))=TRUE, _xll.PIArcVal(I$5,$D36, 0,"TPI","exact time"), "")</f>
        <v>29.09</v>
      </c>
      <c r="K36" s="29">
        <f>IF(ISNUMBER(_xll.PIArcVal(K$5,$C36, 0,"TPI","exact time"))=TRUE,_xll.PIArcVal(K$5,$C36, 0,"TPI","exact time"),"")</f>
        <v>25.547000000000001</v>
      </c>
      <c r="L36" s="9">
        <f>IF(ISNUMBER(_xll.PIArcVal(K$5,$D36, 0,"TPI","exact time"))=TRUE, _xll.PIArcVal(K$5,$D36, 0,"TPI","exact time"), "")</f>
        <v>25.821000000000002</v>
      </c>
      <c r="M36" s="29">
        <f>IF(ISNUMBER(_xll.PIArcVal(M$5,$C36, 0,"TPI","exact time"))=TRUE,_xll.PIArcVal(M$5,$C36, 0,"TPI","exact time"),"")</f>
        <v>9.2999999999999999E-2</v>
      </c>
      <c r="N36" s="9">
        <f>IF(ISNUMBER(_xll.PIArcVal(M$5,$D36, 0,"TPI","exact time"))=TRUE, _xll.PIArcVal(M$5,$D36, 0,"TPI","exact time"), "")</f>
        <v>0.108</v>
      </c>
      <c r="O36" s="29">
        <f>IF(ISNUMBER(_xll.PIArcVal(O$5,$C36, 0,"TPI","exact time"))=TRUE,_xll.PIArcVal(O$5,$C36, 0,"TPI","exact time"),"")</f>
        <v>30.04</v>
      </c>
      <c r="P36" s="9">
        <f>IF(ISNUMBER(_xll.PIArcVal(O$5,$D36, 0,"TPI","exact time"))=TRUE, _xll.PIArcVal(O$5,$D36, 0,"TPI","exact time"), "")</f>
        <v>29.63</v>
      </c>
      <c r="Q36" s="29">
        <f>IF(ISNUMBER(_xll.PIArcVal(Q$5,$C36, 0,"TPI","exact time"))=TRUE,_xll.PIArcVal(Q$5,$C36, 0,"TPI","exact time"),"")</f>
        <v>0.58699999999999997</v>
      </c>
      <c r="R36" s="9">
        <f>IF(ISNUMBER(_xll.PIArcVal(Q$5,$D36, 0,"TPI","exact time"))=TRUE, _xll.PIArcVal(Q$5,$D36, 0,"TPI","exact time"), "")</f>
        <v>0.628</v>
      </c>
      <c r="S36" s="29">
        <f>IF(ISNUMBER(_xll.PIArcVal(S$5,$C36, 0,"TPI","exact time"))=TRUE,_xll.PIArcVal(S$5,$C36, 0,"TPI","exact time"),"")</f>
        <v>57.347999999999999</v>
      </c>
      <c r="T36" s="9">
        <f>IF(ISNUMBER(_xll.PIArcVal(S$5,$D36, 0,"TPI","exact time"))=TRUE, _xll.PIArcVal(S$5,$D36, 0,"TPI","exact time"), "")</f>
        <v>56.975000000000001</v>
      </c>
      <c r="U36" s="29">
        <f>IF(ISNUMBER(_xll.PIArcVal(U$5,$C36, 0,"TPI","exact time"))=TRUE,_xll.PIArcVal(U$5,$C36, 0,"TPI","exact time"),"")</f>
        <v>0.66300000000000003</v>
      </c>
      <c r="V36" s="9">
        <f>IF(ISNUMBER(_xll.PIArcVal(U$5,$D36, 0,"TPI","exact time"))=TRUE, _xll.PIArcVal(U$5,$D36, 0,"TPI","exact time"), "")</f>
        <v>0.77500000000000002</v>
      </c>
    </row>
    <row r="37" spans="1:22" ht="13.5" thickBot="1" x14ac:dyDescent="0.25">
      <c r="A37">
        <f t="shared" si="3"/>
        <v>31</v>
      </c>
      <c r="B37" s="46">
        <f>Portada!P5</f>
        <v>46278</v>
      </c>
      <c r="C37" s="30">
        <f t="shared" si="1"/>
        <v>46278.3125</v>
      </c>
      <c r="D37" s="30">
        <f t="shared" si="2"/>
        <v>46278.8125</v>
      </c>
      <c r="E37" s="29">
        <f>IF(ISNUMBER(_xll.PIArcVal(E$5,$C37, 0,"TPI","exact time"))=TRUE,_xll.PIArcVal(E$5,$C37, 0,"TPI","exact time"),"")</f>
        <v>23.776</v>
      </c>
      <c r="F37" s="9" t="str">
        <f>IF(ISNUMBER(_xll.PIArcVal(E$5,$D37, 0,"TPI","exact time"))=TRUE, _xll.PIArcVal(E$5,$D37, 0,"TPI","exact time"), "")</f>
        <v/>
      </c>
      <c r="G37" s="29">
        <f>IF(ISNUMBER(_xll.PIArcVal(G$5,$C37, 0,"TPI","exact time"))=TRUE,_xll.PIArcVal(G$5,$C37, 0,"TPI","exact time"),"")</f>
        <v>1.7549999999999999</v>
      </c>
      <c r="H37" s="9" t="str">
        <f>IF(ISNUMBER(_xll.PIArcVal(G$5,$D37, 0,"TPI","exact time"))=TRUE, _xll.PIArcVal(G$5,$D37, 0,"TPI","exact time"), "")</f>
        <v/>
      </c>
      <c r="I37" s="29">
        <f>IF(ISNUMBER(_xll.PIArcVal(I$5,$C37, 0,"TPI","exact time"))=TRUE,_xll.PIArcVal(I$5,$C37, 0,"TPI","exact time"),"")</f>
        <v>30.1</v>
      </c>
      <c r="J37" s="9" t="str">
        <f>IF(ISNUMBER(_xll.PIArcVal(I$5,$D37, 0,"TPI","exact time"))=TRUE, _xll.PIArcVal(I$5,$D37, 0,"TPI","exact time"), "")</f>
        <v/>
      </c>
      <c r="K37" s="29">
        <f>IF(ISNUMBER(_xll.PIArcVal(K$5,$C37, 0,"TPI","exact time"))=TRUE,_xll.PIArcVal(K$5,$C37, 0,"TPI","exact time"),"")</f>
        <v>25.271000000000001</v>
      </c>
      <c r="L37" s="9" t="str">
        <f>IF(ISNUMBER(_xll.PIArcVal(K$5,$D37, 0,"TPI","exact time"))=TRUE, _xll.PIArcVal(K$5,$D37, 0,"TPI","exact time"), "")</f>
        <v/>
      </c>
      <c r="M37" s="29">
        <f>IF(ISNUMBER(_xll.PIArcVal(M$5,$C37, 0,"TPI","exact time"))=TRUE,_xll.PIArcVal(M$5,$C37, 0,"TPI","exact time"),"")</f>
        <v>7.1999999999999995E-2</v>
      </c>
      <c r="N37" s="9" t="str">
        <f>IF(ISNUMBER(_xll.PIArcVal(M$5,$D37, 0,"TPI","exact time"))=TRUE, _xll.PIArcVal(M$5,$D37, 0,"TPI","exact time"), "")</f>
        <v/>
      </c>
      <c r="O37" s="29">
        <f>IF(ISNUMBER(_xll.PIArcVal(O$5,$C37, 0,"TPI","exact time"))=TRUE,_xll.PIArcVal(O$5,$C37, 0,"TPI","exact time"),"")</f>
        <v>30.68</v>
      </c>
      <c r="P37" s="9" t="str">
        <f>IF(ISNUMBER(_xll.PIArcVal(O$5,$D37, 0,"TPI","exact time"))=TRUE, _xll.PIArcVal(O$5,$D37, 0,"TPI","exact time"), "")</f>
        <v/>
      </c>
      <c r="Q37" s="29">
        <f>IF(ISNUMBER(_xll.PIArcVal(Q$5,$C37, 0,"TPI","exact time"))=TRUE,_xll.PIArcVal(Q$5,$C37, 0,"TPI","exact time"),"")</f>
        <v>0.71199999999999997</v>
      </c>
      <c r="R37" s="9" t="str">
        <f>IF(ISNUMBER(_xll.PIArcVal(Q$5,$D37, 0,"TPI","exact time"))=TRUE, _xll.PIArcVal(Q$5,$D37, 0,"TPI","exact time"), "")</f>
        <v/>
      </c>
      <c r="S37" s="29">
        <f>IF(ISNUMBER(_xll.PIArcVal(S$5,$C37, 0,"TPI","exact time"))=TRUE,_xll.PIArcVal(S$5,$C37, 0,"TPI","exact time"),"")</f>
        <v>56.81</v>
      </c>
      <c r="T37" s="9" t="str">
        <f>IF(ISNUMBER(_xll.PIArcVal(S$5,$D37, 0,"TPI","exact time"))=TRUE, _xll.PIArcVal(S$5,$D37, 0,"TPI","exact time"), "")</f>
        <v/>
      </c>
      <c r="U37" s="29">
        <f>IF(ISNUMBER(_xll.PIArcVal(U$5,$C37, 0,"TPI","exact time"))=TRUE,_xll.PIArcVal(U$5,$C37, 0,"TPI","exact time"),"")</f>
        <v>0.86399999999999999</v>
      </c>
      <c r="V37" s="9" t="str">
        <f>IF(ISNUMBER(_xll.PIArcVal(U$5,$D37, 0,"TPI","exact time"))=TRUE, _xll.PIArcVal(U$5,$D37, 0,"TPI","exact time"), "")</f>
        <v/>
      </c>
    </row>
  </sheetData>
  <pageMargins left="0.75" right="0.75" top="1" bottom="1" header="0.5" footer="0.5"/>
  <pageSetup scale="64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31222-9517-4DB6-A802-17E17BDA07A5}">
  <sheetPr codeName="Sheet21"/>
  <dimension ref="A2:Z41"/>
  <sheetViews>
    <sheetView zoomScaleNormal="100" workbookViewId="0">
      <selection activeCell="H38" sqref="H38"/>
    </sheetView>
  </sheetViews>
  <sheetFormatPr defaultRowHeight="12.75" x14ac:dyDescent="0.2"/>
  <cols>
    <col min="1" max="1" width="4.28515625" customWidth="1"/>
    <col min="2" max="2" width="15.5703125" bestFit="1" customWidth="1"/>
    <col min="3" max="3" width="21" customWidth="1"/>
    <col min="4" max="4" width="19.85546875" customWidth="1"/>
    <col min="5" max="5" width="8" bestFit="1" customWidth="1"/>
    <col min="6" max="10" width="9.42578125" bestFit="1" customWidth="1"/>
    <col min="11" max="14" width="9.42578125" customWidth="1"/>
    <col min="15" max="20" width="9.42578125" bestFit="1" customWidth="1"/>
    <col min="21" max="21" width="9.42578125" customWidth="1"/>
    <col min="22" max="22" width="9.85546875" bestFit="1" customWidth="1"/>
    <col min="23" max="23" width="9.28515625" bestFit="1" customWidth="1"/>
    <col min="24" max="24" width="9.7109375" bestFit="1" customWidth="1"/>
    <col min="25" max="26" width="9.85546875" bestFit="1" customWidth="1"/>
  </cols>
  <sheetData>
    <row r="2" spans="1:26" ht="13.5" thickBot="1" x14ac:dyDescent="0.25"/>
    <row r="3" spans="1:26" ht="13.5" thickBot="1" x14ac:dyDescent="0.25">
      <c r="E3" s="19" t="s">
        <v>9</v>
      </c>
      <c r="F3" s="20"/>
      <c r="G3" s="20"/>
      <c r="H3" s="20"/>
      <c r="I3" s="20"/>
      <c r="J3" s="20"/>
      <c r="K3" s="20"/>
      <c r="L3" s="20"/>
      <c r="M3" s="20"/>
      <c r="N3" s="20"/>
      <c r="O3" s="23" t="s">
        <v>15</v>
      </c>
      <c r="P3" s="24"/>
      <c r="Q3" s="24"/>
      <c r="R3" s="24"/>
      <c r="S3" s="24"/>
      <c r="T3" s="24"/>
      <c r="U3" s="25" t="s">
        <v>5</v>
      </c>
      <c r="V3" s="26"/>
      <c r="W3" s="26"/>
      <c r="X3" s="26"/>
      <c r="Y3" s="26"/>
      <c r="Z3" s="26"/>
    </row>
    <row r="4" spans="1:26" x14ac:dyDescent="0.2">
      <c r="E4" s="21" t="s">
        <v>1</v>
      </c>
      <c r="F4" s="22"/>
      <c r="G4" s="21" t="s">
        <v>2</v>
      </c>
      <c r="H4" s="22"/>
      <c r="I4" s="21" t="s">
        <v>3</v>
      </c>
      <c r="J4" s="22"/>
      <c r="K4" s="21" t="s">
        <v>44</v>
      </c>
      <c r="L4" s="22"/>
      <c r="M4" s="21" t="s">
        <v>47</v>
      </c>
      <c r="N4" s="22"/>
      <c r="O4" s="21" t="s">
        <v>1</v>
      </c>
      <c r="P4" s="22"/>
      <c r="Q4" s="21" t="s">
        <v>2</v>
      </c>
      <c r="R4" s="22"/>
      <c r="S4" s="21" t="s">
        <v>3</v>
      </c>
      <c r="T4" s="22"/>
      <c r="U4" s="21" t="s">
        <v>1</v>
      </c>
      <c r="V4" s="22"/>
      <c r="W4" s="21" t="s">
        <v>2</v>
      </c>
      <c r="X4" s="22"/>
      <c r="Y4" s="21" t="s">
        <v>3</v>
      </c>
      <c r="Z4" s="22"/>
    </row>
    <row r="5" spans="1:26" s="27" customFormat="1" ht="9.75" thickBot="1" x14ac:dyDescent="0.2">
      <c r="E5" s="27" t="s">
        <v>111</v>
      </c>
      <c r="G5" s="27" t="s">
        <v>112</v>
      </c>
      <c r="I5" s="301" t="s">
        <v>113</v>
      </c>
      <c r="K5" s="27" t="s">
        <v>114</v>
      </c>
      <c r="O5" s="27" t="s">
        <v>115</v>
      </c>
      <c r="Q5" s="27" t="s">
        <v>116</v>
      </c>
      <c r="S5" s="27" t="s">
        <v>117</v>
      </c>
      <c r="U5" s="27" t="s">
        <v>118</v>
      </c>
      <c r="W5" s="27" t="s">
        <v>119</v>
      </c>
      <c r="Y5" s="27" t="s">
        <v>120</v>
      </c>
    </row>
    <row r="6" spans="1:26" ht="13.5" thickBot="1" x14ac:dyDescent="0.25">
      <c r="E6" s="18" t="s">
        <v>10</v>
      </c>
      <c r="F6" s="17" t="s">
        <v>11</v>
      </c>
      <c r="G6" s="18" t="s">
        <v>10</v>
      </c>
      <c r="H6" s="17" t="s">
        <v>11</v>
      </c>
      <c r="I6" s="18" t="s">
        <v>10</v>
      </c>
      <c r="J6" s="17" t="s">
        <v>11</v>
      </c>
      <c r="K6" s="18" t="s">
        <v>10</v>
      </c>
      <c r="L6" s="17" t="s">
        <v>11</v>
      </c>
      <c r="M6" s="18" t="s">
        <v>10</v>
      </c>
      <c r="N6" s="17" t="s">
        <v>11</v>
      </c>
      <c r="O6" s="18" t="s">
        <v>10</v>
      </c>
      <c r="P6" s="17" t="s">
        <v>11</v>
      </c>
      <c r="Q6" s="18" t="s">
        <v>10</v>
      </c>
      <c r="R6" s="17" t="s">
        <v>11</v>
      </c>
      <c r="S6" s="18" t="s">
        <v>10</v>
      </c>
      <c r="T6" s="17" t="s">
        <v>11</v>
      </c>
      <c r="U6" s="18" t="s">
        <v>10</v>
      </c>
      <c r="V6" s="17" t="s">
        <v>11</v>
      </c>
      <c r="W6" s="18" t="s">
        <v>10</v>
      </c>
      <c r="X6" s="17" t="s">
        <v>11</v>
      </c>
      <c r="Y6" s="18" t="s">
        <v>10</v>
      </c>
      <c r="Z6" s="17" t="s">
        <v>11</v>
      </c>
    </row>
    <row r="7" spans="1:26" ht="13.5" thickBot="1" x14ac:dyDescent="0.25">
      <c r="A7">
        <v>1</v>
      </c>
      <c r="B7" s="28">
        <f t="shared" ref="B7:B36" si="0">+B8-1</f>
        <v>46248</v>
      </c>
      <c r="C7" s="30">
        <f t="shared" ref="C7:C37" si="1">+B7+7.5/24</f>
        <v>46248.3125</v>
      </c>
      <c r="D7" s="30">
        <f t="shared" ref="D7:D37" si="2">+B7+19.5/24</f>
        <v>46248.8125</v>
      </c>
      <c r="E7" s="29">
        <f>IF(ISNUMBER(_xll.PIArcVal(E$5,$C7, 0,"TPI","exact time"))=TRUE,_xll.PIArcVal(E$5,$C7, 0,"TPI","exact time"),"")</f>
        <v>0.60799999999999998</v>
      </c>
      <c r="F7" s="9">
        <f>IF(ISNUMBER(_xll.PIArcVal(E$5,$D7, 0,"TPI","exact time"))=TRUE, _xll.PIArcVal(E$5,$D7, 0,"TPI","exact time"), "")</f>
        <v>0.44500000000000001</v>
      </c>
      <c r="G7" s="29">
        <f>IF(ISNUMBER(_xll.PIArcVal(G$5,$C7, 0,"TPI","exact time"))=TRUE,_xll.PIArcVal(G$5,$C7, 0,"TPI","exact time"),"")</f>
        <v>5.0999999999999997E-2</v>
      </c>
      <c r="H7" s="9">
        <f>IF(ISNUMBER(_xll.PIArcVal(G$5,$D7, 0,"TPI","exact time"))=TRUE, _xll.PIArcVal(G$5,$D7, 0,"TPI","exact time"), "")</f>
        <v>4.2999999999999997E-2</v>
      </c>
      <c r="I7" s="29">
        <f>IF(ISNUMBER(_xll.PIArcVal(I$5,$C7, 0,"TPI","exact time"))=TRUE,_xll.PIArcVal(I$5,$C7, 0,"TPI","exact time"),"")</f>
        <v>1.9990000000000001</v>
      </c>
      <c r="J7" s="9">
        <f>IF(ISNUMBER(_xll.PIArcVal(I$5,$D7, 0,"TPI","exact time"))=TRUE, _xll.PIArcVal(I$5,$D7, 0,"TPI","exact time"), "")</f>
        <v>2.149</v>
      </c>
      <c r="K7" s="29">
        <f>IF(ISNUMBER(_xll.PIArcVal(K$5,$C7, 0,"TPI","exact time"))=TRUE,_xll.PIArcVal(K$5,$C7, 0,"TPI","exact time"),"")</f>
        <v>5.0000000000000001E-3</v>
      </c>
      <c r="L7" s="9">
        <f>IF(ISNUMBER(_xll.PIArcVal(K$5,$D7, 0,"TPI","exact time"))=TRUE, _xll.PIArcVal(K$5,$D7, 0,"TPI","exact time"), "")</f>
        <v>5.0000000000000001E-3</v>
      </c>
      <c r="M7" s="29" t="str">
        <f>IF(ISNUMBER(_xll.PIArcVal(M$5,$C7, 0,"TPI","exact time"))=TRUE,_xll.PIArcVal(M$5,$C7, 0,"TPI","exact time"),"")</f>
        <v/>
      </c>
      <c r="N7" s="9" t="str">
        <f>IF(ISNUMBER(_xll.PIArcVal(M$5,$D7, 0,"TPI","exact time"))=TRUE, _xll.PIArcVal(M$5,$D7, 0,"TPI","exact time"), "")</f>
        <v/>
      </c>
      <c r="O7" s="29">
        <f>IF(ISNUMBER(_xll.PIArcVal(O$5,$C7, 0,"TPI","exact time"))=TRUE,_xll.PIArcVal(O$5,$C7, 0,"TPI","exact time"),"")</f>
        <v>4.4999999999999998E-2</v>
      </c>
      <c r="P7" s="9">
        <f>IF(ISNUMBER(_xll.PIArcVal(O$5,$D7, 0,"TPI","exact time"))=TRUE, _xll.PIArcVal(O$5,$D7, 0,"TPI","exact time"), "")</f>
        <v>4.2999999999999997E-2</v>
      </c>
      <c r="Q7" s="29">
        <f>IF(ISNUMBER(_xll.PIArcVal(Q$5,$C7, 0,"TPI","exact time"))=TRUE,_xll.PIArcVal(Q$5,$C7, 0,"TPI","exact time"),"")</f>
        <v>7.0000000000000001E-3</v>
      </c>
      <c r="R7" s="9">
        <f>IF(ISNUMBER(_xll.PIArcVal(Q$5,$D7, 0,"TPI","exact time"))=TRUE, _xll.PIArcVal(Q$5,$D7, 0,"TPI","exact time"), "")</f>
        <v>6.0000000000000001E-3</v>
      </c>
      <c r="S7" s="29">
        <f>IF(ISNUMBER(_xll.PIArcVal(S$5,$C7, 0,"TPI","exact time"))=TRUE,_xll.PIArcVal(S$5,$C7, 0,"TPI","exact time"),"")</f>
        <v>1.4379999999999999</v>
      </c>
      <c r="T7" s="9">
        <f>IF(ISNUMBER(_xll.PIArcVal(S$5,$D7, 0,"TPI","exact time"))=TRUE, _xll.PIArcVal(S$5,$D7, 0,"TPI","exact time"), "")</f>
        <v>1.8149999999999999</v>
      </c>
      <c r="U7" s="29">
        <f>IF(ISNUMBER(_xll.PIArcVal(U$5,$C7, 0,"TPI","exact time"))=TRUE,_xll.PIArcVal(U$5,$C7, 0,"TPI","exact time"),"")</f>
        <v>26.169</v>
      </c>
      <c r="V7" s="9">
        <f>IF(ISNUMBER(_xll.PIArcVal(U$5,$D7, 0,"TPI","exact time"))=TRUE, _xll.PIArcVal(U$5,$D7, 0,"TPI","exact time"), "")</f>
        <v>21.931999999999999</v>
      </c>
      <c r="W7" s="29">
        <f>IF(ISNUMBER(_xll.PIArcVal(W$5,$C7, 0,"TPI","exact time"))=TRUE,_xll.PIArcVal(W$5,$C7, 0,"TPI","exact time"),"")</f>
        <v>1.706</v>
      </c>
      <c r="X7" s="9">
        <f>IF(ISNUMBER(_xll.PIArcVal(W$5,$D7, 0,"TPI","exact time"))=TRUE, _xll.PIArcVal(W$5,$D7, 0,"TPI","exact time"), "")</f>
        <v>1.631</v>
      </c>
      <c r="Y7" s="29">
        <f>IF(ISNUMBER(_xll.PIArcVal(Y$5,$C7, 0,"TPI","exact time"))=TRUE,_xll.PIArcVal(Y$5,$C7, 0,"TPI","exact time"),"")</f>
        <v>28.31</v>
      </c>
      <c r="Z7" s="9">
        <f>IF(ISNUMBER(_xll.PIArcVal(Y$5,$D7, 0,"TPI","exact time"))=TRUE, _xll.PIArcVal(Y$5,$D7, 0,"TPI","exact time"), "")</f>
        <v>27.82</v>
      </c>
    </row>
    <row r="8" spans="1:26" ht="13.5" thickBot="1" x14ac:dyDescent="0.25">
      <c r="A8">
        <f t="shared" ref="A8:A37" si="3">A7+1</f>
        <v>2</v>
      </c>
      <c r="B8" s="28">
        <f t="shared" si="0"/>
        <v>46249</v>
      </c>
      <c r="C8" s="30">
        <f t="shared" si="1"/>
        <v>46249.3125</v>
      </c>
      <c r="D8" s="30">
        <f t="shared" si="2"/>
        <v>46249.8125</v>
      </c>
      <c r="E8" s="29">
        <f>IF(ISNUMBER(_xll.PIArcVal(E$5,$C8, 0,"TPI","exact time"))=TRUE,_xll.PIArcVal(E$5,$C8, 0,"TPI","exact time"),"")</f>
        <v>0.50600000000000001</v>
      </c>
      <c r="F8" s="9">
        <f>IF(ISNUMBER(_xll.PIArcVal(E$5,$D8, 0,"TPI","exact time"))=TRUE, _xll.PIArcVal(E$5,$D8, 0,"TPI","exact time"), "")</f>
        <v>0.57799999999999996</v>
      </c>
      <c r="G8" s="29">
        <f>IF(ISNUMBER(_xll.PIArcVal(G$5,$C8, 0,"TPI","exact time"))=TRUE,_xll.PIArcVal(G$5,$C8, 0,"TPI","exact time"),"")</f>
        <v>0.06</v>
      </c>
      <c r="H8" s="9">
        <f>IF(ISNUMBER(_xll.PIArcVal(G$5,$D8, 0,"TPI","exact time"))=TRUE, _xll.PIArcVal(G$5,$D8, 0,"TPI","exact time"), "")</f>
        <v>6.9000000000000006E-2</v>
      </c>
      <c r="I8" s="29">
        <f>IF(ISNUMBER(_xll.PIArcVal(I$5,$C8, 0,"TPI","exact time"))=TRUE,_xll.PIArcVal(I$5,$C8, 0,"TPI","exact time"),"")</f>
        <v>2.1850000000000001</v>
      </c>
      <c r="J8" s="9">
        <f>IF(ISNUMBER(_xll.PIArcVal(I$5,$D8, 0,"TPI","exact time"))=TRUE, _xll.PIArcVal(I$5,$D8, 0,"TPI","exact time"), "")</f>
        <v>2.4500000000000002</v>
      </c>
      <c r="K8" s="29">
        <f>IF(ISNUMBER(_xll.PIArcVal(K$5,$C8, 0,"TPI","exact time"))=TRUE,_xll.PIArcVal(K$5,$C8, 0,"TPI","exact time"),"")</f>
        <v>5.0000000000000001E-3</v>
      </c>
      <c r="L8" s="9">
        <f>IF(ISNUMBER(_xll.PIArcVal(K$5,$D8, 0,"TPI","exact time"))=TRUE, _xll.PIArcVal(K$5,$D8, 0,"TPI","exact time"), "")</f>
        <v>6.0000000000000001E-3</v>
      </c>
      <c r="M8" s="29" t="str">
        <f>IF(ISNUMBER(_xll.PIArcVal(M$5,$C8, 0,"TPI","exact time"))=TRUE,_xll.PIArcVal(M$5,$C8, 0,"TPI","exact time"),"")</f>
        <v/>
      </c>
      <c r="N8" s="9" t="str">
        <f>IF(ISNUMBER(_xll.PIArcVal(M$5,$D8, 0,"TPI","exact time"))=TRUE, _xll.PIArcVal(M$5,$D8, 0,"TPI","exact time"), "")</f>
        <v/>
      </c>
      <c r="O8" s="29">
        <f>IF(ISNUMBER(_xll.PIArcVal(O$5,$C8, 0,"TPI","exact time"))=TRUE,_xll.PIArcVal(O$5,$C8, 0,"TPI","exact time"),"")</f>
        <v>3.2000000000000001E-2</v>
      </c>
      <c r="P8" s="9">
        <f>IF(ISNUMBER(_xll.PIArcVal(O$5,$D8, 0,"TPI","exact time"))=TRUE, _xll.PIArcVal(O$5,$D8, 0,"TPI","exact time"), "")</f>
        <v>6.4000000000000001E-2</v>
      </c>
      <c r="Q8" s="29">
        <f>IF(ISNUMBER(_xll.PIArcVal(Q$5,$C8, 0,"TPI","exact time"))=TRUE,_xll.PIArcVal(Q$5,$C8, 0,"TPI","exact time"),"")</f>
        <v>8.0000000000000002E-3</v>
      </c>
      <c r="R8" s="9">
        <f>IF(ISNUMBER(_xll.PIArcVal(Q$5,$D8, 0,"TPI","exact time"))=TRUE, _xll.PIArcVal(Q$5,$D8, 0,"TPI","exact time"), "")</f>
        <v>1.2E-2</v>
      </c>
      <c r="S8" s="29">
        <f>IF(ISNUMBER(_xll.PIArcVal(S$5,$C8, 0,"TPI","exact time"))=TRUE,_xll.PIArcVal(S$5,$C8, 0,"TPI","exact time"),"")</f>
        <v>1.8839999999999999</v>
      </c>
      <c r="T8" s="9">
        <f>IF(ISNUMBER(_xll.PIArcVal(S$5,$D8, 0,"TPI","exact time"))=TRUE, _xll.PIArcVal(S$5,$D8, 0,"TPI","exact time"), "")</f>
        <v>2.0950000000000002</v>
      </c>
      <c r="U8" s="29">
        <f>IF(ISNUMBER(_xll.PIArcVal(U$5,$C8, 0,"TPI","exact time"))=TRUE,_xll.PIArcVal(U$5,$C8, 0,"TPI","exact time"),"")</f>
        <v>25.474</v>
      </c>
      <c r="V8" s="9">
        <f>IF(ISNUMBER(_xll.PIArcVal(U$5,$D8, 0,"TPI","exact time"))=TRUE, _xll.PIArcVal(U$5,$D8, 0,"TPI","exact time"), "")</f>
        <v>24.879000000000001</v>
      </c>
      <c r="W8" s="29">
        <f>IF(ISNUMBER(_xll.PIArcVal(W$5,$C8, 0,"TPI","exact time"))=TRUE,_xll.PIArcVal(W$5,$C8, 0,"TPI","exact time"),"")</f>
        <v>2.851</v>
      </c>
      <c r="X8" s="9">
        <f>IF(ISNUMBER(_xll.PIArcVal(W$5,$D8, 0,"TPI","exact time"))=TRUE, _xll.PIArcVal(W$5,$D8, 0,"TPI","exact time"), "")</f>
        <v>2.198</v>
      </c>
      <c r="Y8" s="29">
        <f>IF(ISNUMBER(_xll.PIArcVal(Y$5,$C8, 0,"TPI","exact time"))=TRUE,_xll.PIArcVal(Y$5,$C8, 0,"TPI","exact time"),"")</f>
        <v>26.09</v>
      </c>
      <c r="Z8" s="9">
        <f>IF(ISNUMBER(_xll.PIArcVal(Y$5,$D8, 0,"TPI","exact time"))=TRUE, _xll.PIArcVal(Y$5,$D8, 0,"TPI","exact time"), "")</f>
        <v>27.86</v>
      </c>
    </row>
    <row r="9" spans="1:26" ht="13.5" thickBot="1" x14ac:dyDescent="0.25">
      <c r="A9">
        <f t="shared" si="3"/>
        <v>3</v>
      </c>
      <c r="B9" s="28">
        <f t="shared" si="0"/>
        <v>46250</v>
      </c>
      <c r="C9" s="30">
        <f t="shared" si="1"/>
        <v>46250.3125</v>
      </c>
      <c r="D9" s="30">
        <f t="shared" si="2"/>
        <v>46250.8125</v>
      </c>
      <c r="E9" s="29">
        <f>IF(ISNUMBER(_xll.PIArcVal(E$5,$C9, 0,"TPI","exact time"))=TRUE,_xll.PIArcVal(E$5,$C9, 0,"TPI","exact time"),"")</f>
        <v>0.53600000000000003</v>
      </c>
      <c r="F9" s="9">
        <f>IF(ISNUMBER(_xll.PIArcVal(E$5,$D9, 0,"TPI","exact time"))=TRUE, _xll.PIArcVal(E$5,$D9, 0,"TPI","exact time"), "")</f>
        <v>0.56499999999999995</v>
      </c>
      <c r="G9" s="29">
        <f>IF(ISNUMBER(_xll.PIArcVal(G$5,$C9, 0,"TPI","exact time"))=TRUE,_xll.PIArcVal(G$5,$C9, 0,"TPI","exact time"),"")</f>
        <v>8.2000000000000003E-2</v>
      </c>
      <c r="H9" s="9">
        <f>IF(ISNUMBER(_xll.PIArcVal(G$5,$D9, 0,"TPI","exact time"))=TRUE, _xll.PIArcVal(G$5,$D9, 0,"TPI","exact time"), "")</f>
        <v>7.6999999999999999E-2</v>
      </c>
      <c r="I9" s="29">
        <f>IF(ISNUMBER(_xll.PIArcVal(I$5,$C9, 0,"TPI","exact time"))=TRUE,_xll.PIArcVal(I$5,$C9, 0,"TPI","exact time"),"")</f>
        <v>2.6240000000000001</v>
      </c>
      <c r="J9" s="9">
        <f>IF(ISNUMBER(_xll.PIArcVal(I$5,$D9, 0,"TPI","exact time"))=TRUE, _xll.PIArcVal(I$5,$D9, 0,"TPI","exact time"), "")</f>
        <v>2.044</v>
      </c>
      <c r="K9" s="29">
        <f>IF(ISNUMBER(_xll.PIArcVal(K$5,$C9, 0,"TPI","exact time"))=TRUE,_xll.PIArcVal(K$5,$C9, 0,"TPI","exact time"),"")</f>
        <v>5.0000000000000001E-3</v>
      </c>
      <c r="L9" s="9">
        <f>IF(ISNUMBER(_xll.PIArcVal(K$5,$D9, 0,"TPI","exact time"))=TRUE, _xll.PIArcVal(K$5,$D9, 0,"TPI","exact time"), "")</f>
        <v>5.0000000000000001E-3</v>
      </c>
      <c r="M9" s="29" t="str">
        <f>IF(ISNUMBER(_xll.PIArcVal(M$5,$C9, 0,"TPI","exact time"))=TRUE,_xll.PIArcVal(M$5,$C9, 0,"TPI","exact time"),"")</f>
        <v/>
      </c>
      <c r="N9" s="9" t="str">
        <f>IF(ISNUMBER(_xll.PIArcVal(M$5,$D9, 0,"TPI","exact time"))=TRUE, _xll.PIArcVal(M$5,$D9, 0,"TPI","exact time"), "")</f>
        <v/>
      </c>
      <c r="O9" s="29">
        <f>IF(ISNUMBER(_xll.PIArcVal(O$5,$C9, 0,"TPI","exact time"))=TRUE,_xll.PIArcVal(O$5,$C9, 0,"TPI","exact time"),"")</f>
        <v>6.4000000000000001E-2</v>
      </c>
      <c r="P9" s="9">
        <f>IF(ISNUMBER(_xll.PIArcVal(O$5,$D9, 0,"TPI","exact time"))=TRUE, _xll.PIArcVal(O$5,$D9, 0,"TPI","exact time"), "")</f>
        <v>4.1000000000000002E-2</v>
      </c>
      <c r="Q9" s="29">
        <f>IF(ISNUMBER(_xll.PIArcVal(Q$5,$C9, 0,"TPI","exact time"))=TRUE,_xll.PIArcVal(Q$5,$C9, 0,"TPI","exact time"),"")</f>
        <v>1.2999999999999999E-2</v>
      </c>
      <c r="R9" s="9">
        <f>IF(ISNUMBER(_xll.PIArcVal(Q$5,$D9, 0,"TPI","exact time"))=TRUE, _xll.PIArcVal(Q$5,$D9, 0,"TPI","exact time"), "")</f>
        <v>1.2E-2</v>
      </c>
      <c r="S9" s="29">
        <f>IF(ISNUMBER(_xll.PIArcVal(S$5,$C9, 0,"TPI","exact time"))=TRUE,_xll.PIArcVal(S$5,$C9, 0,"TPI","exact time"),"")</f>
        <v>1.651</v>
      </c>
      <c r="T9" s="9">
        <f>IF(ISNUMBER(_xll.PIArcVal(S$5,$D9, 0,"TPI","exact time"))=TRUE, _xll.PIArcVal(S$5,$D9, 0,"TPI","exact time"), "")</f>
        <v>1.327</v>
      </c>
      <c r="U9" s="29">
        <f>IF(ISNUMBER(_xll.PIArcVal(U$5,$C9, 0,"TPI","exact time"))=TRUE,_xll.PIArcVal(U$5,$C9, 0,"TPI","exact time"),"")</f>
        <v>21.806000000000001</v>
      </c>
      <c r="V9" s="9">
        <f>IF(ISNUMBER(_xll.PIArcVal(U$5,$D9, 0,"TPI","exact time"))=TRUE, _xll.PIArcVal(U$5,$D9, 0,"TPI","exact time"), "")</f>
        <v>22.686</v>
      </c>
      <c r="W9" s="29">
        <f>IF(ISNUMBER(_xll.PIArcVal(W$5,$C9, 0,"TPI","exact time"))=TRUE,_xll.PIArcVal(W$5,$C9, 0,"TPI","exact time"),"")</f>
        <v>3.4420000000000002</v>
      </c>
      <c r="X9" s="9">
        <f>IF(ISNUMBER(_xll.PIArcVal(W$5,$D9, 0,"TPI","exact time"))=TRUE, _xll.PIArcVal(W$5,$D9, 0,"TPI","exact time"), "")</f>
        <v>3.9129999999999998</v>
      </c>
      <c r="Y9" s="29">
        <f>IF(ISNUMBER(_xll.PIArcVal(Y$5,$C9, 0,"TPI","exact time"))=TRUE,_xll.PIArcVal(Y$5,$C9, 0,"TPI","exact time"),"")</f>
        <v>27.11</v>
      </c>
      <c r="Z9" s="9">
        <f>IF(ISNUMBER(_xll.PIArcVal(Y$5,$D9, 0,"TPI","exact time"))=TRUE, _xll.PIArcVal(Y$5,$D9, 0,"TPI","exact time"), "")</f>
        <v>27.72</v>
      </c>
    </row>
    <row r="10" spans="1:26" ht="13.5" thickBot="1" x14ac:dyDescent="0.25">
      <c r="A10">
        <f t="shared" si="3"/>
        <v>4</v>
      </c>
      <c r="B10" s="28">
        <f t="shared" si="0"/>
        <v>46251</v>
      </c>
      <c r="C10" s="30">
        <f t="shared" si="1"/>
        <v>46251.3125</v>
      </c>
      <c r="D10" s="30">
        <f t="shared" si="2"/>
        <v>46251.8125</v>
      </c>
      <c r="E10" s="29">
        <f>IF(ISNUMBER(_xll.PIArcVal(E$5,$C10, 0,"TPI","exact time"))=TRUE,_xll.PIArcVal(E$5,$C10, 0,"TPI","exact time"),"")</f>
        <v>0.52200000000000002</v>
      </c>
      <c r="F10" s="9">
        <f>IF(ISNUMBER(_xll.PIArcVal(E$5,$D10, 0,"TPI","exact time"))=TRUE, _xll.PIArcVal(E$5,$D10, 0,"TPI","exact time"), "")</f>
        <v>0.56799999999999995</v>
      </c>
      <c r="G10" s="29">
        <f>IF(ISNUMBER(_xll.PIArcVal(G$5,$C10, 0,"TPI","exact time"))=TRUE,_xll.PIArcVal(G$5,$C10, 0,"TPI","exact time"),"")</f>
        <v>4.5999999999999999E-2</v>
      </c>
      <c r="H10" s="9">
        <f>IF(ISNUMBER(_xll.PIArcVal(G$5,$D10, 0,"TPI","exact time"))=TRUE, _xll.PIArcVal(G$5,$D10, 0,"TPI","exact time"), "")</f>
        <v>5.7000000000000002E-2</v>
      </c>
      <c r="I10" s="29">
        <f>IF(ISNUMBER(_xll.PIArcVal(I$5,$C10, 0,"TPI","exact time"))=TRUE,_xll.PIArcVal(I$5,$C10, 0,"TPI","exact time"),"")</f>
        <v>2.15</v>
      </c>
      <c r="J10" s="9">
        <f>IF(ISNUMBER(_xll.PIArcVal(I$5,$D10, 0,"TPI","exact time"))=TRUE, _xll.PIArcVal(I$5,$D10, 0,"TPI","exact time"), "")</f>
        <v>2.5590000000000002</v>
      </c>
      <c r="K10" s="29">
        <f>IF(ISNUMBER(_xll.PIArcVal(K$5,$C10, 0,"TPI","exact time"))=TRUE,_xll.PIArcVal(K$5,$C10, 0,"TPI","exact time"),"")</f>
        <v>4.0000000000000001E-3</v>
      </c>
      <c r="L10" s="9">
        <f>IF(ISNUMBER(_xll.PIArcVal(K$5,$D10, 0,"TPI","exact time"))=TRUE, _xll.PIArcVal(K$5,$D10, 0,"TPI","exact time"), "")</f>
        <v>5.0000000000000001E-3</v>
      </c>
      <c r="M10" s="29" t="str">
        <f>IF(ISNUMBER(_xll.PIArcVal(M$5,$C10, 0,"TPI","exact time"))=TRUE,_xll.PIArcVal(M$5,$C10, 0,"TPI","exact time"),"")</f>
        <v/>
      </c>
      <c r="N10" s="9" t="str">
        <f>IF(ISNUMBER(_xll.PIArcVal(M$5,$D10, 0,"TPI","exact time"))=TRUE, _xll.PIArcVal(M$5,$D10, 0,"TPI","exact time"), "")</f>
        <v/>
      </c>
      <c r="O10" s="29">
        <f>IF(ISNUMBER(_xll.PIArcVal(O$5,$C10, 0,"TPI","exact time"))=TRUE,_xll.PIArcVal(O$5,$C10, 0,"TPI","exact time"),"")</f>
        <v>4.2000000000000003E-2</v>
      </c>
      <c r="P10" s="9">
        <f>IF(ISNUMBER(_xll.PIArcVal(O$5,$D10, 0,"TPI","exact time"))=TRUE, _xll.PIArcVal(O$5,$D10, 0,"TPI","exact time"), "")</f>
        <v>4.9000000000000002E-2</v>
      </c>
      <c r="Q10" s="29">
        <f>IF(ISNUMBER(_xll.PIArcVal(Q$5,$C10, 0,"TPI","exact time"))=TRUE,_xll.PIArcVal(Q$5,$C10, 0,"TPI","exact time"),"")</f>
        <v>8.0000000000000002E-3</v>
      </c>
      <c r="R10" s="9">
        <f>IF(ISNUMBER(_xll.PIArcVal(Q$5,$D10, 0,"TPI","exact time"))=TRUE, _xll.PIArcVal(Q$5,$D10, 0,"TPI","exact time"), "")</f>
        <v>1.0999999999999999E-2</v>
      </c>
      <c r="S10" s="29">
        <f>IF(ISNUMBER(_xll.PIArcVal(S$5,$C10, 0,"TPI","exact time"))=TRUE,_xll.PIArcVal(S$5,$C10, 0,"TPI","exact time"),"")</f>
        <v>1.6910000000000001</v>
      </c>
      <c r="T10" s="9">
        <f>IF(ISNUMBER(_xll.PIArcVal(S$5,$D10, 0,"TPI","exact time"))=TRUE, _xll.PIArcVal(S$5,$D10, 0,"TPI","exact time"), "")</f>
        <v>1.77</v>
      </c>
      <c r="U10" s="29">
        <f>IF(ISNUMBER(_xll.PIArcVal(U$5,$C10, 0,"TPI","exact time"))=TRUE,_xll.PIArcVal(U$5,$C10, 0,"TPI","exact time"),"")</f>
        <v>23.88</v>
      </c>
      <c r="V10" s="9">
        <f>IF(ISNUMBER(_xll.PIArcVal(U$5,$D10, 0,"TPI","exact time"))=TRUE, _xll.PIArcVal(U$5,$D10, 0,"TPI","exact time"), "")</f>
        <v>25.175999999999998</v>
      </c>
      <c r="W10" s="29">
        <f>IF(ISNUMBER(_xll.PIArcVal(W$5,$C10, 0,"TPI","exact time"))=TRUE,_xll.PIArcVal(W$5,$C10, 0,"TPI","exact time"),"")</f>
        <v>2.1230000000000002</v>
      </c>
      <c r="X10" s="9">
        <f>IF(ISNUMBER(_xll.PIArcVal(W$5,$D10, 0,"TPI","exact time"))=TRUE, _xll.PIArcVal(W$5,$D10, 0,"TPI","exact time"), "")</f>
        <v>2.1680000000000001</v>
      </c>
      <c r="Y10" s="29">
        <f>IF(ISNUMBER(_xll.PIArcVal(Y$5,$C10, 0,"TPI","exact time"))=TRUE,_xll.PIArcVal(Y$5,$C10, 0,"TPI","exact time"),"")</f>
        <v>27.15</v>
      </c>
      <c r="Z10" s="9">
        <f>IF(ISNUMBER(_xll.PIArcVal(Y$5,$D10, 0,"TPI","exact time"))=TRUE, _xll.PIArcVal(Y$5,$D10, 0,"TPI","exact time"), "")</f>
        <v>28.61</v>
      </c>
    </row>
    <row r="11" spans="1:26" ht="13.5" thickBot="1" x14ac:dyDescent="0.25">
      <c r="A11">
        <f t="shared" si="3"/>
        <v>5</v>
      </c>
      <c r="B11" s="28">
        <f t="shared" si="0"/>
        <v>46252</v>
      </c>
      <c r="C11" s="30">
        <f t="shared" si="1"/>
        <v>46252.3125</v>
      </c>
      <c r="D11" s="30">
        <f t="shared" si="2"/>
        <v>46252.8125</v>
      </c>
      <c r="E11" s="29">
        <f>IF(ISNUMBER(_xll.PIArcVal(E$5,$C11, 0,"TPI","exact time"))=TRUE,_xll.PIArcVal(E$5,$C11, 0,"TPI","exact time"),"")</f>
        <v>0.501</v>
      </c>
      <c r="F11" s="9">
        <f>IF(ISNUMBER(_xll.PIArcVal(E$5,$D11, 0,"TPI","exact time"))=TRUE, _xll.PIArcVal(E$5,$D11, 0,"TPI","exact time"), "")</f>
        <v>0.40200000000000002</v>
      </c>
      <c r="G11" s="29">
        <f>IF(ISNUMBER(_xll.PIArcVal(G$5,$C11, 0,"TPI","exact time"))=TRUE,_xll.PIArcVal(G$5,$C11, 0,"TPI","exact time"),"")</f>
        <v>5.1999999999999998E-2</v>
      </c>
      <c r="H11" s="9">
        <f>IF(ISNUMBER(_xll.PIArcVal(G$5,$D11, 0,"TPI","exact time"))=TRUE, _xll.PIArcVal(G$5,$D11, 0,"TPI","exact time"), "")</f>
        <v>3.1E-2</v>
      </c>
      <c r="I11" s="29">
        <f>IF(ISNUMBER(_xll.PIArcVal(I$5,$C11, 0,"TPI","exact time"))=TRUE,_xll.PIArcVal(I$5,$C11, 0,"TPI","exact time"),"")</f>
        <v>2.1469999999999998</v>
      </c>
      <c r="J11" s="9">
        <f>IF(ISNUMBER(_xll.PIArcVal(I$5,$D11, 0,"TPI","exact time"))=TRUE, _xll.PIArcVal(I$5,$D11, 0,"TPI","exact time"), "")</f>
        <v>3.4009999999999998</v>
      </c>
      <c r="K11" s="29">
        <f>IF(ISNUMBER(_xll.PIArcVal(K$5,$C11, 0,"TPI","exact time"))=TRUE,_xll.PIArcVal(K$5,$C11, 0,"TPI","exact time"),"")</f>
        <v>5.0000000000000001E-3</v>
      </c>
      <c r="L11" s="9">
        <f>IF(ISNUMBER(_xll.PIArcVal(K$5,$D11, 0,"TPI","exact time"))=TRUE, _xll.PIArcVal(K$5,$D11, 0,"TPI","exact time"), "")</f>
        <v>0.01</v>
      </c>
      <c r="M11" s="29" t="str">
        <f>IF(ISNUMBER(_xll.PIArcVal(M$5,$C11, 0,"TPI","exact time"))=TRUE,_xll.PIArcVal(M$5,$C11, 0,"TPI","exact time"),"")</f>
        <v/>
      </c>
      <c r="N11" s="9" t="str">
        <f>IF(ISNUMBER(_xll.PIArcVal(M$5,$D11, 0,"TPI","exact time"))=TRUE, _xll.PIArcVal(M$5,$D11, 0,"TPI","exact time"), "")</f>
        <v/>
      </c>
      <c r="O11" s="29">
        <f>IF(ISNUMBER(_xll.PIArcVal(O$5,$C11, 0,"TPI","exact time"))=TRUE,_xll.PIArcVal(O$5,$C11, 0,"TPI","exact time"),"")</f>
        <v>6.6000000000000003E-2</v>
      </c>
      <c r="P11" s="9">
        <f>IF(ISNUMBER(_xll.PIArcVal(O$5,$D11, 0,"TPI","exact time"))=TRUE, _xll.PIArcVal(O$5,$D11, 0,"TPI","exact time"), "")</f>
        <v>0.04</v>
      </c>
      <c r="Q11" s="29">
        <f>IF(ISNUMBER(_xll.PIArcVal(Q$5,$C11, 0,"TPI","exact time"))=TRUE,_xll.PIArcVal(Q$5,$C11, 0,"TPI","exact time"),"")</f>
        <v>1.2999999999999999E-2</v>
      </c>
      <c r="R11" s="9">
        <f>IF(ISNUMBER(_xll.PIArcVal(Q$5,$D11, 0,"TPI","exact time"))=TRUE, _xll.PIArcVal(Q$5,$D11, 0,"TPI","exact time"), "")</f>
        <v>7.0000000000000001E-3</v>
      </c>
      <c r="S11" s="29">
        <f>IF(ISNUMBER(_xll.PIArcVal(S$5,$C11, 0,"TPI","exact time"))=TRUE,_xll.PIArcVal(S$5,$C11, 0,"TPI","exact time"),"")</f>
        <v>1.861</v>
      </c>
      <c r="T11" s="9">
        <f>IF(ISNUMBER(_xll.PIArcVal(S$5,$D11, 0,"TPI","exact time"))=TRUE, _xll.PIArcVal(S$5,$D11, 0,"TPI","exact time"), "")</f>
        <v>2.66</v>
      </c>
      <c r="U11" s="29">
        <f>IF(ISNUMBER(_xll.PIArcVal(U$5,$C11, 0,"TPI","exact time"))=TRUE,_xll.PIArcVal(U$5,$C11, 0,"TPI","exact time"),"")</f>
        <v>24.532</v>
      </c>
      <c r="V11" s="9">
        <f>IF(ISNUMBER(_xll.PIArcVal(U$5,$D11, 0,"TPI","exact time"))=TRUE, _xll.PIArcVal(U$5,$D11, 0,"TPI","exact time"), "")</f>
        <v>22.896999999999998</v>
      </c>
      <c r="W11" s="29">
        <f>IF(ISNUMBER(_xll.PIArcVal(W$5,$C11, 0,"TPI","exact time"))=TRUE,_xll.PIArcVal(W$5,$C11, 0,"TPI","exact time"),"")</f>
        <v>2.1459999999999999</v>
      </c>
      <c r="X11" s="9">
        <f>IF(ISNUMBER(_xll.PIArcVal(W$5,$D11, 0,"TPI","exact time"))=TRUE, _xll.PIArcVal(W$5,$D11, 0,"TPI","exact time"), "")</f>
        <v>1.8540000000000001</v>
      </c>
      <c r="Y11" s="29">
        <f>IF(ISNUMBER(_xll.PIArcVal(Y$5,$C11, 0,"TPI","exact time"))=TRUE,_xll.PIArcVal(Y$5,$C11, 0,"TPI","exact time"),"")</f>
        <v>27.12</v>
      </c>
      <c r="Z11" s="9">
        <f>IF(ISNUMBER(_xll.PIArcVal(Y$5,$D11, 0,"TPI","exact time"))=TRUE, _xll.PIArcVal(Y$5,$D11, 0,"TPI","exact time"), "")</f>
        <v>27.91</v>
      </c>
    </row>
    <row r="12" spans="1:26" ht="13.5" thickBot="1" x14ac:dyDescent="0.25">
      <c r="A12">
        <f t="shared" si="3"/>
        <v>6</v>
      </c>
      <c r="B12" s="28">
        <f t="shared" si="0"/>
        <v>46253</v>
      </c>
      <c r="C12" s="30">
        <f t="shared" si="1"/>
        <v>46253.3125</v>
      </c>
      <c r="D12" s="30">
        <f t="shared" si="2"/>
        <v>46253.8125</v>
      </c>
      <c r="E12" s="29">
        <f>IF(ISNUMBER(_xll.PIArcVal(E$5,$C12, 0,"TPI","exact time"))=TRUE,_xll.PIArcVal(E$5,$C12, 0,"TPI","exact time"),"")</f>
        <v>0.38200000000000001</v>
      </c>
      <c r="F12" s="9">
        <f>IF(ISNUMBER(_xll.PIArcVal(E$5,$D12, 0,"TPI","exact time"))=TRUE, _xll.PIArcVal(E$5,$D12, 0,"TPI","exact time"), "")</f>
        <v>0.35699999999999998</v>
      </c>
      <c r="G12" s="29">
        <f>IF(ISNUMBER(_xll.PIArcVal(G$5,$C12, 0,"TPI","exact time"))=TRUE,_xll.PIArcVal(G$5,$C12, 0,"TPI","exact time"),"")</f>
        <v>1.4999999999999999E-2</v>
      </c>
      <c r="H12" s="9">
        <f>IF(ISNUMBER(_xll.PIArcVal(G$5,$D12, 0,"TPI","exact time"))=TRUE, _xll.PIArcVal(G$5,$D12, 0,"TPI","exact time"), "")</f>
        <v>1.0999999999999999E-2</v>
      </c>
      <c r="I12" s="29">
        <f>IF(ISNUMBER(_xll.PIArcVal(I$5,$C12, 0,"TPI","exact time"))=TRUE,_xll.PIArcVal(I$5,$C12, 0,"TPI","exact time"),"")</f>
        <v>3.9220000000000002</v>
      </c>
      <c r="J12" s="9">
        <f>IF(ISNUMBER(_xll.PIArcVal(I$5,$D12, 0,"TPI","exact time"))=TRUE, _xll.PIArcVal(I$5,$D12, 0,"TPI","exact time"), "")</f>
        <v>4.3159999999999998</v>
      </c>
      <c r="K12" s="29">
        <f>IF(ISNUMBER(_xll.PIArcVal(K$5,$C12, 0,"TPI","exact time"))=TRUE,_xll.PIArcVal(K$5,$C12, 0,"TPI","exact time"),"")</f>
        <v>1.2999999999999999E-2</v>
      </c>
      <c r="L12" s="9">
        <f>IF(ISNUMBER(_xll.PIArcVal(K$5,$D12, 0,"TPI","exact time"))=TRUE, _xll.PIArcVal(K$5,$D12, 0,"TPI","exact time"), "")</f>
        <v>1.2999999999999999E-2</v>
      </c>
      <c r="M12" s="29" t="str">
        <f>IF(ISNUMBER(_xll.PIArcVal(M$5,$C12, 0,"TPI","exact time"))=TRUE,_xll.PIArcVal(M$5,$C12, 0,"TPI","exact time"),"")</f>
        <v/>
      </c>
      <c r="N12" s="9" t="str">
        <f>IF(ISNUMBER(_xll.PIArcVal(M$5,$D12, 0,"TPI","exact time"))=TRUE, _xll.PIArcVal(M$5,$D12, 0,"TPI","exact time"), "")</f>
        <v/>
      </c>
      <c r="O12" s="29">
        <f>IF(ISNUMBER(_xll.PIArcVal(O$5,$C12, 0,"TPI","exact time"))=TRUE,_xll.PIArcVal(O$5,$C12, 0,"TPI","exact time"),"")</f>
        <v>0.03</v>
      </c>
      <c r="P12" s="9">
        <f>IF(ISNUMBER(_xll.PIArcVal(O$5,$D12, 0,"TPI","exact time"))=TRUE, _xll.PIArcVal(O$5,$D12, 0,"TPI","exact time"), "")</f>
        <v>2.7E-2</v>
      </c>
      <c r="Q12" s="29">
        <f>IF(ISNUMBER(_xll.PIArcVal(Q$5,$C12, 0,"TPI","exact time"))=TRUE,_xll.PIArcVal(Q$5,$C12, 0,"TPI","exact time"),"")</f>
        <v>4.0000000000000001E-3</v>
      </c>
      <c r="R12" s="9">
        <f>IF(ISNUMBER(_xll.PIArcVal(Q$5,$D12, 0,"TPI","exact time"))=TRUE, _xll.PIArcVal(Q$5,$D12, 0,"TPI","exact time"), "")</f>
        <v>3.0000000000000001E-3</v>
      </c>
      <c r="S12" s="29">
        <f>IF(ISNUMBER(_xll.PIArcVal(S$5,$C12, 0,"TPI","exact time"))=TRUE,_xll.PIArcVal(S$5,$C12, 0,"TPI","exact time"),"")</f>
        <v>3.831</v>
      </c>
      <c r="T12" s="9">
        <f>IF(ISNUMBER(_xll.PIArcVal(S$5,$D12, 0,"TPI","exact time"))=TRUE, _xll.PIArcVal(S$5,$D12, 0,"TPI","exact time"), "")</f>
        <v>3.7709999999999999</v>
      </c>
      <c r="U12" s="29">
        <f>IF(ISNUMBER(_xll.PIArcVal(U$5,$C12, 0,"TPI","exact time"))=TRUE,_xll.PIArcVal(U$5,$C12, 0,"TPI","exact time"),"")</f>
        <v>24.384</v>
      </c>
      <c r="V12" s="9">
        <f>IF(ISNUMBER(_xll.PIArcVal(U$5,$D12, 0,"TPI","exact time"))=TRUE, _xll.PIArcVal(U$5,$D12, 0,"TPI","exact time"), "")</f>
        <v>23.292999999999999</v>
      </c>
      <c r="W12" s="29">
        <f>IF(ISNUMBER(_xll.PIArcVal(W$5,$C12, 0,"TPI","exact time"))=TRUE,_xll.PIArcVal(W$5,$C12, 0,"TPI","exact time"),"")</f>
        <v>0.754</v>
      </c>
      <c r="X12" s="9">
        <f>IF(ISNUMBER(_xll.PIArcVal(W$5,$D12, 0,"TPI","exact time"))=TRUE, _xll.PIArcVal(W$5,$D12, 0,"TPI","exact time"), "")</f>
        <v>0.68600000000000005</v>
      </c>
      <c r="Y12" s="29">
        <f>IF(ISNUMBER(_xll.PIArcVal(Y$5,$C12, 0,"TPI","exact time"))=TRUE,_xll.PIArcVal(Y$5,$C12, 0,"TPI","exact time"),"")</f>
        <v>30.76</v>
      </c>
      <c r="Z12" s="9">
        <f>IF(ISNUMBER(_xll.PIArcVal(Y$5,$D12, 0,"TPI","exact time"))=TRUE, _xll.PIArcVal(Y$5,$D12, 0,"TPI","exact time"), "")</f>
        <v>29.55</v>
      </c>
    </row>
    <row r="13" spans="1:26" ht="13.5" thickBot="1" x14ac:dyDescent="0.25">
      <c r="A13">
        <f t="shared" si="3"/>
        <v>7</v>
      </c>
      <c r="B13" s="28">
        <f t="shared" si="0"/>
        <v>46254</v>
      </c>
      <c r="C13" s="30">
        <f t="shared" si="1"/>
        <v>46254.3125</v>
      </c>
      <c r="D13" s="30">
        <f t="shared" si="2"/>
        <v>46254.8125</v>
      </c>
      <c r="E13" s="29">
        <f>IF(ISNUMBER(_xll.PIArcVal(E$5,$C13, 0,"TPI","exact time"))=TRUE,_xll.PIArcVal(E$5,$C13, 0,"TPI","exact time"),"")</f>
        <v>0.34200000000000003</v>
      </c>
      <c r="F13" s="9">
        <f>IF(ISNUMBER(_xll.PIArcVal(E$5,$D13, 0,"TPI","exact time"))=TRUE, _xll.PIArcVal(E$5,$D13, 0,"TPI","exact time"), "")</f>
        <v>0.36399999999999999</v>
      </c>
      <c r="G13" s="29">
        <f>IF(ISNUMBER(_xll.PIArcVal(G$5,$C13, 0,"TPI","exact time"))=TRUE,_xll.PIArcVal(G$5,$C13, 0,"TPI","exact time"),"")</f>
        <v>1.2999999999999999E-2</v>
      </c>
      <c r="H13" s="9">
        <f>IF(ISNUMBER(_xll.PIArcVal(G$5,$D13, 0,"TPI","exact time"))=TRUE, _xll.PIArcVal(G$5,$D13, 0,"TPI","exact time"), "")</f>
        <v>1.2999999999999999E-2</v>
      </c>
      <c r="I13" s="29">
        <f>IF(ISNUMBER(_xll.PIArcVal(I$5,$C13, 0,"TPI","exact time"))=TRUE,_xll.PIArcVal(I$5,$C13, 0,"TPI","exact time"),"")</f>
        <v>3.8439999999999999</v>
      </c>
      <c r="J13" s="9">
        <f>IF(ISNUMBER(_xll.PIArcVal(I$5,$D13, 0,"TPI","exact time"))=TRUE, _xll.PIArcVal(I$5,$D13, 0,"TPI","exact time"), "")</f>
        <v>3.7050000000000001</v>
      </c>
      <c r="K13" s="29">
        <f>IF(ISNUMBER(_xll.PIArcVal(K$5,$C13, 0,"TPI","exact time"))=TRUE,_xll.PIArcVal(K$5,$C13, 0,"TPI","exact time"),"")</f>
        <v>8.0000000000000002E-3</v>
      </c>
      <c r="L13" s="9">
        <f>IF(ISNUMBER(_xll.PIArcVal(K$5,$D13, 0,"TPI","exact time"))=TRUE, _xll.PIArcVal(K$5,$D13, 0,"TPI","exact time"), "")</f>
        <v>7.0000000000000001E-3</v>
      </c>
      <c r="M13" s="29" t="str">
        <f>IF(ISNUMBER(_xll.PIArcVal(M$5,$C13, 0,"TPI","exact time"))=TRUE,_xll.PIArcVal(M$5,$C13, 0,"TPI","exact time"),"")</f>
        <v/>
      </c>
      <c r="N13" s="9" t="str">
        <f>IF(ISNUMBER(_xll.PIArcVal(M$5,$D13, 0,"TPI","exact time"))=TRUE, _xll.PIArcVal(M$5,$D13, 0,"TPI","exact time"), "")</f>
        <v/>
      </c>
      <c r="O13" s="29">
        <f>IF(ISNUMBER(_xll.PIArcVal(O$5,$C13, 0,"TPI","exact time"))=TRUE,_xll.PIArcVal(O$5,$C13, 0,"TPI","exact time"),"")</f>
        <v>3.5000000000000003E-2</v>
      </c>
      <c r="P13" s="9">
        <f>IF(ISNUMBER(_xll.PIArcVal(O$5,$D13, 0,"TPI","exact time"))=TRUE, _xll.PIArcVal(O$5,$D13, 0,"TPI","exact time"), "")</f>
        <v>4.5999999999999999E-2</v>
      </c>
      <c r="Q13" s="29">
        <f>IF(ISNUMBER(_xll.PIArcVal(Q$5,$C13, 0,"TPI","exact time"))=TRUE,_xll.PIArcVal(Q$5,$C13, 0,"TPI","exact time"),"")</f>
        <v>3.0000000000000001E-3</v>
      </c>
      <c r="R13" s="9">
        <f>IF(ISNUMBER(_xll.PIArcVal(Q$5,$D13, 0,"TPI","exact time"))=TRUE, _xll.PIArcVal(Q$5,$D13, 0,"TPI","exact time"), "")</f>
        <v>4.0000000000000001E-3</v>
      </c>
      <c r="S13" s="29">
        <f>IF(ISNUMBER(_xll.PIArcVal(S$5,$C13, 0,"TPI","exact time"))=TRUE,_xll.PIArcVal(S$5,$C13, 0,"TPI","exact time"),"")</f>
        <v>3.641</v>
      </c>
      <c r="T13" s="9">
        <f>IF(ISNUMBER(_xll.PIArcVal(S$5,$D13, 0,"TPI","exact time"))=TRUE, _xll.PIArcVal(S$5,$D13, 0,"TPI","exact time"), "")</f>
        <v>3.254</v>
      </c>
      <c r="U13" s="29">
        <f>IF(ISNUMBER(_xll.PIArcVal(U$5,$C13, 0,"TPI","exact time"))=TRUE,_xll.PIArcVal(U$5,$C13, 0,"TPI","exact time"),"")</f>
        <v>24.228000000000002</v>
      </c>
      <c r="V13" s="9">
        <f>IF(ISNUMBER(_xll.PIArcVal(U$5,$D13, 0,"TPI","exact time"))=TRUE, _xll.PIArcVal(U$5,$D13, 0,"TPI","exact time"), "")</f>
        <v>22.599</v>
      </c>
      <c r="W13" s="29">
        <f>IF(ISNUMBER(_xll.PIArcVal(W$5,$C13, 0,"TPI","exact time"))=TRUE,_xll.PIArcVal(W$5,$C13, 0,"TPI","exact time"),"")</f>
        <v>0.67800000000000005</v>
      </c>
      <c r="X13" s="9">
        <f>IF(ISNUMBER(_xll.PIArcVal(W$5,$D13, 0,"TPI","exact time"))=TRUE, _xll.PIArcVal(W$5,$D13, 0,"TPI","exact time"), "")</f>
        <v>0.97499999999999998</v>
      </c>
      <c r="Y13" s="29">
        <f>IF(ISNUMBER(_xll.PIArcVal(Y$5,$C13, 0,"TPI","exact time"))=TRUE,_xll.PIArcVal(Y$5,$C13, 0,"TPI","exact time"),"")</f>
        <v>29.37</v>
      </c>
      <c r="Z13" s="9">
        <f>IF(ISNUMBER(_xll.PIArcVal(Y$5,$D13, 0,"TPI","exact time"))=TRUE, _xll.PIArcVal(Y$5,$D13, 0,"TPI","exact time"), "")</f>
        <v>28.72</v>
      </c>
    </row>
    <row r="14" spans="1:26" ht="13.5" thickBot="1" x14ac:dyDescent="0.25">
      <c r="A14">
        <f t="shared" si="3"/>
        <v>8</v>
      </c>
      <c r="B14" s="28">
        <f t="shared" si="0"/>
        <v>46255</v>
      </c>
      <c r="C14" s="30">
        <f t="shared" si="1"/>
        <v>46255.3125</v>
      </c>
      <c r="D14" s="30">
        <f t="shared" si="2"/>
        <v>46255.8125</v>
      </c>
      <c r="E14" s="29">
        <f>IF(ISNUMBER(_xll.PIArcVal(E$5,$C14, 0,"TPI","exact time"))=TRUE,_xll.PIArcVal(E$5,$C14, 0,"TPI","exact time"),"")</f>
        <v>0.34599999999999997</v>
      </c>
      <c r="F14" s="9">
        <f>IF(ISNUMBER(_xll.PIArcVal(E$5,$D14, 0,"TPI","exact time"))=TRUE, _xll.PIArcVal(E$5,$D14, 0,"TPI","exact time"), "")</f>
        <v>0.39</v>
      </c>
      <c r="G14" s="29">
        <f>IF(ISNUMBER(_xll.PIArcVal(G$5,$C14, 0,"TPI","exact time"))=TRUE,_xll.PIArcVal(G$5,$C14, 0,"TPI","exact time"),"")</f>
        <v>0.01</v>
      </c>
      <c r="H14" s="9">
        <f>IF(ISNUMBER(_xll.PIArcVal(G$5,$D14, 0,"TPI","exact time"))=TRUE, _xll.PIArcVal(G$5,$D14, 0,"TPI","exact time"), "")</f>
        <v>1.4E-2</v>
      </c>
      <c r="I14" s="29">
        <f>IF(ISNUMBER(_xll.PIArcVal(I$5,$C14, 0,"TPI","exact time"))=TRUE,_xll.PIArcVal(I$5,$C14, 0,"TPI","exact time"),"")</f>
        <v>3.7719999999999998</v>
      </c>
      <c r="J14" s="9">
        <f>IF(ISNUMBER(_xll.PIArcVal(I$5,$D14, 0,"TPI","exact time"))=TRUE, _xll.PIArcVal(I$5,$D14, 0,"TPI","exact time"), "")</f>
        <v>3.3290000000000002</v>
      </c>
      <c r="K14" s="29">
        <f>IF(ISNUMBER(_xll.PIArcVal(K$5,$C14, 0,"TPI","exact time"))=TRUE,_xll.PIArcVal(K$5,$C14, 0,"TPI","exact time"),"")</f>
        <v>6.0000000000000001E-3</v>
      </c>
      <c r="L14" s="9">
        <f>IF(ISNUMBER(_xll.PIArcVal(K$5,$D14, 0,"TPI","exact time"))=TRUE, _xll.PIArcVal(K$5,$D14, 0,"TPI","exact time"), "")</f>
        <v>0.01</v>
      </c>
      <c r="M14" s="29" t="str">
        <f>IF(ISNUMBER(_xll.PIArcVal(M$5,$C14, 0,"TPI","exact time"))=TRUE,_xll.PIArcVal(M$5,$C14, 0,"TPI","exact time"),"")</f>
        <v/>
      </c>
      <c r="N14" s="9" t="str">
        <f>IF(ISNUMBER(_xll.PIArcVal(M$5,$D14, 0,"TPI","exact time"))=TRUE, _xll.PIArcVal(M$5,$D14, 0,"TPI","exact time"), "")</f>
        <v/>
      </c>
      <c r="O14" s="29">
        <f>IF(ISNUMBER(_xll.PIArcVal(O$5,$C14, 0,"TPI","exact time"))=TRUE,_xll.PIArcVal(O$5,$C14, 0,"TPI","exact time"),"")</f>
        <v>3.5999999999999997E-2</v>
      </c>
      <c r="P14" s="9">
        <f>IF(ISNUMBER(_xll.PIArcVal(O$5,$D14, 0,"TPI","exact time"))=TRUE, _xll.PIArcVal(O$5,$D14, 0,"TPI","exact time"), "")</f>
        <v>3.4000000000000002E-2</v>
      </c>
      <c r="Q14" s="29">
        <f>IF(ISNUMBER(_xll.PIArcVal(Q$5,$C14, 0,"TPI","exact time"))=TRUE,_xll.PIArcVal(Q$5,$C14, 0,"TPI","exact time"),"")</f>
        <v>4.0000000000000001E-3</v>
      </c>
      <c r="R14" s="9">
        <f>IF(ISNUMBER(_xll.PIArcVal(Q$5,$D14, 0,"TPI","exact time"))=TRUE, _xll.PIArcVal(Q$5,$D14, 0,"TPI","exact time"), "")</f>
        <v>2E-3</v>
      </c>
      <c r="S14" s="29">
        <f>IF(ISNUMBER(_xll.PIArcVal(S$5,$C14, 0,"TPI","exact time"))=TRUE,_xll.PIArcVal(S$5,$C14, 0,"TPI","exact time"),"")</f>
        <v>3.323</v>
      </c>
      <c r="T14" s="9">
        <f>IF(ISNUMBER(_xll.PIArcVal(S$5,$D14, 0,"TPI","exact time"))=TRUE, _xll.PIArcVal(S$5,$D14, 0,"TPI","exact time"), "")</f>
        <v>2.6190000000000002</v>
      </c>
      <c r="U14" s="29">
        <f>IF(ISNUMBER(_xll.PIArcVal(U$5,$C14, 0,"TPI","exact time"))=TRUE,_xll.PIArcVal(U$5,$C14, 0,"TPI","exact time"),"")</f>
        <v>22.984999999999999</v>
      </c>
      <c r="V14" s="9">
        <f>IF(ISNUMBER(_xll.PIArcVal(U$5,$D14, 0,"TPI","exact time"))=TRUE, _xll.PIArcVal(U$5,$D14, 0,"TPI","exact time"), "")</f>
        <v>23.789000000000001</v>
      </c>
      <c r="W14" s="29">
        <f>IF(ISNUMBER(_xll.PIArcVal(W$5,$C14, 0,"TPI","exact time"))=TRUE,_xll.PIArcVal(W$5,$C14, 0,"TPI","exact time"),"")</f>
        <v>0.69499999999999995</v>
      </c>
      <c r="X14" s="9">
        <f>IF(ISNUMBER(_xll.PIArcVal(W$5,$D14, 0,"TPI","exact time"))=TRUE, _xll.PIArcVal(W$5,$D14, 0,"TPI","exact time"), "")</f>
        <v>0.746</v>
      </c>
      <c r="Y14" s="29">
        <f>IF(ISNUMBER(_xll.PIArcVal(Y$5,$C14, 0,"TPI","exact time"))=TRUE,_xll.PIArcVal(Y$5,$C14, 0,"TPI","exact time"),"")</f>
        <v>28.42</v>
      </c>
      <c r="Z14" s="9">
        <f>IF(ISNUMBER(_xll.PIArcVal(Y$5,$D14, 0,"TPI","exact time"))=TRUE, _xll.PIArcVal(Y$5,$D14, 0,"TPI","exact time"), "")</f>
        <v>30.48</v>
      </c>
    </row>
    <row r="15" spans="1:26" ht="13.5" thickBot="1" x14ac:dyDescent="0.25">
      <c r="A15">
        <f t="shared" si="3"/>
        <v>9</v>
      </c>
      <c r="B15" s="28">
        <f t="shared" si="0"/>
        <v>46256</v>
      </c>
      <c r="C15" s="30">
        <f t="shared" si="1"/>
        <v>46256.3125</v>
      </c>
      <c r="D15" s="30">
        <f t="shared" si="2"/>
        <v>46256.8125</v>
      </c>
      <c r="E15" s="29">
        <f>IF(ISNUMBER(_xll.PIArcVal(E$5,$C15, 0,"TPI","exact time"))=TRUE,_xll.PIArcVal(E$5,$C15, 0,"TPI","exact time"),"")</f>
        <v>0.504</v>
      </c>
      <c r="F15" s="9">
        <f>IF(ISNUMBER(_xll.PIArcVal(E$5,$D15, 0,"TPI","exact time"))=TRUE, _xll.PIArcVal(E$5,$D15, 0,"TPI","exact time"), "")</f>
        <v>0.55000000000000004</v>
      </c>
      <c r="G15" s="29">
        <f>IF(ISNUMBER(_xll.PIArcVal(G$5,$C15, 0,"TPI","exact time"))=TRUE,_xll.PIArcVal(G$5,$C15, 0,"TPI","exact time"),"")</f>
        <v>3.4000000000000002E-2</v>
      </c>
      <c r="H15" s="9">
        <f>IF(ISNUMBER(_xll.PIArcVal(G$5,$D15, 0,"TPI","exact time"))=TRUE, _xll.PIArcVal(G$5,$D15, 0,"TPI","exact time"), "")</f>
        <v>3.7999999999999999E-2</v>
      </c>
      <c r="I15" s="29">
        <f>IF(ISNUMBER(_xll.PIArcVal(I$5,$C15, 0,"TPI","exact time"))=TRUE,_xll.PIArcVal(I$5,$C15, 0,"TPI","exact time"),"")</f>
        <v>2.7160000000000002</v>
      </c>
      <c r="J15" s="9">
        <f>IF(ISNUMBER(_xll.PIArcVal(I$5,$D15, 0,"TPI","exact time"))=TRUE, _xll.PIArcVal(I$5,$D15, 0,"TPI","exact time"), "")</f>
        <v>2.1549999999999998</v>
      </c>
      <c r="K15" s="29">
        <f>IF(ISNUMBER(_xll.PIArcVal(K$5,$C15, 0,"TPI","exact time"))=TRUE,_xll.PIArcVal(K$5,$C15, 0,"TPI","exact time"),"")</f>
        <v>6.0000000000000001E-3</v>
      </c>
      <c r="L15" s="9">
        <f>IF(ISNUMBER(_xll.PIArcVal(K$5,$D15, 0,"TPI","exact time"))=TRUE, _xll.PIArcVal(K$5,$D15, 0,"TPI","exact time"), "")</f>
        <v>5.0000000000000001E-3</v>
      </c>
      <c r="M15" s="29" t="str">
        <f>IF(ISNUMBER(_xll.PIArcVal(M$5,$C15, 0,"TPI","exact time"))=TRUE,_xll.PIArcVal(M$5,$C15, 0,"TPI","exact time"),"")</f>
        <v/>
      </c>
      <c r="N15" s="9" t="str">
        <f>IF(ISNUMBER(_xll.PIArcVal(M$5,$D15, 0,"TPI","exact time"))=TRUE, _xll.PIArcVal(M$5,$D15, 0,"TPI","exact time"), "")</f>
        <v/>
      </c>
      <c r="O15" s="29">
        <f>IF(ISNUMBER(_xll.PIArcVal(O$5,$C15, 0,"TPI","exact time"))=TRUE,_xll.PIArcVal(O$5,$C15, 0,"TPI","exact time"),"")</f>
        <v>3.4000000000000002E-2</v>
      </c>
      <c r="P15" s="9">
        <f>IF(ISNUMBER(_xll.PIArcVal(O$5,$D15, 0,"TPI","exact time"))=TRUE, _xll.PIArcVal(O$5,$D15, 0,"TPI","exact time"), "")</f>
        <v>4.1000000000000002E-2</v>
      </c>
      <c r="Q15" s="29">
        <f>IF(ISNUMBER(_xll.PIArcVal(Q$5,$C15, 0,"TPI","exact time"))=TRUE,_xll.PIArcVal(Q$5,$C15, 0,"TPI","exact time"),"")</f>
        <v>4.0000000000000001E-3</v>
      </c>
      <c r="R15" s="9">
        <f>IF(ISNUMBER(_xll.PIArcVal(Q$5,$D15, 0,"TPI","exact time"))=TRUE, _xll.PIArcVal(Q$5,$D15, 0,"TPI","exact time"), "")</f>
        <v>4.0000000000000001E-3</v>
      </c>
      <c r="S15" s="29">
        <f>IF(ISNUMBER(_xll.PIArcVal(S$5,$C15, 0,"TPI","exact time"))=TRUE,_xll.PIArcVal(S$5,$C15, 0,"TPI","exact time"),"")</f>
        <v>2.048</v>
      </c>
      <c r="T15" s="9">
        <f>IF(ISNUMBER(_xll.PIArcVal(S$5,$D15, 0,"TPI","exact time"))=TRUE, _xll.PIArcVal(S$5,$D15, 0,"TPI","exact time"), "")</f>
        <v>1.5549999999999999</v>
      </c>
      <c r="U15" s="29">
        <f>IF(ISNUMBER(_xll.PIArcVal(U$5,$C15, 0,"TPI","exact time"))=TRUE,_xll.PIArcVal(U$5,$C15, 0,"TPI","exact time"),"")</f>
        <v>24.324000000000002</v>
      </c>
      <c r="V15" s="9">
        <f>IF(ISNUMBER(_xll.PIArcVal(U$5,$D15, 0,"TPI","exact time"))=TRUE, _xll.PIArcVal(U$5,$D15, 0,"TPI","exact time"), "")</f>
        <v>24.975000000000001</v>
      </c>
      <c r="W15" s="29">
        <f>IF(ISNUMBER(_xll.PIArcVal(W$5,$C15, 0,"TPI","exact time"))=TRUE,_xll.PIArcVal(W$5,$C15, 0,"TPI","exact time"),"")</f>
        <v>1.4670000000000001</v>
      </c>
      <c r="X15" s="9">
        <f>IF(ISNUMBER(_xll.PIArcVal(W$5,$D15, 0,"TPI","exact time"))=TRUE, _xll.PIArcVal(W$5,$D15, 0,"TPI","exact time"), "")</f>
        <v>1.4730000000000001</v>
      </c>
      <c r="Y15" s="29">
        <f>IF(ISNUMBER(_xll.PIArcVal(Y$5,$C15, 0,"TPI","exact time"))=TRUE,_xll.PIArcVal(Y$5,$C15, 0,"TPI","exact time"),"")</f>
        <v>27.7</v>
      </c>
      <c r="Z15" s="9">
        <f>IF(ISNUMBER(_xll.PIArcVal(Y$5,$D15, 0,"TPI","exact time"))=TRUE, _xll.PIArcVal(Y$5,$D15, 0,"TPI","exact time"), "")</f>
        <v>27.31</v>
      </c>
    </row>
    <row r="16" spans="1:26" ht="13.5" thickBot="1" x14ac:dyDescent="0.25">
      <c r="A16">
        <f t="shared" si="3"/>
        <v>10</v>
      </c>
      <c r="B16" s="28">
        <f t="shared" si="0"/>
        <v>46257</v>
      </c>
      <c r="C16" s="30">
        <f t="shared" si="1"/>
        <v>46257.3125</v>
      </c>
      <c r="D16" s="30">
        <f t="shared" si="2"/>
        <v>46257.8125</v>
      </c>
      <c r="E16" s="29">
        <f>IF(ISNUMBER(_xll.PIArcVal(E$5,$C16, 0,"TPI","exact time"))=TRUE,_xll.PIArcVal(E$5,$C16, 0,"TPI","exact time"),"")</f>
        <v>0.52200000000000002</v>
      </c>
      <c r="F16" s="9">
        <f>IF(ISNUMBER(_xll.PIArcVal(E$5,$D16, 0,"TPI","exact time"))=TRUE, _xll.PIArcVal(E$5,$D16, 0,"TPI","exact time"), "")</f>
        <v>0.624</v>
      </c>
      <c r="G16" s="29">
        <f>IF(ISNUMBER(_xll.PIArcVal(G$5,$C16, 0,"TPI","exact time"))=TRUE,_xll.PIArcVal(G$5,$C16, 0,"TPI","exact time"),"")</f>
        <v>4.2999999999999997E-2</v>
      </c>
      <c r="H16" s="9">
        <f>IF(ISNUMBER(_xll.PIArcVal(G$5,$D16, 0,"TPI","exact time"))=TRUE, _xll.PIArcVal(G$5,$D16, 0,"TPI","exact time"), "")</f>
        <v>4.7E-2</v>
      </c>
      <c r="I16" s="29">
        <f>IF(ISNUMBER(_xll.PIArcVal(I$5,$C16, 0,"TPI","exact time"))=TRUE,_xll.PIArcVal(I$5,$C16, 0,"TPI","exact time"),"")</f>
        <v>2.4169999999999998</v>
      </c>
      <c r="J16" s="9">
        <f>IF(ISNUMBER(_xll.PIArcVal(I$5,$D16, 0,"TPI","exact time"))=TRUE, _xll.PIArcVal(I$5,$D16, 0,"TPI","exact time"), "")</f>
        <v>2.3109999999999999</v>
      </c>
      <c r="K16" s="29">
        <f>IF(ISNUMBER(_xll.PIArcVal(K$5,$C16, 0,"TPI","exact time"))=TRUE,_xll.PIArcVal(K$5,$C16, 0,"TPI","exact time"),"")</f>
        <v>5.0000000000000001E-3</v>
      </c>
      <c r="L16" s="9">
        <f>IF(ISNUMBER(_xll.PIArcVal(K$5,$D16, 0,"TPI","exact time"))=TRUE, _xll.PIArcVal(K$5,$D16, 0,"TPI","exact time"), "")</f>
        <v>5.0000000000000001E-3</v>
      </c>
      <c r="M16" s="29" t="str">
        <f>IF(ISNUMBER(_xll.PIArcVal(M$5,$C16, 0,"TPI","exact time"))=TRUE,_xll.PIArcVal(M$5,$C16, 0,"TPI","exact time"),"")</f>
        <v/>
      </c>
      <c r="N16" s="9" t="str">
        <f>IF(ISNUMBER(_xll.PIArcVal(M$5,$D16, 0,"TPI","exact time"))=TRUE, _xll.PIArcVal(M$5,$D16, 0,"TPI","exact time"), "")</f>
        <v/>
      </c>
      <c r="O16" s="29">
        <f>IF(ISNUMBER(_xll.PIArcVal(O$5,$C16, 0,"TPI","exact time"))=TRUE,_xll.PIArcVal(O$5,$C16, 0,"TPI","exact time"),"")</f>
        <v>3.6999999999999998E-2</v>
      </c>
      <c r="P16" s="9">
        <f>IF(ISNUMBER(_xll.PIArcVal(O$5,$D16, 0,"TPI","exact time"))=TRUE, _xll.PIArcVal(O$5,$D16, 0,"TPI","exact time"), "")</f>
        <v>4.7E-2</v>
      </c>
      <c r="Q16" s="29">
        <f>IF(ISNUMBER(_xll.PIArcVal(Q$5,$C16, 0,"TPI","exact time"))=TRUE,_xll.PIArcVal(Q$5,$C16, 0,"TPI","exact time"),"")</f>
        <v>7.0000000000000001E-3</v>
      </c>
      <c r="R16" s="9">
        <f>IF(ISNUMBER(_xll.PIArcVal(Q$5,$D16, 0,"TPI","exact time"))=TRUE, _xll.PIArcVal(Q$5,$D16, 0,"TPI","exact time"), "")</f>
        <v>7.0000000000000001E-3</v>
      </c>
      <c r="S16" s="29">
        <f>IF(ISNUMBER(_xll.PIArcVal(S$5,$C16, 0,"TPI","exact time"))=TRUE,_xll.PIArcVal(S$5,$C16, 0,"TPI","exact time"),"")</f>
        <v>1.82</v>
      </c>
      <c r="T16" s="9">
        <f>IF(ISNUMBER(_xll.PIArcVal(S$5,$D16, 0,"TPI","exact time"))=TRUE, _xll.PIArcVal(S$5,$D16, 0,"TPI","exact time"), "")</f>
        <v>1.5509999999999999</v>
      </c>
      <c r="U16" s="29">
        <f>IF(ISNUMBER(_xll.PIArcVal(U$5,$C16, 0,"TPI","exact time"))=TRUE,_xll.PIArcVal(U$5,$C16, 0,"TPI","exact time"),"")</f>
        <v>22.885000000000002</v>
      </c>
      <c r="V16" s="9">
        <f>IF(ISNUMBER(_xll.PIArcVal(U$5,$D16, 0,"TPI","exact time"))=TRUE, _xll.PIArcVal(U$5,$D16, 0,"TPI","exact time"), "")</f>
        <v>24.776</v>
      </c>
      <c r="W16" s="29">
        <f>IF(ISNUMBER(_xll.PIArcVal(W$5,$C16, 0,"TPI","exact time"))=TRUE,_xll.PIArcVal(W$5,$C16, 0,"TPI","exact time"),"")</f>
        <v>2.68</v>
      </c>
      <c r="X16" s="9">
        <f>IF(ISNUMBER(_xll.PIArcVal(W$5,$D16, 0,"TPI","exact time"))=TRUE, _xll.PIArcVal(W$5,$D16, 0,"TPI","exact time"), "")</f>
        <v>1.6240000000000001</v>
      </c>
      <c r="Y16" s="29">
        <f>IF(ISNUMBER(_xll.PIArcVal(Y$5,$C16, 0,"TPI","exact time"))=TRUE,_xll.PIArcVal(Y$5,$C16, 0,"TPI","exact time"),"")</f>
        <v>28.91</v>
      </c>
      <c r="Z16" s="9">
        <f>IF(ISNUMBER(_xll.PIArcVal(Y$5,$D16, 0,"TPI","exact time"))=TRUE, _xll.PIArcVal(Y$5,$D16, 0,"TPI","exact time"), "")</f>
        <v>29.53</v>
      </c>
    </row>
    <row r="17" spans="1:26" ht="13.5" thickBot="1" x14ac:dyDescent="0.25">
      <c r="A17">
        <f t="shared" si="3"/>
        <v>11</v>
      </c>
      <c r="B17" s="28">
        <f t="shared" si="0"/>
        <v>46258</v>
      </c>
      <c r="C17" s="30">
        <f t="shared" si="1"/>
        <v>46258.3125</v>
      </c>
      <c r="D17" s="30">
        <f t="shared" si="2"/>
        <v>46258.8125</v>
      </c>
      <c r="E17" s="29">
        <f>IF(ISNUMBER(_xll.PIArcVal(E$5,$C17, 0,"TPI","exact time"))=TRUE,_xll.PIArcVal(E$5,$C17, 0,"TPI","exact time"),"")</f>
        <v>0.58299999999999996</v>
      </c>
      <c r="F17" s="9">
        <f>IF(ISNUMBER(_xll.PIArcVal(E$5,$D17, 0,"TPI","exact time"))=TRUE, _xll.PIArcVal(E$5,$D17, 0,"TPI","exact time"), "")</f>
        <v>0.65100000000000002</v>
      </c>
      <c r="G17" s="29">
        <f>IF(ISNUMBER(_xll.PIArcVal(G$5,$C17, 0,"TPI","exact time"))=TRUE,_xll.PIArcVal(G$5,$C17, 0,"TPI","exact time"),"")</f>
        <v>6.7000000000000004E-2</v>
      </c>
      <c r="H17" s="9">
        <f>IF(ISNUMBER(_xll.PIArcVal(G$5,$D17, 0,"TPI","exact time"))=TRUE, _xll.PIArcVal(G$5,$D17, 0,"TPI","exact time"), "")</f>
        <v>5.3999999999999999E-2</v>
      </c>
      <c r="I17" s="29">
        <f>IF(ISNUMBER(_xll.PIArcVal(I$5,$C17, 0,"TPI","exact time"))=TRUE,_xll.PIArcVal(I$5,$C17, 0,"TPI","exact time"),"")</f>
        <v>2.177</v>
      </c>
      <c r="J17" s="9">
        <f>IF(ISNUMBER(_xll.PIArcVal(I$5,$D17, 0,"TPI","exact time"))=TRUE, _xll.PIArcVal(I$5,$D17, 0,"TPI","exact time"), "")</f>
        <v>2.2090000000000001</v>
      </c>
      <c r="K17" s="29">
        <f>IF(ISNUMBER(_xll.PIArcVal(K$5,$C17, 0,"TPI","exact time"))=TRUE,_xll.PIArcVal(K$5,$C17, 0,"TPI","exact time"),"")</f>
        <v>5.0000000000000001E-3</v>
      </c>
      <c r="L17" s="9">
        <f>IF(ISNUMBER(_xll.PIArcVal(K$5,$D17, 0,"TPI","exact time"))=TRUE, _xll.PIArcVal(K$5,$D17, 0,"TPI","exact time"), "")</f>
        <v>8.0000000000000002E-3</v>
      </c>
      <c r="M17" s="29" t="str">
        <f>IF(ISNUMBER(_xll.PIArcVal(M$5,$C17, 0,"TPI","exact time"))=TRUE,_xll.PIArcVal(M$5,$C17, 0,"TPI","exact time"),"")</f>
        <v/>
      </c>
      <c r="N17" s="9" t="str">
        <f>IF(ISNUMBER(_xll.PIArcVal(M$5,$D17, 0,"TPI","exact time"))=TRUE, _xll.PIArcVal(M$5,$D17, 0,"TPI","exact time"), "")</f>
        <v/>
      </c>
      <c r="O17" s="29">
        <f>IF(ISNUMBER(_xll.PIArcVal(O$5,$C17, 0,"TPI","exact time"))=TRUE,_xll.PIArcVal(O$5,$C17, 0,"TPI","exact time"),"")</f>
        <v>2.9000000000000001E-2</v>
      </c>
      <c r="P17" s="9">
        <f>IF(ISNUMBER(_xll.PIArcVal(O$5,$D17, 0,"TPI","exact time"))=TRUE, _xll.PIArcVal(O$5,$D17, 0,"TPI","exact time"), "")</f>
        <v>4.8000000000000001E-2</v>
      </c>
      <c r="Q17" s="29">
        <f>IF(ISNUMBER(_xll.PIArcVal(Q$5,$C17, 0,"TPI","exact time"))=TRUE,_xll.PIArcVal(Q$5,$C17, 0,"TPI","exact time"),"")</f>
        <v>6.0000000000000001E-3</v>
      </c>
      <c r="R17" s="9">
        <f>IF(ISNUMBER(_xll.PIArcVal(Q$5,$D17, 0,"TPI","exact time"))=TRUE, _xll.PIArcVal(Q$5,$D17, 0,"TPI","exact time"), "")</f>
        <v>7.0000000000000001E-3</v>
      </c>
      <c r="S17" s="29">
        <f>IF(ISNUMBER(_xll.PIArcVal(S$5,$C17, 0,"TPI","exact time"))=TRUE,_xll.PIArcVal(S$5,$C17, 0,"TPI","exact time"),"")</f>
        <v>1.399</v>
      </c>
      <c r="T17" s="9">
        <f>IF(ISNUMBER(_xll.PIArcVal(S$5,$D17, 0,"TPI","exact time"))=TRUE, _xll.PIArcVal(S$5,$D17, 0,"TPI","exact time"), "")</f>
        <v>1.5289999999999999</v>
      </c>
      <c r="U17" s="29">
        <f>IF(ISNUMBER(_xll.PIArcVal(U$5,$C17, 0,"TPI","exact time"))=TRUE,_xll.PIArcVal(U$5,$C17, 0,"TPI","exact time"),"")</f>
        <v>21.143999999999998</v>
      </c>
      <c r="V17" s="9">
        <f>IF(ISNUMBER(_xll.PIArcVal(U$5,$D17, 0,"TPI","exact time"))=TRUE, _xll.PIArcVal(U$5,$D17, 0,"TPI","exact time"), "")</f>
        <v>24.331</v>
      </c>
      <c r="W17" s="29">
        <f>IF(ISNUMBER(_xll.PIArcVal(W$5,$C17, 0,"TPI","exact time"))=TRUE,_xll.PIArcVal(W$5,$C17, 0,"TPI","exact time"),"")</f>
        <v>2.9460000000000002</v>
      </c>
      <c r="X17" s="9">
        <f>IF(ISNUMBER(_xll.PIArcVal(W$5,$D17, 0,"TPI","exact time"))=TRUE, _xll.PIArcVal(W$5,$D17, 0,"TPI","exact time"), "")</f>
        <v>1.764</v>
      </c>
      <c r="Y17" s="29">
        <f>IF(ISNUMBER(_xll.PIArcVal(Y$5,$C17, 0,"TPI","exact time"))=TRUE,_xll.PIArcVal(Y$5,$C17, 0,"TPI","exact time"),"")</f>
        <v>26.86</v>
      </c>
      <c r="Z17" s="9">
        <f>IF(ISNUMBER(_xll.PIArcVal(Y$5,$D17, 0,"TPI","exact time"))=TRUE, _xll.PIArcVal(Y$5,$D17, 0,"TPI","exact time"), "")</f>
        <v>28.49</v>
      </c>
    </row>
    <row r="18" spans="1:26" ht="13.5" thickBot="1" x14ac:dyDescent="0.25">
      <c r="A18">
        <f t="shared" si="3"/>
        <v>12</v>
      </c>
      <c r="B18" s="28">
        <f t="shared" si="0"/>
        <v>46259</v>
      </c>
      <c r="C18" s="30">
        <f t="shared" si="1"/>
        <v>46259.3125</v>
      </c>
      <c r="D18" s="30">
        <f t="shared" si="2"/>
        <v>46259.8125</v>
      </c>
      <c r="E18" s="29">
        <f>IF(ISNUMBER(_xll.PIArcVal(E$5,$C18, 0,"TPI","exact time"))=TRUE,_xll.PIArcVal(E$5,$C18, 0,"TPI","exact time"),"")</f>
        <v>0.54</v>
      </c>
      <c r="F18" s="9">
        <f>IF(ISNUMBER(_xll.PIArcVal(E$5,$D18, 0,"TPI","exact time"))=TRUE, _xll.PIArcVal(E$5,$D18, 0,"TPI","exact time"), "")</f>
        <v>0.58199999999999996</v>
      </c>
      <c r="G18" s="29">
        <f>IF(ISNUMBER(_xll.PIArcVal(G$5,$C18, 0,"TPI","exact time"))=TRUE,_xll.PIArcVal(G$5,$C18, 0,"TPI","exact time"),"")</f>
        <v>4.2000000000000003E-2</v>
      </c>
      <c r="H18" s="9">
        <f>IF(ISNUMBER(_xll.PIArcVal(G$5,$D18, 0,"TPI","exact time"))=TRUE, _xll.PIArcVal(G$5,$D18, 0,"TPI","exact time"), "")</f>
        <v>4.3999999999999997E-2</v>
      </c>
      <c r="I18" s="29">
        <f>IF(ISNUMBER(_xll.PIArcVal(I$5,$C18, 0,"TPI","exact time"))=TRUE,_xll.PIArcVal(I$5,$C18, 0,"TPI","exact time"),"")</f>
        <v>2.5049999999999999</v>
      </c>
      <c r="J18" s="9">
        <f>IF(ISNUMBER(_xll.PIArcVal(I$5,$D18, 0,"TPI","exact time"))=TRUE, _xll.PIArcVal(I$5,$D18, 0,"TPI","exact time"), "")</f>
        <v>2.2799999999999998</v>
      </c>
      <c r="K18" s="29">
        <f>IF(ISNUMBER(_xll.PIArcVal(K$5,$C18, 0,"TPI","exact time"))=TRUE,_xll.PIArcVal(K$5,$C18, 0,"TPI","exact time"),"")</f>
        <v>7.0000000000000001E-3</v>
      </c>
      <c r="L18" s="9">
        <f>IF(ISNUMBER(_xll.PIArcVal(K$5,$D18, 0,"TPI","exact time"))=TRUE, _xll.PIArcVal(K$5,$D18, 0,"TPI","exact time"), "")</f>
        <v>6.0000000000000001E-3</v>
      </c>
      <c r="M18" s="29" t="str">
        <f>IF(ISNUMBER(_xll.PIArcVal(M$5,$C18, 0,"TPI","exact time"))=TRUE,_xll.PIArcVal(M$5,$C18, 0,"TPI","exact time"),"")</f>
        <v/>
      </c>
      <c r="N18" s="9" t="str">
        <f>IF(ISNUMBER(_xll.PIArcVal(M$5,$D18, 0,"TPI","exact time"))=TRUE, _xll.PIArcVal(M$5,$D18, 0,"TPI","exact time"), "")</f>
        <v/>
      </c>
      <c r="O18" s="29">
        <f>IF(ISNUMBER(_xll.PIArcVal(O$5,$C18, 0,"TPI","exact time"))=TRUE,_xll.PIArcVal(O$5,$C18, 0,"TPI","exact time"),"")</f>
        <v>5.3999999999999999E-2</v>
      </c>
      <c r="P18" s="9">
        <f>IF(ISNUMBER(_xll.PIArcVal(O$5,$D18, 0,"TPI","exact time"))=TRUE, _xll.PIArcVal(O$5,$D18, 0,"TPI","exact time"), "")</f>
        <v>5.6000000000000001E-2</v>
      </c>
      <c r="Q18" s="29">
        <f>IF(ISNUMBER(_xll.PIArcVal(Q$5,$C18, 0,"TPI","exact time"))=TRUE,_xll.PIArcVal(Q$5,$C18, 0,"TPI","exact time"),"")</f>
        <v>7.0000000000000001E-3</v>
      </c>
      <c r="R18" s="9">
        <f>IF(ISNUMBER(_xll.PIArcVal(Q$5,$D18, 0,"TPI","exact time"))=TRUE, _xll.PIArcVal(Q$5,$D18, 0,"TPI","exact time"), "")</f>
        <v>6.0000000000000001E-3</v>
      </c>
      <c r="S18" s="29">
        <f>IF(ISNUMBER(_xll.PIArcVal(S$5,$C18, 0,"TPI","exact time"))=TRUE,_xll.PIArcVal(S$5,$C18, 0,"TPI","exact time"),"")</f>
        <v>2.0329999999999999</v>
      </c>
      <c r="T18" s="9">
        <f>IF(ISNUMBER(_xll.PIArcVal(S$5,$D18, 0,"TPI","exact time"))=TRUE, _xll.PIArcVal(S$5,$D18, 0,"TPI","exact time"), "")</f>
        <v>1.5640000000000001</v>
      </c>
      <c r="U18" s="29">
        <f>IF(ISNUMBER(_xll.PIArcVal(U$5,$C18, 0,"TPI","exact time"))=TRUE,_xll.PIArcVal(U$5,$C18, 0,"TPI","exact time"),"")</f>
        <v>23.065000000000001</v>
      </c>
      <c r="V18" s="9">
        <f>IF(ISNUMBER(_xll.PIArcVal(U$5,$D18, 0,"TPI","exact time"))=TRUE, _xll.PIArcVal(U$5,$D18, 0,"TPI","exact time"), "")</f>
        <v>24.725999999999999</v>
      </c>
      <c r="W18" s="29">
        <f>IF(ISNUMBER(_xll.PIArcVal(W$5,$C18, 0,"TPI","exact time"))=TRUE,_xll.PIArcVal(W$5,$C18, 0,"TPI","exact time"),"")</f>
        <v>1.617</v>
      </c>
      <c r="X18" s="9">
        <f>IF(ISNUMBER(_xll.PIArcVal(W$5,$D18, 0,"TPI","exact time"))=TRUE, _xll.PIArcVal(W$5,$D18, 0,"TPI","exact time"), "")</f>
        <v>1.4370000000000001</v>
      </c>
      <c r="Y18" s="29">
        <f>IF(ISNUMBER(_xll.PIArcVal(Y$5,$C18, 0,"TPI","exact time"))=TRUE,_xll.PIArcVal(Y$5,$C18, 0,"TPI","exact time"),"")</f>
        <v>28.47</v>
      </c>
      <c r="Z18" s="9">
        <f>IF(ISNUMBER(_xll.PIArcVal(Y$5,$D18, 0,"TPI","exact time"))=TRUE, _xll.PIArcVal(Y$5,$D18, 0,"TPI","exact time"), "")</f>
        <v>27.39</v>
      </c>
    </row>
    <row r="19" spans="1:26" ht="13.5" thickBot="1" x14ac:dyDescent="0.25">
      <c r="A19">
        <f t="shared" si="3"/>
        <v>13</v>
      </c>
      <c r="B19" s="28">
        <f t="shared" si="0"/>
        <v>46260</v>
      </c>
      <c r="C19" s="30">
        <f t="shared" si="1"/>
        <v>46260.3125</v>
      </c>
      <c r="D19" s="30">
        <f t="shared" si="2"/>
        <v>46260.8125</v>
      </c>
      <c r="E19" s="29">
        <f>IF(ISNUMBER(_xll.PIArcVal(E$5,$C19, 0,"TPI","exact time"))=TRUE,_xll.PIArcVal(E$5,$C19, 0,"TPI","exact time"),"")</f>
        <v>0.48499999999999999</v>
      </c>
      <c r="F19" s="9">
        <f>IF(ISNUMBER(_xll.PIArcVal(E$5,$D19, 0,"TPI","exact time"))=TRUE, _xll.PIArcVal(E$5,$D19, 0,"TPI","exact time"), "")</f>
        <v>0.56399999999999995</v>
      </c>
      <c r="G19" s="29">
        <f>IF(ISNUMBER(_xll.PIArcVal(G$5,$C19, 0,"TPI","exact time"))=TRUE,_xll.PIArcVal(G$5,$C19, 0,"TPI","exact time"),"")</f>
        <v>4.4999999999999998E-2</v>
      </c>
      <c r="H19" s="9">
        <f>IF(ISNUMBER(_xll.PIArcVal(G$5,$D19, 0,"TPI","exact time"))=TRUE, _xll.PIArcVal(G$5,$D19, 0,"TPI","exact time"), "")</f>
        <v>0.06</v>
      </c>
      <c r="I19" s="29">
        <f>IF(ISNUMBER(_xll.PIArcVal(I$5,$C19, 0,"TPI","exact time"))=TRUE,_xll.PIArcVal(I$5,$C19, 0,"TPI","exact time"),"")</f>
        <v>2.12</v>
      </c>
      <c r="J19" s="9">
        <f>IF(ISNUMBER(_xll.PIArcVal(I$5,$D19, 0,"TPI","exact time"))=TRUE, _xll.PIArcVal(I$5,$D19, 0,"TPI","exact time"), "")</f>
        <v>2.0259999999999998</v>
      </c>
      <c r="K19" s="29">
        <f>IF(ISNUMBER(_xll.PIArcVal(K$5,$C19, 0,"TPI","exact time"))=TRUE,_xll.PIArcVal(K$5,$C19, 0,"TPI","exact time"),"")</f>
        <v>1.2E-2</v>
      </c>
      <c r="L19" s="9">
        <f>IF(ISNUMBER(_xll.PIArcVal(K$5,$D19, 0,"TPI","exact time"))=TRUE, _xll.PIArcVal(K$5,$D19, 0,"TPI","exact time"), "")</f>
        <v>0.01</v>
      </c>
      <c r="M19" s="29" t="str">
        <f>IF(ISNUMBER(_xll.PIArcVal(M$5,$C19, 0,"TPI","exact time"))=TRUE,_xll.PIArcVal(M$5,$C19, 0,"TPI","exact time"),"")</f>
        <v/>
      </c>
      <c r="N19" s="9" t="str">
        <f>IF(ISNUMBER(_xll.PIArcVal(M$5,$D19, 0,"TPI","exact time"))=TRUE, _xll.PIArcVal(M$5,$D19, 0,"TPI","exact time"), "")</f>
        <v/>
      </c>
      <c r="O19" s="29">
        <f>IF(ISNUMBER(_xll.PIArcVal(O$5,$C19, 0,"TPI","exact time"))=TRUE,_xll.PIArcVal(O$5,$C19, 0,"TPI","exact time"),"")</f>
        <v>0.04</v>
      </c>
      <c r="P19" s="9">
        <f>IF(ISNUMBER(_xll.PIArcVal(O$5,$D19, 0,"TPI","exact time"))=TRUE, _xll.PIArcVal(O$5,$D19, 0,"TPI","exact time"), "")</f>
        <v>3.6999999999999998E-2</v>
      </c>
      <c r="Q19" s="29">
        <f>IF(ISNUMBER(_xll.PIArcVal(Q$5,$C19, 0,"TPI","exact time"))=TRUE,_xll.PIArcVal(Q$5,$C19, 0,"TPI","exact time"),"")</f>
        <v>7.0000000000000001E-3</v>
      </c>
      <c r="R19" s="9">
        <f>IF(ISNUMBER(_xll.PIArcVal(Q$5,$D19, 0,"TPI","exact time"))=TRUE, _xll.PIArcVal(Q$5,$D19, 0,"TPI","exact time"), "")</f>
        <v>7.0000000000000001E-3</v>
      </c>
      <c r="S19" s="29">
        <f>IF(ISNUMBER(_xll.PIArcVal(S$5,$C19, 0,"TPI","exact time"))=TRUE,_xll.PIArcVal(S$5,$C19, 0,"TPI","exact time"),"")</f>
        <v>1.6659999999999999</v>
      </c>
      <c r="T19" s="9">
        <f>IF(ISNUMBER(_xll.PIArcVal(S$5,$D19, 0,"TPI","exact time"))=TRUE, _xll.PIArcVal(S$5,$D19, 0,"TPI","exact time"), "")</f>
        <v>1.518</v>
      </c>
      <c r="U19" s="29">
        <f>IF(ISNUMBER(_xll.PIArcVal(U$5,$C19, 0,"TPI","exact time"))=TRUE,_xll.PIArcVal(U$5,$C19, 0,"TPI","exact time"),"")</f>
        <v>18.288</v>
      </c>
      <c r="V19" s="9">
        <f>IF(ISNUMBER(_xll.PIArcVal(U$5,$D19, 0,"TPI","exact time"))=TRUE, _xll.PIArcVal(U$5,$D19, 0,"TPI","exact time"), "")</f>
        <v>26.913</v>
      </c>
      <c r="W19" s="29">
        <f>IF(ISNUMBER(_xll.PIArcVal(W$5,$C19, 0,"TPI","exact time"))=TRUE,_xll.PIArcVal(W$5,$C19, 0,"TPI","exact time"),"")</f>
        <v>1.5609999999999999</v>
      </c>
      <c r="X19" s="9">
        <f>IF(ISNUMBER(_xll.PIArcVal(W$5,$D19, 0,"TPI","exact time"))=TRUE, _xll.PIArcVal(W$5,$D19, 0,"TPI","exact time"), "")</f>
        <v>2.29</v>
      </c>
      <c r="Y19" s="29">
        <f>IF(ISNUMBER(_xll.PIArcVal(Y$5,$C19, 0,"TPI","exact time"))=TRUE,_xll.PIArcVal(Y$5,$C19, 0,"TPI","exact time"),"")</f>
        <v>24.83</v>
      </c>
      <c r="Z19" s="9">
        <f>IF(ISNUMBER(_xll.PIArcVal(Y$5,$D19, 0,"TPI","exact time"))=TRUE, _xll.PIArcVal(Y$5,$D19, 0,"TPI","exact time"), "")</f>
        <v>28</v>
      </c>
    </row>
    <row r="20" spans="1:26" ht="13.5" thickBot="1" x14ac:dyDescent="0.25">
      <c r="A20">
        <f t="shared" si="3"/>
        <v>14</v>
      </c>
      <c r="B20" s="28">
        <f t="shared" si="0"/>
        <v>46261</v>
      </c>
      <c r="C20" s="30">
        <f t="shared" si="1"/>
        <v>46261.3125</v>
      </c>
      <c r="D20" s="30">
        <f t="shared" si="2"/>
        <v>46261.8125</v>
      </c>
      <c r="E20" s="29">
        <f>IF(ISNUMBER(_xll.PIArcVal(E$5,$C20, 0,"TPI","exact time"))=TRUE,_xll.PIArcVal(E$5,$C20, 0,"TPI","exact time"),"")</f>
        <v>0.54</v>
      </c>
      <c r="F20" s="9">
        <f>IF(ISNUMBER(_xll.PIArcVal(E$5,$D20, 0,"TPI","exact time"))=TRUE, _xll.PIArcVal(E$5,$D20, 0,"TPI","exact time"), "")</f>
        <v>0.54500000000000004</v>
      </c>
      <c r="G20" s="29">
        <f>IF(ISNUMBER(_xll.PIArcVal(G$5,$C20, 0,"TPI","exact time"))=TRUE,_xll.PIArcVal(G$5,$C20, 0,"TPI","exact time"),"")</f>
        <v>4.1000000000000002E-2</v>
      </c>
      <c r="H20" s="9">
        <f>IF(ISNUMBER(_xll.PIArcVal(G$5,$D20, 0,"TPI","exact time"))=TRUE, _xll.PIArcVal(G$5,$D20, 0,"TPI","exact time"), "")</f>
        <v>0.05</v>
      </c>
      <c r="I20" s="29">
        <f>IF(ISNUMBER(_xll.PIArcVal(I$5,$C20, 0,"TPI","exact time"))=TRUE,_xll.PIArcVal(I$5,$C20, 0,"TPI","exact time"),"")</f>
        <v>1.6930000000000001</v>
      </c>
      <c r="J20" s="9">
        <f>IF(ISNUMBER(_xll.PIArcVal(I$5,$D20, 0,"TPI","exact time"))=TRUE, _xll.PIArcVal(I$5,$D20, 0,"TPI","exact time"), "")</f>
        <v>1.802</v>
      </c>
      <c r="K20" s="29">
        <f>IF(ISNUMBER(_xll.PIArcVal(K$5,$C20, 0,"TPI","exact time"))=TRUE,_xll.PIArcVal(K$5,$C20, 0,"TPI","exact time"),"")</f>
        <v>8.9999999999999993E-3</v>
      </c>
      <c r="L20" s="9">
        <f>IF(ISNUMBER(_xll.PIArcVal(K$5,$D20, 0,"TPI","exact time"))=TRUE, _xll.PIArcVal(K$5,$D20, 0,"TPI","exact time"), "")</f>
        <v>8.0000000000000002E-3</v>
      </c>
      <c r="M20" s="29" t="str">
        <f>IF(ISNUMBER(_xll.PIArcVal(M$5,$C20, 0,"TPI","exact time"))=TRUE,_xll.PIArcVal(M$5,$C20, 0,"TPI","exact time"),"")</f>
        <v/>
      </c>
      <c r="N20" s="9" t="str">
        <f>IF(ISNUMBER(_xll.PIArcVal(M$5,$D20, 0,"TPI","exact time"))=TRUE, _xll.PIArcVal(M$5,$D20, 0,"TPI","exact time"), "")</f>
        <v/>
      </c>
      <c r="O20" s="29">
        <f>IF(ISNUMBER(_xll.PIArcVal(O$5,$C20, 0,"TPI","exact time"))=TRUE,_xll.PIArcVal(O$5,$C20, 0,"TPI","exact time"),"")</f>
        <v>4.9000000000000002E-2</v>
      </c>
      <c r="P20" s="9">
        <f>IF(ISNUMBER(_xll.PIArcVal(O$5,$D20, 0,"TPI","exact time"))=TRUE, _xll.PIArcVal(O$5,$D20, 0,"TPI","exact time"), "")</f>
        <v>4.9000000000000002E-2</v>
      </c>
      <c r="Q20" s="29">
        <f>IF(ISNUMBER(_xll.PIArcVal(Q$5,$C20, 0,"TPI","exact time"))=TRUE,_xll.PIArcVal(Q$5,$C20, 0,"TPI","exact time"),"")</f>
        <v>7.0000000000000001E-3</v>
      </c>
      <c r="R20" s="9">
        <f>IF(ISNUMBER(_xll.PIArcVal(Q$5,$D20, 0,"TPI","exact time"))=TRUE, _xll.PIArcVal(Q$5,$D20, 0,"TPI","exact time"), "")</f>
        <v>7.0000000000000001E-3</v>
      </c>
      <c r="S20" s="29">
        <f>IF(ISNUMBER(_xll.PIArcVal(S$5,$C20, 0,"TPI","exact time"))=TRUE,_xll.PIArcVal(S$5,$C20, 0,"TPI","exact time"),"")</f>
        <v>1.117</v>
      </c>
      <c r="T20" s="9">
        <f>IF(ISNUMBER(_xll.PIArcVal(S$5,$D20, 0,"TPI","exact time"))=TRUE, _xll.PIArcVal(S$5,$D20, 0,"TPI","exact time"), "")</f>
        <v>1.159</v>
      </c>
      <c r="U20" s="29">
        <f>IF(ISNUMBER(_xll.PIArcVal(U$5,$C20, 0,"TPI","exact time"))=TRUE,_xll.PIArcVal(U$5,$C20, 0,"TPI","exact time"),"")</f>
        <v>21.335999999999999</v>
      </c>
      <c r="V20" s="9">
        <f>IF(ISNUMBER(_xll.PIArcVal(U$5,$D20, 0,"TPI","exact time"))=TRUE, _xll.PIArcVal(U$5,$D20, 0,"TPI","exact time"), "")</f>
        <v>26.716000000000001</v>
      </c>
      <c r="W20" s="29">
        <f>IF(ISNUMBER(_xll.PIArcVal(W$5,$C20, 0,"TPI","exact time"))=TRUE,_xll.PIArcVal(W$5,$C20, 0,"TPI","exact time"),"")</f>
        <v>1.7749999999999999</v>
      </c>
      <c r="X20" s="9">
        <f>IF(ISNUMBER(_xll.PIArcVal(W$5,$D20, 0,"TPI","exact time"))=TRUE, _xll.PIArcVal(W$5,$D20, 0,"TPI","exact time"), "")</f>
        <v>1.6779999999999999</v>
      </c>
      <c r="Y20" s="29">
        <f>IF(ISNUMBER(_xll.PIArcVal(Y$5,$C20, 0,"TPI","exact time"))=TRUE,_xll.PIArcVal(Y$5,$C20, 0,"TPI","exact time"),"")</f>
        <v>32.68</v>
      </c>
      <c r="Z20" s="9">
        <f>IF(ISNUMBER(_xll.PIArcVal(Y$5,$D20, 0,"TPI","exact time"))=TRUE, _xll.PIArcVal(Y$5,$D20, 0,"TPI","exact time"), "")</f>
        <v>28.99</v>
      </c>
    </row>
    <row r="21" spans="1:26" ht="13.5" thickBot="1" x14ac:dyDescent="0.25">
      <c r="A21">
        <f t="shared" si="3"/>
        <v>15</v>
      </c>
      <c r="B21" s="28">
        <f t="shared" si="0"/>
        <v>46262</v>
      </c>
      <c r="C21" s="30">
        <f t="shared" si="1"/>
        <v>46262.3125</v>
      </c>
      <c r="D21" s="30">
        <f t="shared" si="2"/>
        <v>46262.8125</v>
      </c>
      <c r="E21" s="29">
        <f>IF(ISNUMBER(_xll.PIArcVal(E$5,$C21, 0,"TPI","exact time"))=TRUE,_xll.PIArcVal(E$5,$C21, 0,"TPI","exact time"),"")</f>
        <v>0.52</v>
      </c>
      <c r="F21" s="9">
        <f>IF(ISNUMBER(_xll.PIArcVal(E$5,$D21, 0,"TPI","exact time"))=TRUE, _xll.PIArcVal(E$5,$D21, 0,"TPI","exact time"), "")</f>
        <v>0.46200000000000002</v>
      </c>
      <c r="G21" s="29">
        <f>IF(ISNUMBER(_xll.PIArcVal(G$5,$C21, 0,"TPI","exact time"))=TRUE,_xll.PIArcVal(G$5,$C21, 0,"TPI","exact time"),"")</f>
        <v>4.5999999999999999E-2</v>
      </c>
      <c r="H21" s="9">
        <f>IF(ISNUMBER(_xll.PIArcVal(G$5,$D21, 0,"TPI","exact time"))=TRUE, _xll.PIArcVal(G$5,$D21, 0,"TPI","exact time"), "")</f>
        <v>3.5999999999999997E-2</v>
      </c>
      <c r="I21" s="29">
        <f>IF(ISNUMBER(_xll.PIArcVal(I$5,$C21, 0,"TPI","exact time"))=TRUE,_xll.PIArcVal(I$5,$C21, 0,"TPI","exact time"),"")</f>
        <v>2.0049999999999999</v>
      </c>
      <c r="J21" s="9">
        <f>IF(ISNUMBER(_xll.PIArcVal(I$5,$D21, 0,"TPI","exact time"))=TRUE, _xll.PIArcVal(I$5,$D21, 0,"TPI","exact time"), "")</f>
        <v>2.266</v>
      </c>
      <c r="K21" s="29">
        <f>IF(ISNUMBER(_xll.PIArcVal(K$5,$C21, 0,"TPI","exact time"))=TRUE,_xll.PIArcVal(K$5,$C21, 0,"TPI","exact time"),"")</f>
        <v>8.0000000000000002E-3</v>
      </c>
      <c r="L21" s="9">
        <f>IF(ISNUMBER(_xll.PIArcVal(K$5,$D21, 0,"TPI","exact time"))=TRUE, _xll.PIArcVal(K$5,$D21, 0,"TPI","exact time"), "")</f>
        <v>8.9999999999999993E-3</v>
      </c>
      <c r="M21" s="29" t="str">
        <f>IF(ISNUMBER(_xll.PIArcVal(M$5,$C21, 0,"TPI","exact time"))=TRUE,_xll.PIArcVal(M$5,$C21, 0,"TPI","exact time"),"")</f>
        <v/>
      </c>
      <c r="N21" s="9" t="str">
        <f>IF(ISNUMBER(_xll.PIArcVal(M$5,$D21, 0,"TPI","exact time"))=TRUE, _xll.PIArcVal(M$5,$D21, 0,"TPI","exact time"), "")</f>
        <v/>
      </c>
      <c r="O21" s="29">
        <f>IF(ISNUMBER(_xll.PIArcVal(O$5,$C21, 0,"TPI","exact time"))=TRUE,_xll.PIArcVal(O$5,$C21, 0,"TPI","exact time"),"")</f>
        <v>3.9E-2</v>
      </c>
      <c r="P21" s="9">
        <f>IF(ISNUMBER(_xll.PIArcVal(O$5,$D21, 0,"TPI","exact time"))=TRUE, _xll.PIArcVal(O$5,$D21, 0,"TPI","exact time"), "")</f>
        <v>2.7E-2</v>
      </c>
      <c r="Q21" s="29">
        <f>IF(ISNUMBER(_xll.PIArcVal(Q$5,$C21, 0,"TPI","exact time"))=TRUE,_xll.PIArcVal(Q$5,$C21, 0,"TPI","exact time"),"")</f>
        <v>5.0000000000000001E-3</v>
      </c>
      <c r="R21" s="9">
        <f>IF(ISNUMBER(_xll.PIArcVal(Q$5,$D21, 0,"TPI","exact time"))=TRUE, _xll.PIArcVal(Q$5,$D21, 0,"TPI","exact time"), "")</f>
        <v>4.0000000000000001E-3</v>
      </c>
      <c r="S21" s="29">
        <f>IF(ISNUMBER(_xll.PIArcVal(S$5,$C21, 0,"TPI","exact time"))=TRUE,_xll.PIArcVal(S$5,$C21, 0,"TPI","exact time"),"")</f>
        <v>1.619</v>
      </c>
      <c r="T21" s="9">
        <f>IF(ISNUMBER(_xll.PIArcVal(S$5,$D21, 0,"TPI","exact time"))=TRUE, _xll.PIArcVal(S$5,$D21, 0,"TPI","exact time"), "")</f>
        <v>1.6639999999999999</v>
      </c>
      <c r="U21" s="29">
        <f>IF(ISNUMBER(_xll.PIArcVal(U$5,$C21, 0,"TPI","exact time"))=TRUE,_xll.PIArcVal(U$5,$C21, 0,"TPI","exact time"),"")</f>
        <v>21.856000000000002</v>
      </c>
      <c r="V21" s="9">
        <f>IF(ISNUMBER(_xll.PIArcVal(U$5,$D21, 0,"TPI","exact time"))=TRUE, _xll.PIArcVal(U$5,$D21, 0,"TPI","exact time"), "")</f>
        <v>23.388000000000002</v>
      </c>
      <c r="W21" s="29">
        <f>IF(ISNUMBER(_xll.PIArcVal(W$5,$C21, 0,"TPI","exact time"))=TRUE,_xll.PIArcVal(W$5,$C21, 0,"TPI","exact time"),"")</f>
        <v>2.3109999999999999</v>
      </c>
      <c r="X21" s="9">
        <f>IF(ISNUMBER(_xll.PIArcVal(W$5,$D21, 0,"TPI","exact time"))=TRUE, _xll.PIArcVal(W$5,$D21, 0,"TPI","exact time"), "")</f>
        <v>1.841</v>
      </c>
      <c r="Y21" s="29">
        <f>IF(ISNUMBER(_xll.PIArcVal(Y$5,$C21, 0,"TPI","exact time"))=TRUE,_xll.PIArcVal(Y$5,$C21, 0,"TPI","exact time"),"")</f>
        <v>29.63</v>
      </c>
      <c r="Z21" s="9">
        <f>IF(ISNUMBER(_xll.PIArcVal(Y$5,$D21, 0,"TPI","exact time"))=TRUE, _xll.PIArcVal(Y$5,$D21, 0,"TPI","exact time"), "")</f>
        <v>28.85</v>
      </c>
    </row>
    <row r="22" spans="1:26" ht="13.5" thickBot="1" x14ac:dyDescent="0.25">
      <c r="A22">
        <f t="shared" si="3"/>
        <v>16</v>
      </c>
      <c r="B22" s="28">
        <f t="shared" si="0"/>
        <v>46263</v>
      </c>
      <c r="C22" s="30">
        <f t="shared" si="1"/>
        <v>46263.3125</v>
      </c>
      <c r="D22" s="30">
        <f t="shared" si="2"/>
        <v>46263.8125</v>
      </c>
      <c r="E22" s="29">
        <f>IF(ISNUMBER(_xll.PIArcVal(E$5,$C22, 0,"TPI","exact time"))=TRUE,_xll.PIArcVal(E$5,$C22, 0,"TPI","exact time"),"")</f>
        <v>0.41799999999999998</v>
      </c>
      <c r="F22" s="9">
        <f>IF(ISNUMBER(_xll.PIArcVal(E$5,$D22, 0,"TPI","exact time"))=TRUE, _xll.PIArcVal(E$5,$D22, 0,"TPI","exact time"), "")</f>
        <v>0.45700000000000002</v>
      </c>
      <c r="G22" s="29">
        <f>IF(ISNUMBER(_xll.PIArcVal(G$5,$C22, 0,"TPI","exact time"))=TRUE,_xll.PIArcVal(G$5,$C22, 0,"TPI","exact time"),"")</f>
        <v>2.7E-2</v>
      </c>
      <c r="H22" s="9">
        <f>IF(ISNUMBER(_xll.PIArcVal(G$5,$D22, 0,"TPI","exact time"))=TRUE, _xll.PIArcVal(G$5,$D22, 0,"TPI","exact time"), "")</f>
        <v>2.5999999999999999E-2</v>
      </c>
      <c r="I22" s="29">
        <f>IF(ISNUMBER(_xll.PIArcVal(I$5,$C22, 0,"TPI","exact time"))=TRUE,_xll.PIArcVal(I$5,$C22, 0,"TPI","exact time"),"")</f>
        <v>2.5649999999999999</v>
      </c>
      <c r="J22" s="9">
        <f>IF(ISNUMBER(_xll.PIArcVal(I$5,$D22, 0,"TPI","exact time"))=TRUE, _xll.PIArcVal(I$5,$D22, 0,"TPI","exact time"), "")</f>
        <v>2.3540000000000001</v>
      </c>
      <c r="K22" s="29">
        <f>IF(ISNUMBER(_xll.PIArcVal(K$5,$C22, 0,"TPI","exact time"))=TRUE,_xll.PIArcVal(K$5,$C22, 0,"TPI","exact time"),"")</f>
        <v>0.01</v>
      </c>
      <c r="L22" s="9">
        <f>IF(ISNUMBER(_xll.PIArcVal(K$5,$D22, 0,"TPI","exact time"))=TRUE, _xll.PIArcVal(K$5,$D22, 0,"TPI","exact time"), "")</f>
        <v>0.01</v>
      </c>
      <c r="M22" s="29" t="str">
        <f>IF(ISNUMBER(_xll.PIArcVal(M$5,$C22, 0,"TPI","exact time"))=TRUE,_xll.PIArcVal(M$5,$C22, 0,"TPI","exact time"),"")</f>
        <v/>
      </c>
      <c r="N22" s="9" t="str">
        <f>IF(ISNUMBER(_xll.PIArcVal(M$5,$D22, 0,"TPI","exact time"))=TRUE, _xll.PIArcVal(M$5,$D22, 0,"TPI","exact time"), "")</f>
        <v/>
      </c>
      <c r="O22" s="29">
        <f>IF(ISNUMBER(_xll.PIArcVal(O$5,$C22, 0,"TPI","exact time"))=TRUE,_xll.PIArcVal(O$5,$C22, 0,"TPI","exact time"),"")</f>
        <v>2.3E-2</v>
      </c>
      <c r="P22" s="9">
        <f>IF(ISNUMBER(_xll.PIArcVal(O$5,$D22, 0,"TPI","exact time"))=TRUE, _xll.PIArcVal(O$5,$D22, 0,"TPI","exact time"), "")</f>
        <v>3.9E-2</v>
      </c>
      <c r="Q22" s="29">
        <f>IF(ISNUMBER(_xll.PIArcVal(Q$5,$C22, 0,"TPI","exact time"))=TRUE,_xll.PIArcVal(Q$5,$C22, 0,"TPI","exact time"),"")</f>
        <v>3.0000000000000001E-3</v>
      </c>
      <c r="R22" s="9">
        <f>IF(ISNUMBER(_xll.PIArcVal(Q$5,$D22, 0,"TPI","exact time"))=TRUE, _xll.PIArcVal(Q$5,$D22, 0,"TPI","exact time"), "")</f>
        <v>4.0000000000000001E-3</v>
      </c>
      <c r="S22" s="29">
        <f>IF(ISNUMBER(_xll.PIArcVal(S$5,$C22, 0,"TPI","exact time"))=TRUE,_xll.PIArcVal(S$5,$C22, 0,"TPI","exact time"),"")</f>
        <v>2.133</v>
      </c>
      <c r="T22" s="9">
        <f>IF(ISNUMBER(_xll.PIArcVal(S$5,$D22, 0,"TPI","exact time"))=TRUE, _xll.PIArcVal(S$5,$D22, 0,"TPI","exact time"), "")</f>
        <v>2.028</v>
      </c>
      <c r="U22" s="29">
        <f>IF(ISNUMBER(_xll.PIArcVal(U$5,$C22, 0,"TPI","exact time"))=TRUE,_xll.PIArcVal(U$5,$C22, 0,"TPI","exact time"),"")</f>
        <v>23.382999999999999</v>
      </c>
      <c r="V22" s="9">
        <f>IF(ISNUMBER(_xll.PIArcVal(U$5,$D22, 0,"TPI","exact time"))=TRUE, _xll.PIArcVal(U$5,$D22, 0,"TPI","exact time"), "")</f>
        <v>21.791</v>
      </c>
      <c r="W22" s="29">
        <f>IF(ISNUMBER(_xll.PIArcVal(W$5,$C22, 0,"TPI","exact time"))=TRUE,_xll.PIArcVal(W$5,$C22, 0,"TPI","exact time"),"")</f>
        <v>0.89400000000000002</v>
      </c>
      <c r="X22" s="9">
        <f>IF(ISNUMBER(_xll.PIArcVal(W$5,$D22, 0,"TPI","exact time"))=TRUE, _xll.PIArcVal(W$5,$D22, 0,"TPI","exact time"), "")</f>
        <v>1.2869999999999999</v>
      </c>
      <c r="Y22" s="29">
        <f>IF(ISNUMBER(_xll.PIArcVal(Y$5,$C22, 0,"TPI","exact time"))=TRUE,_xll.PIArcVal(Y$5,$C22, 0,"TPI","exact time"),"")</f>
        <v>28.44</v>
      </c>
      <c r="Z22" s="9">
        <f>IF(ISNUMBER(_xll.PIArcVal(Y$5,$D22, 0,"TPI","exact time"))=TRUE, _xll.PIArcVal(Y$5,$D22, 0,"TPI","exact time"), "")</f>
        <v>29.95</v>
      </c>
    </row>
    <row r="23" spans="1:26" ht="13.5" thickBot="1" x14ac:dyDescent="0.25">
      <c r="A23">
        <f t="shared" si="3"/>
        <v>17</v>
      </c>
      <c r="B23" s="28">
        <f t="shared" si="0"/>
        <v>46264</v>
      </c>
      <c r="C23" s="30">
        <f t="shared" si="1"/>
        <v>46264.3125</v>
      </c>
      <c r="D23" s="30">
        <f t="shared" si="2"/>
        <v>46264.8125</v>
      </c>
      <c r="E23" s="29">
        <f>IF(ISNUMBER(_xll.PIArcVal(E$5,$C23, 0,"TPI","exact time"))=TRUE,_xll.PIArcVal(E$5,$C23, 0,"TPI","exact time"),"")</f>
        <v>0.56200000000000006</v>
      </c>
      <c r="F23" s="9">
        <f>IF(ISNUMBER(_xll.PIArcVal(E$5,$D23, 0,"TPI","exact time"))=TRUE, _xll.PIArcVal(E$5,$D23, 0,"TPI","exact time"), "")</f>
        <v>0.46200000000000002</v>
      </c>
      <c r="G23" s="29">
        <f>IF(ISNUMBER(_xll.PIArcVal(G$5,$C23, 0,"TPI","exact time"))=TRUE,_xll.PIArcVal(G$5,$C23, 0,"TPI","exact time"),"")</f>
        <v>3.2000000000000001E-2</v>
      </c>
      <c r="H23" s="9">
        <f>IF(ISNUMBER(_xll.PIArcVal(G$5,$D23, 0,"TPI","exact time"))=TRUE, _xll.PIArcVal(G$5,$D23, 0,"TPI","exact time"), "")</f>
        <v>4.2000000000000003E-2</v>
      </c>
      <c r="I23" s="29">
        <f>IF(ISNUMBER(_xll.PIArcVal(I$5,$C23, 0,"TPI","exact time"))=TRUE,_xll.PIArcVal(I$5,$C23, 0,"TPI","exact time"),"")</f>
        <v>2.2050000000000001</v>
      </c>
      <c r="J23" s="9">
        <f>IF(ISNUMBER(_xll.PIArcVal(I$5,$D23, 0,"TPI","exact time"))=TRUE, _xll.PIArcVal(I$5,$D23, 0,"TPI","exact time"), "")</f>
        <v>1.863</v>
      </c>
      <c r="K23" s="29">
        <f>IF(ISNUMBER(_xll.PIArcVal(K$5,$C23, 0,"TPI","exact time"))=TRUE,_xll.PIArcVal(K$5,$C23, 0,"TPI","exact time"),"")</f>
        <v>1.0999999999999999E-2</v>
      </c>
      <c r="L23" s="9">
        <f>IF(ISNUMBER(_xll.PIArcVal(K$5,$D23, 0,"TPI","exact time"))=TRUE, _xll.PIArcVal(K$5,$D23, 0,"TPI","exact time"), "")</f>
        <v>8.0000000000000002E-3</v>
      </c>
      <c r="M23" s="29" t="str">
        <f>IF(ISNUMBER(_xll.PIArcVal(M$5,$C23, 0,"TPI","exact time"))=TRUE,_xll.PIArcVal(M$5,$C23, 0,"TPI","exact time"),"")</f>
        <v/>
      </c>
      <c r="N23" s="9" t="str">
        <f>IF(ISNUMBER(_xll.PIArcVal(M$5,$D23, 0,"TPI","exact time"))=TRUE, _xll.PIArcVal(M$5,$D23, 0,"TPI","exact time"), "")</f>
        <v/>
      </c>
      <c r="O23" s="29">
        <f>IF(ISNUMBER(_xll.PIArcVal(O$5,$C23, 0,"TPI","exact time"))=TRUE,_xll.PIArcVal(O$5,$C23, 0,"TPI","exact time"),"")</f>
        <v>4.4999999999999998E-2</v>
      </c>
      <c r="P23" s="9">
        <f>IF(ISNUMBER(_xll.PIArcVal(O$5,$D23, 0,"TPI","exact time"))=TRUE, _xll.PIArcVal(O$5,$D23, 0,"TPI","exact time"), "")</f>
        <v>4.9000000000000002E-2</v>
      </c>
      <c r="Q23" s="29">
        <f>IF(ISNUMBER(_xll.PIArcVal(Q$5,$C23, 0,"TPI","exact time"))=TRUE,_xll.PIArcVal(Q$5,$C23, 0,"TPI","exact time"),"")</f>
        <v>4.0000000000000001E-3</v>
      </c>
      <c r="R23" s="9">
        <f>IF(ISNUMBER(_xll.PIArcVal(Q$5,$D23, 0,"TPI","exact time"))=TRUE, _xll.PIArcVal(Q$5,$D23, 0,"TPI","exact time"), "")</f>
        <v>7.0000000000000001E-3</v>
      </c>
      <c r="S23" s="29">
        <f>IF(ISNUMBER(_xll.PIArcVal(S$5,$C23, 0,"TPI","exact time"))=TRUE,_xll.PIArcVal(S$5,$C23, 0,"TPI","exact time"),"")</f>
        <v>1.48</v>
      </c>
      <c r="T23" s="9">
        <f>IF(ISNUMBER(_xll.PIArcVal(S$5,$D23, 0,"TPI","exact time"))=TRUE, _xll.PIArcVal(S$5,$D23, 0,"TPI","exact time"), "")</f>
        <v>1.321</v>
      </c>
      <c r="U23" s="29">
        <f>IF(ISNUMBER(_xll.PIArcVal(U$5,$C23, 0,"TPI","exact time"))=TRUE,_xll.PIArcVal(U$5,$C23, 0,"TPI","exact time"),"")</f>
        <v>24.725999999999999</v>
      </c>
      <c r="V23" s="9">
        <f>IF(ISNUMBER(_xll.PIArcVal(U$5,$D23, 0,"TPI","exact time"))=TRUE, _xll.PIArcVal(U$5,$D23, 0,"TPI","exact time"), "")</f>
        <v>23.681000000000001</v>
      </c>
      <c r="W23" s="29">
        <f>IF(ISNUMBER(_xll.PIArcVal(W$5,$C23, 0,"TPI","exact time"))=TRUE,_xll.PIArcVal(W$5,$C23, 0,"TPI","exact time"),"")</f>
        <v>1.101</v>
      </c>
      <c r="X23" s="9">
        <f>IF(ISNUMBER(_xll.PIArcVal(W$5,$D23, 0,"TPI","exact time"))=TRUE, _xll.PIArcVal(W$5,$D23, 0,"TPI","exact time"), "")</f>
        <v>1.9059999999999999</v>
      </c>
      <c r="Y23" s="29">
        <f>IF(ISNUMBER(_xll.PIArcVal(Y$5,$C23, 0,"TPI","exact time"))=TRUE,_xll.PIArcVal(Y$5,$C23, 0,"TPI","exact time"),"")</f>
        <v>29.75</v>
      </c>
      <c r="Z23" s="9">
        <f>IF(ISNUMBER(_xll.PIArcVal(Y$5,$D23, 0,"TPI","exact time"))=TRUE, _xll.PIArcVal(Y$5,$D23, 0,"TPI","exact time"), "")</f>
        <v>29.28</v>
      </c>
    </row>
    <row r="24" spans="1:26" ht="13.5" thickBot="1" x14ac:dyDescent="0.25">
      <c r="A24">
        <f t="shared" si="3"/>
        <v>18</v>
      </c>
      <c r="B24" s="28">
        <f t="shared" si="0"/>
        <v>46265</v>
      </c>
      <c r="C24" s="30">
        <f t="shared" si="1"/>
        <v>46265.3125</v>
      </c>
      <c r="D24" s="30">
        <f t="shared" si="2"/>
        <v>46265.8125</v>
      </c>
      <c r="E24" s="29">
        <f>IF(ISNUMBER(_xll.PIArcVal(E$5,$C24, 0,"TPI","exact time"))=TRUE,_xll.PIArcVal(E$5,$C24, 0,"TPI","exact time"),"")</f>
        <v>0.55000000000000004</v>
      </c>
      <c r="F24" s="9" t="str">
        <f>IF(ISNUMBER(_xll.PIArcVal(E$5,$D24, 0,"TPI","exact time"))=TRUE, _xll.PIArcVal(E$5,$D24, 0,"TPI","exact time"), "")</f>
        <v/>
      </c>
      <c r="G24" s="29">
        <f>IF(ISNUMBER(_xll.PIArcVal(G$5,$C24, 0,"TPI","exact time"))=TRUE,_xll.PIArcVal(G$5,$C24, 0,"TPI","exact time"),"")</f>
        <v>3.5999999999999997E-2</v>
      </c>
      <c r="H24" s="9" t="str">
        <f>IF(ISNUMBER(_xll.PIArcVal(G$5,$D24, 0,"TPI","exact time"))=TRUE, _xll.PIArcVal(G$5,$D24, 0,"TPI","exact time"), "")</f>
        <v/>
      </c>
      <c r="I24" s="29">
        <f>IF(ISNUMBER(_xll.PIArcVal(I$5,$C24, 0,"TPI","exact time"))=TRUE,_xll.PIArcVal(I$5,$C24, 0,"TPI","exact time"),"")</f>
        <v>2.4929999999999999</v>
      </c>
      <c r="J24" s="9" t="str">
        <f>IF(ISNUMBER(_xll.PIArcVal(I$5,$D24, 0,"TPI","exact time"))=TRUE, _xll.PIArcVal(I$5,$D24, 0,"TPI","exact time"), "")</f>
        <v/>
      </c>
      <c r="K24" s="29">
        <f>IF(ISNUMBER(_xll.PIArcVal(K$5,$C24, 0,"TPI","exact time"))=TRUE,_xll.PIArcVal(K$5,$C24, 0,"TPI","exact time"),"")</f>
        <v>1.0999999999999999E-2</v>
      </c>
      <c r="L24" s="9" t="str">
        <f>IF(ISNUMBER(_xll.PIArcVal(K$5,$D24, 0,"TPI","exact time"))=TRUE, _xll.PIArcVal(K$5,$D24, 0,"TPI","exact time"), "")</f>
        <v/>
      </c>
      <c r="M24" s="29" t="str">
        <f>IF(ISNUMBER(_xll.PIArcVal(M$5,$C24, 0,"TPI","exact time"))=TRUE,_xll.PIArcVal(M$5,$C24, 0,"TPI","exact time"),"")</f>
        <v/>
      </c>
      <c r="N24" s="9" t="str">
        <f>IF(ISNUMBER(_xll.PIArcVal(M$5,$D24, 0,"TPI","exact time"))=TRUE, _xll.PIArcVal(M$5,$D24, 0,"TPI","exact time"), "")</f>
        <v/>
      </c>
      <c r="O24" s="29">
        <f>IF(ISNUMBER(_xll.PIArcVal(O$5,$C24, 0,"TPI","exact time"))=TRUE,_xll.PIArcVal(O$5,$C24, 0,"TPI","exact time"),"")</f>
        <v>0.04</v>
      </c>
      <c r="P24" s="9" t="str">
        <f>IF(ISNUMBER(_xll.PIArcVal(O$5,$D24, 0,"TPI","exact time"))=TRUE, _xll.PIArcVal(O$5,$D24, 0,"TPI","exact time"), "")</f>
        <v/>
      </c>
      <c r="Q24" s="29">
        <f>IF(ISNUMBER(_xll.PIArcVal(Q$5,$C24, 0,"TPI","exact time"))=TRUE,_xll.PIArcVal(Q$5,$C24, 0,"TPI","exact time"),"")</f>
        <v>6.0000000000000001E-3</v>
      </c>
      <c r="R24" s="9" t="str">
        <f>IF(ISNUMBER(_xll.PIArcVal(Q$5,$D24, 0,"TPI","exact time"))=TRUE, _xll.PIArcVal(Q$5,$D24, 0,"TPI","exact time"), "")</f>
        <v/>
      </c>
      <c r="S24" s="29">
        <f>IF(ISNUMBER(_xll.PIArcVal(S$5,$C24, 0,"TPI","exact time"))=TRUE,_xll.PIArcVal(S$5,$C24, 0,"TPI","exact time"),"")</f>
        <v>1.99</v>
      </c>
      <c r="T24" s="9" t="str">
        <f>IF(ISNUMBER(_xll.PIArcVal(S$5,$D24, 0,"TPI","exact time"))=TRUE, _xll.PIArcVal(S$5,$D24, 0,"TPI","exact time"), "")</f>
        <v/>
      </c>
      <c r="U24" s="29">
        <f>IF(ISNUMBER(_xll.PIArcVal(U$5,$C24, 0,"TPI","exact time"))=TRUE,_xll.PIArcVal(U$5,$C24, 0,"TPI","exact time"),"")</f>
        <v>23.864000000000001</v>
      </c>
      <c r="V24" s="9" t="str">
        <f>IF(ISNUMBER(_xll.PIArcVal(U$5,$D24, 0,"TPI","exact time"))=TRUE, _xll.PIArcVal(U$5,$D24, 0,"TPI","exact time"), "")</f>
        <v/>
      </c>
      <c r="W24" s="29">
        <f>IF(ISNUMBER(_xll.PIArcVal(W$5,$C24, 0,"TPI","exact time"))=TRUE,_xll.PIArcVal(W$5,$C24, 0,"TPI","exact time"),"")</f>
        <v>1.8069999999999999</v>
      </c>
      <c r="X24" s="9" t="str">
        <f>IF(ISNUMBER(_xll.PIArcVal(W$5,$D24, 0,"TPI","exact time"))=TRUE, _xll.PIArcVal(W$5,$D24, 0,"TPI","exact time"), "")</f>
        <v/>
      </c>
      <c r="Y24" s="29">
        <f>IF(ISNUMBER(_xll.PIArcVal(Y$5,$C24, 0,"TPI","exact time"))=TRUE,_xll.PIArcVal(Y$5,$C24, 0,"TPI","exact time"),"")</f>
        <v>27.82</v>
      </c>
      <c r="Z24" s="9" t="str">
        <f>IF(ISNUMBER(_xll.PIArcVal(Y$5,$D24, 0,"TPI","exact time"))=TRUE, _xll.PIArcVal(Y$5,$D24, 0,"TPI","exact time"), "")</f>
        <v/>
      </c>
    </row>
    <row r="25" spans="1:26" ht="13.5" thickBot="1" x14ac:dyDescent="0.25">
      <c r="A25">
        <f t="shared" si="3"/>
        <v>19</v>
      </c>
      <c r="B25" s="28">
        <f t="shared" si="0"/>
        <v>46266</v>
      </c>
      <c r="C25" s="30">
        <f t="shared" si="1"/>
        <v>46266.3125</v>
      </c>
      <c r="D25" s="30">
        <f t="shared" si="2"/>
        <v>46266.8125</v>
      </c>
      <c r="E25" s="29">
        <f>IF(ISNUMBER(_xll.PIArcVal(E$5,$C25, 0,"TPI","exact time"))=TRUE,_xll.PIArcVal(E$5,$C25, 0,"TPI","exact time"),"")</f>
        <v>0.441</v>
      </c>
      <c r="F25" s="9">
        <f>IF(ISNUMBER(_xll.PIArcVal(E$5,$D25, 0,"TPI","exact time"))=TRUE, _xll.PIArcVal(E$5,$D25, 0,"TPI","exact time"), "")</f>
        <v>0.48299999999999998</v>
      </c>
      <c r="G25" s="29">
        <f>IF(ISNUMBER(_xll.PIArcVal(G$5,$C25, 0,"TPI","exact time"))=TRUE,_xll.PIArcVal(G$5,$C25, 0,"TPI","exact time"),"")</f>
        <v>0.05</v>
      </c>
      <c r="H25" s="9">
        <f>IF(ISNUMBER(_xll.PIArcVal(G$5,$D25, 0,"TPI","exact time"))=TRUE, _xll.PIArcVal(G$5,$D25, 0,"TPI","exact time"), "")</f>
        <v>5.7000000000000002E-2</v>
      </c>
      <c r="I25" s="29">
        <f>IF(ISNUMBER(_xll.PIArcVal(I$5,$C25, 0,"TPI","exact time"))=TRUE,_xll.PIArcVal(I$5,$C25, 0,"TPI","exact time"),"")</f>
        <v>2.6320000000000001</v>
      </c>
      <c r="J25" s="9">
        <f>IF(ISNUMBER(_xll.PIArcVal(I$5,$D25, 0,"TPI","exact time"))=TRUE, _xll.PIArcVal(I$5,$D25, 0,"TPI","exact time"), "")</f>
        <v>3.0009999999999999</v>
      </c>
      <c r="K25" s="29">
        <f>IF(ISNUMBER(_xll.PIArcVal(K$5,$C25, 0,"TPI","exact time"))=TRUE,_xll.PIArcVal(K$5,$C25, 0,"TPI","exact time"),"")</f>
        <v>5.0000000000000001E-3</v>
      </c>
      <c r="L25" s="9">
        <f>IF(ISNUMBER(_xll.PIArcVal(K$5,$D25, 0,"TPI","exact time"))=TRUE, _xll.PIArcVal(K$5,$D25, 0,"TPI","exact time"), "")</f>
        <v>6.0000000000000001E-3</v>
      </c>
      <c r="M25" s="29" t="str">
        <f>IF(ISNUMBER(_xll.PIArcVal(M$5,$C25, 0,"TPI","exact time"))=TRUE,_xll.PIArcVal(M$5,$C25, 0,"TPI","exact time"),"")</f>
        <v/>
      </c>
      <c r="N25" s="9" t="str">
        <f>IF(ISNUMBER(_xll.PIArcVal(M$5,$D25, 0,"TPI","exact time"))=TRUE, _xll.PIArcVal(M$5,$D25, 0,"TPI","exact time"), "")</f>
        <v/>
      </c>
      <c r="O25" s="29">
        <f>IF(ISNUMBER(_xll.PIArcVal(O$5,$C25, 0,"TPI","exact time"))=TRUE,_xll.PIArcVal(O$5,$C25, 0,"TPI","exact time"),"")</f>
        <v>5.5E-2</v>
      </c>
      <c r="P25" s="9">
        <f>IF(ISNUMBER(_xll.PIArcVal(O$5,$D25, 0,"TPI","exact time"))=TRUE, _xll.PIArcVal(O$5,$D25, 0,"TPI","exact time"), "")</f>
        <v>5.8999999999999997E-2</v>
      </c>
      <c r="Q25" s="29">
        <f>IF(ISNUMBER(_xll.PIArcVal(Q$5,$C25, 0,"TPI","exact time"))=TRUE,_xll.PIArcVal(Q$5,$C25, 0,"TPI","exact time"),"")</f>
        <v>8.0000000000000002E-3</v>
      </c>
      <c r="R25" s="9">
        <f>IF(ISNUMBER(_xll.PIArcVal(Q$5,$D25, 0,"TPI","exact time"))=TRUE, _xll.PIArcVal(Q$5,$D25, 0,"TPI","exact time"), "")</f>
        <v>1.2E-2</v>
      </c>
      <c r="S25" s="29">
        <f>IF(ISNUMBER(_xll.PIArcVal(S$5,$C25, 0,"TPI","exact time"))=TRUE,_xll.PIArcVal(S$5,$C25, 0,"TPI","exact time"),"")</f>
        <v>2.5619999999999998</v>
      </c>
      <c r="T25" s="9">
        <f>IF(ISNUMBER(_xll.PIArcVal(S$5,$D25, 0,"TPI","exact time"))=TRUE, _xll.PIArcVal(S$5,$D25, 0,"TPI","exact time"), "")</f>
        <v>2.6139999999999999</v>
      </c>
      <c r="U25" s="29">
        <f>IF(ISNUMBER(_xll.PIArcVal(U$5,$C25, 0,"TPI","exact time"))=TRUE,_xll.PIArcVal(U$5,$C25, 0,"TPI","exact time"),"")</f>
        <v>23.084</v>
      </c>
      <c r="V25" s="9">
        <f>IF(ISNUMBER(_xll.PIArcVal(U$5,$D25, 0,"TPI","exact time"))=TRUE, _xll.PIArcVal(U$5,$D25, 0,"TPI","exact time"), "")</f>
        <v>24.762</v>
      </c>
      <c r="W25" s="29">
        <f>IF(ISNUMBER(_xll.PIArcVal(W$5,$C25, 0,"TPI","exact time"))=TRUE,_xll.PIArcVal(W$5,$C25, 0,"TPI","exact time"),"")</f>
        <v>1.97</v>
      </c>
      <c r="X25" s="9">
        <f>IF(ISNUMBER(_xll.PIArcVal(W$5,$D25, 0,"TPI","exact time"))=TRUE, _xll.PIArcVal(W$5,$D25, 0,"TPI","exact time"), "")</f>
        <v>2.9470000000000001</v>
      </c>
      <c r="Y25" s="29">
        <f>IF(ISNUMBER(_xll.PIArcVal(Y$5,$C25, 0,"TPI","exact time"))=TRUE,_xll.PIArcVal(Y$5,$C25, 0,"TPI","exact time"),"")</f>
        <v>26.2</v>
      </c>
      <c r="Z25" s="9">
        <f>IF(ISNUMBER(_xll.PIArcVal(Y$5,$D25, 0,"TPI","exact time"))=TRUE, _xll.PIArcVal(Y$5,$D25, 0,"TPI","exact time"), "")</f>
        <v>28.28</v>
      </c>
    </row>
    <row r="26" spans="1:26" ht="13.5" thickBot="1" x14ac:dyDescent="0.25">
      <c r="A26">
        <f t="shared" si="3"/>
        <v>20</v>
      </c>
      <c r="B26" s="28">
        <f t="shared" si="0"/>
        <v>46267</v>
      </c>
      <c r="C26" s="30">
        <f t="shared" si="1"/>
        <v>46267.3125</v>
      </c>
      <c r="D26" s="30">
        <f t="shared" si="2"/>
        <v>46267.8125</v>
      </c>
      <c r="E26" s="29">
        <f>IF(ISNUMBER(_xll.PIArcVal(E$5,$C26, 0,"TPI","exact time"))=TRUE,_xll.PIArcVal(E$5,$C26, 0,"TPI","exact time"),"")</f>
        <v>0.47599999999999998</v>
      </c>
      <c r="F26" s="9">
        <f>IF(ISNUMBER(_xll.PIArcVal(E$5,$D26, 0,"TPI","exact time"))=TRUE, _xll.PIArcVal(E$5,$D26, 0,"TPI","exact time"), "")</f>
        <v>0.46500000000000002</v>
      </c>
      <c r="G26" s="29">
        <f>IF(ISNUMBER(_xll.PIArcVal(G$5,$C26, 0,"TPI","exact time"))=TRUE,_xll.PIArcVal(G$5,$C26, 0,"TPI","exact time"),"")</f>
        <v>4.3999999999999997E-2</v>
      </c>
      <c r="H26" s="9">
        <f>IF(ISNUMBER(_xll.PIArcVal(G$5,$D26, 0,"TPI","exact time"))=TRUE, _xll.PIArcVal(G$5,$D26, 0,"TPI","exact time"), "")</f>
        <v>3.6999999999999998E-2</v>
      </c>
      <c r="I26" s="29">
        <f>IF(ISNUMBER(_xll.PIArcVal(I$5,$C26, 0,"TPI","exact time"))=TRUE,_xll.PIArcVal(I$5,$C26, 0,"TPI","exact time"),"")</f>
        <v>2.4169999999999998</v>
      </c>
      <c r="J26" s="9">
        <f>IF(ISNUMBER(_xll.PIArcVal(I$5,$D26, 0,"TPI","exact time"))=TRUE, _xll.PIArcVal(I$5,$D26, 0,"TPI","exact time"), "")</f>
        <v>3.1869999999999998</v>
      </c>
      <c r="K26" s="29">
        <f>IF(ISNUMBER(_xll.PIArcVal(K$5,$C26, 0,"TPI","exact time"))=TRUE,_xll.PIArcVal(K$5,$C26, 0,"TPI","exact time"),"")</f>
        <v>5.0000000000000001E-3</v>
      </c>
      <c r="L26" s="9">
        <f>IF(ISNUMBER(_xll.PIArcVal(K$5,$D26, 0,"TPI","exact time"))=TRUE, _xll.PIArcVal(K$5,$D26, 0,"TPI","exact time"), "")</f>
        <v>7.0000000000000001E-3</v>
      </c>
      <c r="M26" s="29" t="str">
        <f>IF(ISNUMBER(_xll.PIArcVal(M$5,$C26, 0,"TPI","exact time"))=TRUE,_xll.PIArcVal(M$5,$C26, 0,"TPI","exact time"),"")</f>
        <v/>
      </c>
      <c r="N26" s="9" t="str">
        <f>IF(ISNUMBER(_xll.PIArcVal(M$5,$D26, 0,"TPI","exact time"))=TRUE, _xll.PIArcVal(M$5,$D26, 0,"TPI","exact time"), "")</f>
        <v/>
      </c>
      <c r="O26" s="29">
        <f>IF(ISNUMBER(_xll.PIArcVal(O$5,$C26, 0,"TPI","exact time"))=TRUE,_xll.PIArcVal(O$5,$C26, 0,"TPI","exact time"),"")</f>
        <v>5.0999999999999997E-2</v>
      </c>
      <c r="P26" s="9">
        <f>IF(ISNUMBER(_xll.PIArcVal(O$5,$D26, 0,"TPI","exact time"))=TRUE, _xll.PIArcVal(O$5,$D26, 0,"TPI","exact time"), "")</f>
        <v>3.1E-2</v>
      </c>
      <c r="Q26" s="29">
        <f>IF(ISNUMBER(_xll.PIArcVal(Q$5,$C26, 0,"TPI","exact time"))=TRUE,_xll.PIArcVal(Q$5,$C26, 0,"TPI","exact time"),"")</f>
        <v>8.0000000000000002E-3</v>
      </c>
      <c r="R26" s="9">
        <f>IF(ISNUMBER(_xll.PIArcVal(Q$5,$D26, 0,"TPI","exact time"))=TRUE, _xll.PIArcVal(Q$5,$D26, 0,"TPI","exact time"), "")</f>
        <v>5.0000000000000001E-3</v>
      </c>
      <c r="S26" s="29">
        <f>IF(ISNUMBER(_xll.PIArcVal(S$5,$C26, 0,"TPI","exact time"))=TRUE,_xll.PIArcVal(S$5,$C26, 0,"TPI","exact time"),"")</f>
        <v>2.17</v>
      </c>
      <c r="T26" s="9">
        <f>IF(ISNUMBER(_xll.PIArcVal(S$5,$D26, 0,"TPI","exact time"))=TRUE, _xll.PIArcVal(S$5,$D26, 0,"TPI","exact time"), "")</f>
        <v>2.1040000000000001</v>
      </c>
      <c r="U26" s="29">
        <f>IF(ISNUMBER(_xll.PIArcVal(U$5,$C26, 0,"TPI","exact time"))=TRUE,_xll.PIArcVal(U$5,$C26, 0,"TPI","exact time"),"")</f>
        <v>24.184999999999999</v>
      </c>
      <c r="V26" s="9">
        <f>IF(ISNUMBER(_xll.PIArcVal(U$5,$D26, 0,"TPI","exact time"))=TRUE, _xll.PIArcVal(U$5,$D26, 0,"TPI","exact time"), "")</f>
        <v>25.35</v>
      </c>
      <c r="W26" s="29">
        <f>IF(ISNUMBER(_xll.PIArcVal(W$5,$C26, 0,"TPI","exact time"))=TRUE,_xll.PIArcVal(W$5,$C26, 0,"TPI","exact time"),"")</f>
        <v>2.61</v>
      </c>
      <c r="X26" s="9">
        <f>IF(ISNUMBER(_xll.PIArcVal(W$5,$D26, 0,"TPI","exact time"))=TRUE, _xll.PIArcVal(W$5,$D26, 0,"TPI","exact time"), "")</f>
        <v>1.585</v>
      </c>
      <c r="Y26" s="29">
        <f>IF(ISNUMBER(_xll.PIArcVal(Y$5,$C26, 0,"TPI","exact time"))=TRUE,_xll.PIArcVal(Y$5,$C26, 0,"TPI","exact time"),"")</f>
        <v>27.42</v>
      </c>
      <c r="Z26" s="9">
        <f>IF(ISNUMBER(_xll.PIArcVal(Y$5,$D26, 0,"TPI","exact time"))=TRUE, _xll.PIArcVal(Y$5,$D26, 0,"TPI","exact time"), "")</f>
        <v>31.25</v>
      </c>
    </row>
    <row r="27" spans="1:26" ht="13.5" thickBot="1" x14ac:dyDescent="0.25">
      <c r="A27">
        <f t="shared" si="3"/>
        <v>21</v>
      </c>
      <c r="B27" s="28">
        <f t="shared" si="0"/>
        <v>46268</v>
      </c>
      <c r="C27" s="30">
        <f t="shared" si="1"/>
        <v>46268.3125</v>
      </c>
      <c r="D27" s="30">
        <f t="shared" si="2"/>
        <v>46268.8125</v>
      </c>
      <c r="E27" s="29">
        <f>IF(ISNUMBER(_xll.PIArcVal(E$5,$C27, 0,"TPI","exact time"))=TRUE,_xll.PIArcVal(E$5,$C27, 0,"TPI","exact time"),"")</f>
        <v>0.44400000000000001</v>
      </c>
      <c r="F27" s="9">
        <f>IF(ISNUMBER(_xll.PIArcVal(E$5,$D27, 0,"TPI","exact time"))=TRUE, _xll.PIArcVal(E$5,$D27, 0,"TPI","exact time"), "")</f>
        <v>0.48099999999999998</v>
      </c>
      <c r="G27" s="29">
        <f>IF(ISNUMBER(_xll.PIArcVal(G$5,$C27, 0,"TPI","exact time"))=TRUE,_xll.PIArcVal(G$5,$C27, 0,"TPI","exact time"),"")</f>
        <v>3.5999999999999997E-2</v>
      </c>
      <c r="H27" s="9">
        <f>IF(ISNUMBER(_xll.PIArcVal(G$5,$D27, 0,"TPI","exact time"))=TRUE, _xll.PIArcVal(G$5,$D27, 0,"TPI","exact time"), "")</f>
        <v>3.5000000000000003E-2</v>
      </c>
      <c r="I27" s="29">
        <f>IF(ISNUMBER(_xll.PIArcVal(I$5,$C27, 0,"TPI","exact time"))=TRUE,_xll.PIArcVal(I$5,$C27, 0,"TPI","exact time"),"")</f>
        <v>2.9660000000000002</v>
      </c>
      <c r="J27" s="9">
        <f>IF(ISNUMBER(_xll.PIArcVal(I$5,$D27, 0,"TPI","exact time"))=TRUE, _xll.PIArcVal(I$5,$D27, 0,"TPI","exact time"), "")</f>
        <v>3.2549999999999999</v>
      </c>
      <c r="K27" s="29">
        <f>IF(ISNUMBER(_xll.PIArcVal(K$5,$C27, 0,"TPI","exact time"))=TRUE,_xll.PIArcVal(K$5,$C27, 0,"TPI","exact time"),"")</f>
        <v>7.0000000000000001E-3</v>
      </c>
      <c r="L27" s="9">
        <f>IF(ISNUMBER(_xll.PIArcVal(K$5,$D27, 0,"TPI","exact time"))=TRUE, _xll.PIArcVal(K$5,$D27, 0,"TPI","exact time"), "")</f>
        <v>8.0000000000000002E-3</v>
      </c>
      <c r="M27" s="29" t="str">
        <f>IF(ISNUMBER(_xll.PIArcVal(M$5,$C27, 0,"TPI","exact time"))=TRUE,_xll.PIArcVal(M$5,$C27, 0,"TPI","exact time"),"")</f>
        <v/>
      </c>
      <c r="N27" s="9" t="str">
        <f>IF(ISNUMBER(_xll.PIArcVal(M$5,$D27, 0,"TPI","exact time"))=TRUE, _xll.PIArcVal(M$5,$D27, 0,"TPI","exact time"), "")</f>
        <v/>
      </c>
      <c r="O27" s="29">
        <f>IF(ISNUMBER(_xll.PIArcVal(O$5,$C27, 0,"TPI","exact time"))=TRUE,_xll.PIArcVal(O$5,$C27, 0,"TPI","exact time"),"")</f>
        <v>0.05</v>
      </c>
      <c r="P27" s="9">
        <f>IF(ISNUMBER(_xll.PIArcVal(O$5,$D27, 0,"TPI","exact time"))=TRUE, _xll.PIArcVal(O$5,$D27, 0,"TPI","exact time"), "")</f>
        <v>5.5E-2</v>
      </c>
      <c r="Q27" s="29">
        <f>IF(ISNUMBER(_xll.PIArcVal(Q$5,$C27, 0,"TPI","exact time"))=TRUE,_xll.PIArcVal(Q$5,$C27, 0,"TPI","exact time"),"")</f>
        <v>6.0000000000000001E-3</v>
      </c>
      <c r="R27" s="9">
        <f>IF(ISNUMBER(_xll.PIArcVal(Q$5,$D27, 0,"TPI","exact time"))=TRUE, _xll.PIArcVal(Q$5,$D27, 0,"TPI","exact time"), "")</f>
        <v>7.0000000000000001E-3</v>
      </c>
      <c r="S27" s="29">
        <f>IF(ISNUMBER(_xll.PIArcVal(S$5,$C27, 0,"TPI","exact time"))=TRUE,_xll.PIArcVal(S$5,$C27, 0,"TPI","exact time"),"")</f>
        <v>2.6819999999999999</v>
      </c>
      <c r="T27" s="9">
        <f>IF(ISNUMBER(_xll.PIArcVal(S$5,$D27, 0,"TPI","exact time"))=TRUE, _xll.PIArcVal(S$5,$D27, 0,"TPI","exact time"), "")</f>
        <v>2.6440000000000001</v>
      </c>
      <c r="U27" s="29">
        <f>IF(ISNUMBER(_xll.PIArcVal(U$5,$C27, 0,"TPI","exact time"))=TRUE,_xll.PIArcVal(U$5,$C27, 0,"TPI","exact time"),"")</f>
        <v>25.373000000000001</v>
      </c>
      <c r="V27" s="9">
        <f>IF(ISNUMBER(_xll.PIArcVal(U$5,$D27, 0,"TPI","exact time"))=TRUE, _xll.PIArcVal(U$5,$D27, 0,"TPI","exact time"), "")</f>
        <v>19.899999999999999</v>
      </c>
      <c r="W27" s="29">
        <f>IF(ISNUMBER(_xll.PIArcVal(W$5,$C27, 0,"TPI","exact time"))=TRUE,_xll.PIArcVal(W$5,$C27, 0,"TPI","exact time"),"")</f>
        <v>1.788</v>
      </c>
      <c r="X27" s="9">
        <f>IF(ISNUMBER(_xll.PIArcVal(W$5,$D27, 0,"TPI","exact time"))=TRUE, _xll.PIArcVal(W$5,$D27, 0,"TPI","exact time"), "")</f>
        <v>1.83</v>
      </c>
      <c r="Y27" s="29">
        <f>IF(ISNUMBER(_xll.PIArcVal(Y$5,$C27, 0,"TPI","exact time"))=TRUE,_xll.PIArcVal(Y$5,$C27, 0,"TPI","exact time"),"")</f>
        <v>29.95</v>
      </c>
      <c r="Z27" s="9">
        <f>IF(ISNUMBER(_xll.PIArcVal(Y$5,$D27, 0,"TPI","exact time"))=TRUE, _xll.PIArcVal(Y$5,$D27, 0,"TPI","exact time"), "")</f>
        <v>29.25</v>
      </c>
    </row>
    <row r="28" spans="1:26" ht="13.5" thickBot="1" x14ac:dyDescent="0.25">
      <c r="A28">
        <f t="shared" si="3"/>
        <v>22</v>
      </c>
      <c r="B28" s="28">
        <f t="shared" si="0"/>
        <v>46269</v>
      </c>
      <c r="C28" s="30">
        <f t="shared" si="1"/>
        <v>46269.3125</v>
      </c>
      <c r="D28" s="30">
        <f t="shared" si="2"/>
        <v>46269.8125</v>
      </c>
      <c r="E28" s="29">
        <f>IF(ISNUMBER(_xll.PIArcVal(E$5,$C28, 0,"TPI","exact time"))=TRUE,_xll.PIArcVal(E$5,$C28, 0,"TPI","exact time"),"")</f>
        <v>0.44600000000000001</v>
      </c>
      <c r="F28" s="9">
        <f>IF(ISNUMBER(_xll.PIArcVal(E$5,$D28, 0,"TPI","exact time"))=TRUE, _xll.PIArcVal(E$5,$D28, 0,"TPI","exact time"), "")</f>
        <v>0.40699999999999997</v>
      </c>
      <c r="G28" s="29">
        <f>IF(ISNUMBER(_xll.PIArcVal(G$5,$C28, 0,"TPI","exact time"))=TRUE,_xll.PIArcVal(G$5,$C28, 0,"TPI","exact time"),"")</f>
        <v>2.7E-2</v>
      </c>
      <c r="H28" s="9">
        <f>IF(ISNUMBER(_xll.PIArcVal(G$5,$D28, 0,"TPI","exact time"))=TRUE, _xll.PIArcVal(G$5,$D28, 0,"TPI","exact time"), "")</f>
        <v>3.5999999999999997E-2</v>
      </c>
      <c r="I28" s="29">
        <f>IF(ISNUMBER(_xll.PIArcVal(I$5,$C28, 0,"TPI","exact time"))=TRUE,_xll.PIArcVal(I$5,$C28, 0,"TPI","exact time"),"")</f>
        <v>3.7250000000000001</v>
      </c>
      <c r="J28" s="9">
        <f>IF(ISNUMBER(_xll.PIArcVal(I$5,$D28, 0,"TPI","exact time"))=TRUE, _xll.PIArcVal(I$5,$D28, 0,"TPI","exact time"), "")</f>
        <v>3.2170000000000001</v>
      </c>
      <c r="K28" s="29">
        <f>IF(ISNUMBER(_xll.PIArcVal(K$5,$C28, 0,"TPI","exact time"))=TRUE,_xll.PIArcVal(K$5,$C28, 0,"TPI","exact time"),"")</f>
        <v>7.0000000000000001E-3</v>
      </c>
      <c r="L28" s="9">
        <f>IF(ISNUMBER(_xll.PIArcVal(K$5,$D28, 0,"TPI","exact time"))=TRUE, _xll.PIArcVal(K$5,$D28, 0,"TPI","exact time"), "")</f>
        <v>8.0000000000000002E-3</v>
      </c>
      <c r="M28" s="29" t="str">
        <f>IF(ISNUMBER(_xll.PIArcVal(M$5,$C28, 0,"TPI","exact time"))=TRUE,_xll.PIArcVal(M$5,$C28, 0,"TPI","exact time"),"")</f>
        <v/>
      </c>
      <c r="N28" s="9" t="str">
        <f>IF(ISNUMBER(_xll.PIArcVal(M$5,$D28, 0,"TPI","exact time"))=TRUE, _xll.PIArcVal(M$5,$D28, 0,"TPI","exact time"), "")</f>
        <v/>
      </c>
      <c r="O28" s="29">
        <f>IF(ISNUMBER(_xll.PIArcVal(O$5,$C28, 0,"TPI","exact time"))=TRUE,_xll.PIArcVal(O$5,$C28, 0,"TPI","exact time"),"")</f>
        <v>4.5999999999999999E-2</v>
      </c>
      <c r="P28" s="9">
        <f>IF(ISNUMBER(_xll.PIArcVal(O$5,$D28, 0,"TPI","exact time"))=TRUE, _xll.PIArcVal(O$5,$D28, 0,"TPI","exact time"), "")</f>
        <v>3.9E-2</v>
      </c>
      <c r="Q28" s="29">
        <f>IF(ISNUMBER(_xll.PIArcVal(Q$5,$C28, 0,"TPI","exact time"))=TRUE,_xll.PIArcVal(Q$5,$C28, 0,"TPI","exact time"),"")</f>
        <v>5.0000000000000001E-3</v>
      </c>
      <c r="R28" s="9">
        <f>IF(ISNUMBER(_xll.PIArcVal(Q$5,$D28, 0,"TPI","exact time"))=TRUE, _xll.PIArcVal(Q$5,$D28, 0,"TPI","exact time"), "")</f>
        <v>7.0000000000000001E-3</v>
      </c>
      <c r="S28" s="29">
        <f>IF(ISNUMBER(_xll.PIArcVal(S$5,$C28, 0,"TPI","exact time"))=TRUE,_xll.PIArcVal(S$5,$C28, 0,"TPI","exact time"),"")</f>
        <v>3.1059999999999999</v>
      </c>
      <c r="T28" s="9">
        <f>IF(ISNUMBER(_xll.PIArcVal(S$5,$D28, 0,"TPI","exact time"))=TRUE, _xll.PIArcVal(S$5,$D28, 0,"TPI","exact time"), "")</f>
        <v>2.758</v>
      </c>
      <c r="U28" s="29">
        <f>IF(ISNUMBER(_xll.PIArcVal(U$5,$C28, 0,"TPI","exact time"))=TRUE,_xll.PIArcVal(U$5,$C28, 0,"TPI","exact time"),"")</f>
        <v>20.795999999999999</v>
      </c>
      <c r="V28" s="9">
        <f>IF(ISNUMBER(_xll.PIArcVal(U$5,$D28, 0,"TPI","exact time"))=TRUE, _xll.PIArcVal(U$5,$D28, 0,"TPI","exact time"), "")</f>
        <v>20.297999999999998</v>
      </c>
      <c r="W28" s="29">
        <f>IF(ISNUMBER(_xll.PIArcVal(W$5,$C28, 0,"TPI","exact time"))=TRUE,_xll.PIArcVal(W$5,$C28, 0,"TPI","exact time"),"")</f>
        <v>1.59</v>
      </c>
      <c r="X28" s="9">
        <f>IF(ISNUMBER(_xll.PIArcVal(W$5,$D28, 0,"TPI","exact time"))=TRUE, _xll.PIArcVal(W$5,$D28, 0,"TPI","exact time"), "")</f>
        <v>1.8759999999999999</v>
      </c>
      <c r="Y28" s="29">
        <f>IF(ISNUMBER(_xll.PIArcVal(Y$5,$C28, 0,"TPI","exact time"))=TRUE,_xll.PIArcVal(Y$5,$C28, 0,"TPI","exact time"),"")</f>
        <v>29.53</v>
      </c>
      <c r="Z28" s="9">
        <f>IF(ISNUMBER(_xll.PIArcVal(Y$5,$D28, 0,"TPI","exact time"))=TRUE, _xll.PIArcVal(Y$5,$D28, 0,"TPI","exact time"), "")</f>
        <v>29.3</v>
      </c>
    </row>
    <row r="29" spans="1:26" ht="13.5" thickBot="1" x14ac:dyDescent="0.25">
      <c r="A29">
        <f t="shared" si="3"/>
        <v>23</v>
      </c>
      <c r="B29" s="28">
        <f t="shared" si="0"/>
        <v>46270</v>
      </c>
      <c r="C29" s="30">
        <f t="shared" si="1"/>
        <v>46270.3125</v>
      </c>
      <c r="D29" s="30">
        <f t="shared" si="2"/>
        <v>46270.8125</v>
      </c>
      <c r="E29" s="29">
        <f>IF(ISNUMBER(_xll.PIArcVal(E$5,$C29, 0,"TPI","exact time"))=TRUE,_xll.PIArcVal(E$5,$C29, 0,"TPI","exact time"),"")</f>
        <v>0.40600000000000003</v>
      </c>
      <c r="F29" s="9">
        <f>IF(ISNUMBER(_xll.PIArcVal(E$5,$D29, 0,"TPI","exact time"))=TRUE, _xll.PIArcVal(E$5,$D29, 0,"TPI","exact time"), "")</f>
        <v>0.441</v>
      </c>
      <c r="G29" s="29">
        <f>IF(ISNUMBER(_xll.PIArcVal(G$5,$C29, 0,"TPI","exact time"))=TRUE,_xll.PIArcVal(G$5,$C29, 0,"TPI","exact time"),"")</f>
        <v>3.3000000000000002E-2</v>
      </c>
      <c r="H29" s="9">
        <f>IF(ISNUMBER(_xll.PIArcVal(G$5,$D29, 0,"TPI","exact time"))=TRUE, _xll.PIArcVal(G$5,$D29, 0,"TPI","exact time"), "")</f>
        <v>4.2000000000000003E-2</v>
      </c>
      <c r="I29" s="29">
        <f>IF(ISNUMBER(_xll.PIArcVal(I$5,$C29, 0,"TPI","exact time"))=TRUE,_xll.PIArcVal(I$5,$C29, 0,"TPI","exact time"),"")</f>
        <v>3.31</v>
      </c>
      <c r="J29" s="9">
        <f>IF(ISNUMBER(_xll.PIArcVal(I$5,$D29, 0,"TPI","exact time"))=TRUE, _xll.PIArcVal(I$5,$D29, 0,"TPI","exact time"), "")</f>
        <v>2.99</v>
      </c>
      <c r="K29" s="29">
        <f>IF(ISNUMBER(_xll.PIArcVal(K$5,$C29, 0,"TPI","exact time"))=TRUE,_xll.PIArcVal(K$5,$C29, 0,"TPI","exact time"),"")</f>
        <v>8.9999999999999993E-3</v>
      </c>
      <c r="L29" s="9">
        <f>IF(ISNUMBER(_xll.PIArcVal(K$5,$D29, 0,"TPI","exact time"))=TRUE, _xll.PIArcVal(K$5,$D29, 0,"TPI","exact time"), "")</f>
        <v>8.9999999999999993E-3</v>
      </c>
      <c r="M29" s="29" t="str">
        <f>IF(ISNUMBER(_xll.PIArcVal(M$5,$C29, 0,"TPI","exact time"))=TRUE,_xll.PIArcVal(M$5,$C29, 0,"TPI","exact time"),"")</f>
        <v/>
      </c>
      <c r="N29" s="9" t="str">
        <f>IF(ISNUMBER(_xll.PIArcVal(M$5,$D29, 0,"TPI","exact time"))=TRUE, _xll.PIArcVal(M$5,$D29, 0,"TPI","exact time"), "")</f>
        <v/>
      </c>
      <c r="O29" s="29">
        <f>IF(ISNUMBER(_xll.PIArcVal(O$5,$C29, 0,"TPI","exact time"))=TRUE,_xll.PIArcVal(O$5,$C29, 0,"TPI","exact time"),"")</f>
        <v>3.6999999999999998E-2</v>
      </c>
      <c r="P29" s="9">
        <f>IF(ISNUMBER(_xll.PIArcVal(O$5,$D29, 0,"TPI","exact time"))=TRUE, _xll.PIArcVal(O$5,$D29, 0,"TPI","exact time"), "")</f>
        <v>5.3999999999999999E-2</v>
      </c>
      <c r="Q29" s="29">
        <f>IF(ISNUMBER(_xll.PIArcVal(Q$5,$C29, 0,"TPI","exact time"))=TRUE,_xll.PIArcVal(Q$5,$C29, 0,"TPI","exact time"),"")</f>
        <v>4.0000000000000001E-3</v>
      </c>
      <c r="R29" s="9">
        <f>IF(ISNUMBER(_xll.PIArcVal(Q$5,$D29, 0,"TPI","exact time"))=TRUE, _xll.PIArcVal(Q$5,$D29, 0,"TPI","exact time"), "")</f>
        <v>1.0999999999999999E-2</v>
      </c>
      <c r="S29" s="29">
        <f>IF(ISNUMBER(_xll.PIArcVal(S$5,$C29, 0,"TPI","exact time"))=TRUE,_xll.PIArcVal(S$5,$C29, 0,"TPI","exact time"),"")</f>
        <v>3.202</v>
      </c>
      <c r="T29" s="9">
        <f>IF(ISNUMBER(_xll.PIArcVal(S$5,$D29, 0,"TPI","exact time"))=TRUE, _xll.PIArcVal(S$5,$D29, 0,"TPI","exact time"), "")</f>
        <v>2.5859999999999999</v>
      </c>
      <c r="U29" s="29">
        <f>IF(ISNUMBER(_xll.PIArcVal(U$5,$C29, 0,"TPI","exact time"))=TRUE,_xll.PIArcVal(U$5,$C29, 0,"TPI","exact time"),"")</f>
        <v>22.686</v>
      </c>
      <c r="V29" s="9">
        <f>IF(ISNUMBER(_xll.PIArcVal(U$5,$D29, 0,"TPI","exact time"))=TRUE, _xll.PIArcVal(U$5,$D29, 0,"TPI","exact time"), "")</f>
        <v>21.774000000000001</v>
      </c>
      <c r="W29" s="29">
        <f>IF(ISNUMBER(_xll.PIArcVal(W$5,$C29, 0,"TPI","exact time"))=TRUE,_xll.PIArcVal(W$5,$C29, 0,"TPI","exact time"),"")</f>
        <v>1.7490000000000001</v>
      </c>
      <c r="X29" s="9">
        <f>IF(ISNUMBER(_xll.PIArcVal(W$5,$D29, 0,"TPI","exact time"))=TRUE, _xll.PIArcVal(W$5,$D29, 0,"TPI","exact time"), "")</f>
        <v>2.16</v>
      </c>
      <c r="Y29" s="29">
        <f>IF(ISNUMBER(_xll.PIArcVal(Y$5,$C29, 0,"TPI","exact time"))=TRUE,_xll.PIArcVal(Y$5,$C29, 0,"TPI","exact time"),"")</f>
        <v>29.94</v>
      </c>
      <c r="Z29" s="9">
        <f>IF(ISNUMBER(_xll.PIArcVal(Y$5,$D29, 0,"TPI","exact time"))=TRUE, _xll.PIArcVal(Y$5,$D29, 0,"TPI","exact time"), "")</f>
        <v>29.49</v>
      </c>
    </row>
    <row r="30" spans="1:26" ht="13.5" thickBot="1" x14ac:dyDescent="0.25">
      <c r="A30">
        <f t="shared" si="3"/>
        <v>24</v>
      </c>
      <c r="B30" s="28">
        <f t="shared" si="0"/>
        <v>46271</v>
      </c>
      <c r="C30" s="30">
        <f t="shared" si="1"/>
        <v>46271.3125</v>
      </c>
      <c r="D30" s="30">
        <f t="shared" si="2"/>
        <v>46271.8125</v>
      </c>
      <c r="E30" s="29">
        <f>IF(ISNUMBER(_xll.PIArcVal(E$5,$C30, 0,"TPI","exact time"))=TRUE,_xll.PIArcVal(E$5,$C30, 0,"TPI","exact time"),"")</f>
        <v>0.505</v>
      </c>
      <c r="F30" s="9">
        <f>IF(ISNUMBER(_xll.PIArcVal(E$5,$D30, 0,"TPI","exact time"))=TRUE, _xll.PIArcVal(E$5,$D30, 0,"TPI","exact time"), "")</f>
        <v>0.47799999999999998</v>
      </c>
      <c r="G30" s="29">
        <f>IF(ISNUMBER(_xll.PIArcVal(G$5,$C30, 0,"TPI","exact time"))=TRUE,_xll.PIArcVal(G$5,$C30, 0,"TPI","exact time"),"")</f>
        <v>6.3E-2</v>
      </c>
      <c r="H30" s="9">
        <f>IF(ISNUMBER(_xll.PIArcVal(G$5,$D30, 0,"TPI","exact time"))=TRUE, _xll.PIArcVal(G$5,$D30, 0,"TPI","exact time"), "")</f>
        <v>5.0999999999999997E-2</v>
      </c>
      <c r="I30" s="29">
        <f>IF(ISNUMBER(_xll.PIArcVal(I$5,$C30, 0,"TPI","exact time"))=TRUE,_xll.PIArcVal(I$5,$C30, 0,"TPI","exact time"),"")</f>
        <v>2.8050000000000002</v>
      </c>
      <c r="J30" s="9">
        <f>IF(ISNUMBER(_xll.PIArcVal(I$5,$D30, 0,"TPI","exact time"))=TRUE, _xll.PIArcVal(I$5,$D30, 0,"TPI","exact time"), "")</f>
        <v>2.214</v>
      </c>
      <c r="K30" s="29">
        <f>IF(ISNUMBER(_xll.PIArcVal(K$5,$C30, 0,"TPI","exact time"))=TRUE,_xll.PIArcVal(K$5,$C30, 0,"TPI","exact time"),"")</f>
        <v>1.0999999999999999E-2</v>
      </c>
      <c r="L30" s="9">
        <f>IF(ISNUMBER(_xll.PIArcVal(K$5,$D30, 0,"TPI","exact time"))=TRUE, _xll.PIArcVal(K$5,$D30, 0,"TPI","exact time"), "")</f>
        <v>7.0000000000000001E-3</v>
      </c>
      <c r="M30" s="29" t="str">
        <f>IF(ISNUMBER(_xll.PIArcVal(M$5,$C30, 0,"TPI","exact time"))=TRUE,_xll.PIArcVal(M$5,$C30, 0,"TPI","exact time"),"")</f>
        <v/>
      </c>
      <c r="N30" s="9" t="str">
        <f>IF(ISNUMBER(_xll.PIArcVal(M$5,$D30, 0,"TPI","exact time"))=TRUE, _xll.PIArcVal(M$5,$D30, 0,"TPI","exact time"), "")</f>
        <v/>
      </c>
      <c r="O30" s="29">
        <f>IF(ISNUMBER(_xll.PIArcVal(O$5,$C30, 0,"TPI","exact time"))=TRUE,_xll.PIArcVal(O$5,$C30, 0,"TPI","exact time"),"")</f>
        <v>4.8000000000000001E-2</v>
      </c>
      <c r="P30" s="9">
        <f>IF(ISNUMBER(_xll.PIArcVal(O$5,$D30, 0,"TPI","exact time"))=TRUE, _xll.PIArcVal(O$5,$D30, 0,"TPI","exact time"), "")</f>
        <v>5.1999999999999998E-2</v>
      </c>
      <c r="Q30" s="29">
        <f>IF(ISNUMBER(_xll.PIArcVal(Q$5,$C30, 0,"TPI","exact time"))=TRUE,_xll.PIArcVal(Q$5,$C30, 0,"TPI","exact time"),"")</f>
        <v>1.2E-2</v>
      </c>
      <c r="R30" s="9">
        <f>IF(ISNUMBER(_xll.PIArcVal(Q$5,$D30, 0,"TPI","exact time"))=TRUE, _xll.PIArcVal(Q$5,$D30, 0,"TPI","exact time"), "")</f>
        <v>1.0999999999999999E-2</v>
      </c>
      <c r="S30" s="29">
        <f>IF(ISNUMBER(_xll.PIArcVal(S$5,$C30, 0,"TPI","exact time"))=TRUE,_xll.PIArcVal(S$5,$C30, 0,"TPI","exact time"),"")</f>
        <v>2.5310000000000001</v>
      </c>
      <c r="T30" s="9">
        <f>IF(ISNUMBER(_xll.PIArcVal(S$5,$D30, 0,"TPI","exact time"))=TRUE, _xll.PIArcVal(S$5,$D30, 0,"TPI","exact time"), "")</f>
        <v>1.9550000000000001</v>
      </c>
      <c r="U30" s="29">
        <f>IF(ISNUMBER(_xll.PIArcVal(U$5,$C30, 0,"TPI","exact time"))=TRUE,_xll.PIArcVal(U$5,$C30, 0,"TPI","exact time"),"")</f>
        <v>22.885000000000002</v>
      </c>
      <c r="V30" s="9">
        <f>IF(ISNUMBER(_xll.PIArcVal(U$5,$D30, 0,"TPI","exact time"))=TRUE, _xll.PIArcVal(U$5,$D30, 0,"TPI","exact time"), "")</f>
        <v>22.972000000000001</v>
      </c>
      <c r="W30" s="29">
        <f>IF(ISNUMBER(_xll.PIArcVal(W$5,$C30, 0,"TPI","exact time"))=TRUE,_xll.PIArcVal(W$5,$C30, 0,"TPI","exact time"),"")</f>
        <v>2.927</v>
      </c>
      <c r="X30" s="9">
        <f>IF(ISNUMBER(_xll.PIArcVal(W$5,$D30, 0,"TPI","exact time"))=TRUE, _xll.PIArcVal(W$5,$D30, 0,"TPI","exact time"), "")</f>
        <v>2.488</v>
      </c>
      <c r="Y30" s="29">
        <f>IF(ISNUMBER(_xll.PIArcVal(Y$5,$C30, 0,"TPI","exact time"))=TRUE,_xll.PIArcVal(Y$5,$C30, 0,"TPI","exact time"),"")</f>
        <v>27.3</v>
      </c>
      <c r="Z30" s="9">
        <f>IF(ISNUMBER(_xll.PIArcVal(Y$5,$D30, 0,"TPI","exact time"))=TRUE, _xll.PIArcVal(Y$5,$D30, 0,"TPI","exact time"), "")</f>
        <v>27.19</v>
      </c>
    </row>
    <row r="31" spans="1:26" ht="13.5" thickBot="1" x14ac:dyDescent="0.25">
      <c r="A31">
        <f t="shared" si="3"/>
        <v>25</v>
      </c>
      <c r="B31" s="28">
        <f t="shared" si="0"/>
        <v>46272</v>
      </c>
      <c r="C31" s="30">
        <f t="shared" si="1"/>
        <v>46272.3125</v>
      </c>
      <c r="D31" s="30">
        <f t="shared" si="2"/>
        <v>46272.8125</v>
      </c>
      <c r="E31" s="29">
        <f>IF(ISNUMBER(_xll.PIArcVal(E$5,$C31, 0,"TPI","exact time"))=TRUE,_xll.PIArcVal(E$5,$C31, 0,"TPI","exact time"),"")</f>
        <v>0.60599999999999998</v>
      </c>
      <c r="F31" s="9">
        <f>IF(ISNUMBER(_xll.PIArcVal(E$5,$D31, 0,"TPI","exact time"))=TRUE, _xll.PIArcVal(E$5,$D31, 0,"TPI","exact time"), "")</f>
        <v>0.52500000000000002</v>
      </c>
      <c r="G31" s="29">
        <f>IF(ISNUMBER(_xll.PIArcVal(G$5,$C31, 0,"TPI","exact time"))=TRUE,_xll.PIArcVal(G$5,$C31, 0,"TPI","exact time"),"")</f>
        <v>6.3E-2</v>
      </c>
      <c r="H31" s="9">
        <f>IF(ISNUMBER(_xll.PIArcVal(G$5,$D31, 0,"TPI","exact time"))=TRUE, _xll.PIArcVal(G$5,$D31, 0,"TPI","exact time"), "")</f>
        <v>3.9E-2</v>
      </c>
      <c r="I31" s="29">
        <f>IF(ISNUMBER(_xll.PIArcVal(I$5,$C31, 0,"TPI","exact time"))=TRUE,_xll.PIArcVal(I$5,$C31, 0,"TPI","exact time"),"")</f>
        <v>2.3239999999999998</v>
      </c>
      <c r="J31" s="9">
        <f>IF(ISNUMBER(_xll.PIArcVal(I$5,$D31, 0,"TPI","exact time"))=TRUE, _xll.PIArcVal(I$5,$D31, 0,"TPI","exact time"), "")</f>
        <v>1.982</v>
      </c>
      <c r="K31" s="29">
        <f>IF(ISNUMBER(_xll.PIArcVal(K$5,$C31, 0,"TPI","exact time"))=TRUE,_xll.PIArcVal(K$5,$C31, 0,"TPI","exact time"),"")</f>
        <v>5.0000000000000001E-3</v>
      </c>
      <c r="L31" s="9">
        <f>IF(ISNUMBER(_xll.PIArcVal(K$5,$D31, 0,"TPI","exact time"))=TRUE, _xll.PIArcVal(K$5,$D31, 0,"TPI","exact time"), "")</f>
        <v>4.0000000000000001E-3</v>
      </c>
      <c r="M31" s="29" t="str">
        <f>IF(ISNUMBER(_xll.PIArcVal(M$5,$C31, 0,"TPI","exact time"))=TRUE,_xll.PIArcVal(M$5,$C31, 0,"TPI","exact time"),"")</f>
        <v/>
      </c>
      <c r="N31" s="9" t="str">
        <f>IF(ISNUMBER(_xll.PIArcVal(M$5,$D31, 0,"TPI","exact time"))=TRUE, _xll.PIArcVal(M$5,$D31, 0,"TPI","exact time"), "")</f>
        <v/>
      </c>
      <c r="O31" s="29">
        <f>IF(ISNUMBER(_xll.PIArcVal(O$5,$C31, 0,"TPI","exact time"))=TRUE,_xll.PIArcVal(O$5,$C31, 0,"TPI","exact time"),"")</f>
        <v>5.8999999999999997E-2</v>
      </c>
      <c r="P31" s="9">
        <f>IF(ISNUMBER(_xll.PIArcVal(O$5,$D31, 0,"TPI","exact time"))=TRUE, _xll.PIArcVal(O$5,$D31, 0,"TPI","exact time"), "")</f>
        <v>5.0999999999999997E-2</v>
      </c>
      <c r="Q31" s="29">
        <f>IF(ISNUMBER(_xll.PIArcVal(Q$5,$C31, 0,"TPI","exact time"))=TRUE,_xll.PIArcVal(Q$5,$C31, 0,"TPI","exact time"),"")</f>
        <v>1.9E-2</v>
      </c>
      <c r="R31" s="9">
        <f>IF(ISNUMBER(_xll.PIArcVal(Q$5,$D31, 0,"TPI","exact time"))=TRUE, _xll.PIArcVal(Q$5,$D31, 0,"TPI","exact time"), "")</f>
        <v>8.9999999999999993E-3</v>
      </c>
      <c r="S31" s="29">
        <f>IF(ISNUMBER(_xll.PIArcVal(S$5,$C31, 0,"TPI","exact time"))=TRUE,_xll.PIArcVal(S$5,$C31, 0,"TPI","exact time"),"")</f>
        <v>1.766</v>
      </c>
      <c r="T31" s="9">
        <f>IF(ISNUMBER(_xll.PIArcVal(S$5,$D31, 0,"TPI","exact time"))=TRUE, _xll.PIArcVal(S$5,$D31, 0,"TPI","exact time"), "")</f>
        <v>1.573</v>
      </c>
      <c r="U31" s="29">
        <f>IF(ISNUMBER(_xll.PIArcVal(U$5,$C31, 0,"TPI","exact time"))=TRUE,_xll.PIArcVal(U$5,$C31, 0,"TPI","exact time"),"")</f>
        <v>24.975000000000001</v>
      </c>
      <c r="V31" s="9">
        <f>IF(ISNUMBER(_xll.PIArcVal(U$5,$D31, 0,"TPI","exact time"))=TRUE, _xll.PIArcVal(U$5,$D31, 0,"TPI","exact time"), "")</f>
        <v>25.276</v>
      </c>
      <c r="W31" s="29">
        <f>IF(ISNUMBER(_xll.PIArcVal(W$5,$C31, 0,"TPI","exact time"))=TRUE,_xll.PIArcVal(W$5,$C31, 0,"TPI","exact time"),"")</f>
        <v>2.383</v>
      </c>
      <c r="X31" s="9">
        <f>IF(ISNUMBER(_xll.PIArcVal(W$5,$D31, 0,"TPI","exact time"))=TRUE, _xll.PIArcVal(W$5,$D31, 0,"TPI","exact time"), "")</f>
        <v>2.198</v>
      </c>
      <c r="Y31" s="29">
        <f>IF(ISNUMBER(_xll.PIArcVal(Y$5,$C31, 0,"TPI","exact time"))=TRUE,_xll.PIArcVal(Y$5,$C31, 0,"TPI","exact time"),"")</f>
        <v>27.28</v>
      </c>
      <c r="Z31" s="9">
        <f>IF(ISNUMBER(_xll.PIArcVal(Y$5,$D31, 0,"TPI","exact time"))=TRUE, _xll.PIArcVal(Y$5,$D31, 0,"TPI","exact time"), "")</f>
        <v>27.72</v>
      </c>
    </row>
    <row r="32" spans="1:26" ht="13.5" thickBot="1" x14ac:dyDescent="0.25">
      <c r="A32">
        <f t="shared" si="3"/>
        <v>26</v>
      </c>
      <c r="B32" s="28">
        <f t="shared" si="0"/>
        <v>46273</v>
      </c>
      <c r="C32" s="30">
        <f t="shared" si="1"/>
        <v>46273.3125</v>
      </c>
      <c r="D32" s="30">
        <f t="shared" si="2"/>
        <v>46273.8125</v>
      </c>
      <c r="E32" s="29">
        <f>IF(ISNUMBER(_xll.PIArcVal(E$5,$C32, 0,"TPI","exact time"))=TRUE,_xll.PIArcVal(E$5,$C32, 0,"TPI","exact time"),"")</f>
        <v>0.55600000000000005</v>
      </c>
      <c r="F32" s="9">
        <f>IF(ISNUMBER(_xll.PIArcVal(E$5,$D32, 0,"TPI","exact time"))=TRUE, _xll.PIArcVal(E$5,$D32, 0,"TPI","exact time"), "")</f>
        <v>0.54500000000000004</v>
      </c>
      <c r="G32" s="29">
        <f>IF(ISNUMBER(_xll.PIArcVal(G$5,$C32, 0,"TPI","exact time"))=TRUE,_xll.PIArcVal(G$5,$C32, 0,"TPI","exact time"),"")</f>
        <v>7.6999999999999999E-2</v>
      </c>
      <c r="H32" s="9">
        <f>IF(ISNUMBER(_xll.PIArcVal(G$5,$D32, 0,"TPI","exact time"))=TRUE, _xll.PIArcVal(G$5,$D32, 0,"TPI","exact time"), "")</f>
        <v>6.9000000000000006E-2</v>
      </c>
      <c r="I32" s="29">
        <f>IF(ISNUMBER(_xll.PIArcVal(I$5,$C32, 0,"TPI","exact time"))=TRUE,_xll.PIArcVal(I$5,$C32, 0,"TPI","exact time"),"")</f>
        <v>2.2010000000000001</v>
      </c>
      <c r="J32" s="9">
        <f>IF(ISNUMBER(_xll.PIArcVal(I$5,$D32, 0,"TPI","exact time"))=TRUE, _xll.PIArcVal(I$5,$D32, 0,"TPI","exact time"), "")</f>
        <v>2.093</v>
      </c>
      <c r="K32" s="29">
        <f>IF(ISNUMBER(_xll.PIArcVal(K$5,$C32, 0,"TPI","exact time"))=TRUE,_xll.PIArcVal(K$5,$C32, 0,"TPI","exact time"),"")</f>
        <v>5.0000000000000001E-3</v>
      </c>
      <c r="L32" s="9">
        <f>IF(ISNUMBER(_xll.PIArcVal(K$5,$D32, 0,"TPI","exact time"))=TRUE, _xll.PIArcVal(K$5,$D32, 0,"TPI","exact time"), "")</f>
        <v>5.0000000000000001E-3</v>
      </c>
      <c r="M32" s="29" t="str">
        <f>IF(ISNUMBER(_xll.PIArcVal(M$5,$C32, 0,"TPI","exact time"))=TRUE,_xll.PIArcVal(M$5,$C32, 0,"TPI","exact time"),"")</f>
        <v/>
      </c>
      <c r="N32" s="9" t="str">
        <f>IF(ISNUMBER(_xll.PIArcVal(M$5,$D32, 0,"TPI","exact time"))=TRUE, _xll.PIArcVal(M$5,$D32, 0,"TPI","exact time"), "")</f>
        <v/>
      </c>
      <c r="O32" s="29">
        <f>IF(ISNUMBER(_xll.PIArcVal(O$5,$C32, 0,"TPI","exact time"))=TRUE,_xll.PIArcVal(O$5,$C32, 0,"TPI","exact time"),"")</f>
        <v>5.3999999999999999E-2</v>
      </c>
      <c r="P32" s="9">
        <f>IF(ISNUMBER(_xll.PIArcVal(O$5,$D32, 0,"TPI","exact time"))=TRUE, _xll.PIArcVal(O$5,$D32, 0,"TPI","exact time"), "")</f>
        <v>5.1999999999999998E-2</v>
      </c>
      <c r="Q32" s="29">
        <f>IF(ISNUMBER(_xll.PIArcVal(Q$5,$C32, 0,"TPI","exact time"))=TRUE,_xll.PIArcVal(Q$5,$C32, 0,"TPI","exact time"),"")</f>
        <v>1.4E-2</v>
      </c>
      <c r="R32" s="9">
        <f>IF(ISNUMBER(_xll.PIArcVal(Q$5,$D32, 0,"TPI","exact time"))=TRUE, _xll.PIArcVal(Q$5,$D32, 0,"TPI","exact time"), "")</f>
        <v>1.4E-2</v>
      </c>
      <c r="S32" s="29">
        <f>IF(ISNUMBER(_xll.PIArcVal(S$5,$C32, 0,"TPI","exact time"))=TRUE,_xll.PIArcVal(S$5,$C32, 0,"TPI","exact time"),"")</f>
        <v>1.7270000000000001</v>
      </c>
      <c r="T32" s="9">
        <f>IF(ISNUMBER(_xll.PIArcVal(S$5,$D32, 0,"TPI","exact time"))=TRUE, _xll.PIArcVal(S$5,$D32, 0,"TPI","exact time"), "")</f>
        <v>1.7230000000000001</v>
      </c>
      <c r="U32" s="29">
        <f>IF(ISNUMBER(_xll.PIArcVal(U$5,$C32, 0,"TPI","exact time"))=TRUE,_xll.PIArcVal(U$5,$C32, 0,"TPI","exact time"),"")</f>
        <v>23.321999999999999</v>
      </c>
      <c r="V32" s="9">
        <f>IF(ISNUMBER(_xll.PIArcVal(U$5,$D32, 0,"TPI","exact time"))=TRUE, _xll.PIArcVal(U$5,$D32, 0,"TPI","exact time"), "")</f>
        <v>26.672000000000001</v>
      </c>
      <c r="W32" s="29">
        <f>IF(ISNUMBER(_xll.PIArcVal(W$5,$C32, 0,"TPI","exact time"))=TRUE,_xll.PIArcVal(W$5,$C32, 0,"TPI","exact time"),"")</f>
        <v>3.17</v>
      </c>
      <c r="X32" s="9">
        <f>IF(ISNUMBER(_xll.PIArcVal(W$5,$D32, 0,"TPI","exact time"))=TRUE, _xll.PIArcVal(W$5,$D32, 0,"TPI","exact time"), "")</f>
        <v>2.8050000000000002</v>
      </c>
      <c r="Y32" s="29">
        <f>IF(ISNUMBER(_xll.PIArcVal(Y$5,$C32, 0,"TPI","exact time"))=TRUE,_xll.PIArcVal(Y$5,$C32, 0,"TPI","exact time"),"")</f>
        <v>26.88</v>
      </c>
      <c r="Z32" s="9">
        <f>IF(ISNUMBER(_xll.PIArcVal(Y$5,$D32, 0,"TPI","exact time"))=TRUE, _xll.PIArcVal(Y$5,$D32, 0,"TPI","exact time"), "")</f>
        <v>26.64</v>
      </c>
    </row>
    <row r="33" spans="1:26" ht="13.5" thickBot="1" x14ac:dyDescent="0.25">
      <c r="A33">
        <f t="shared" si="3"/>
        <v>27</v>
      </c>
      <c r="B33" s="28">
        <f t="shared" si="0"/>
        <v>46274</v>
      </c>
      <c r="C33" s="30">
        <f t="shared" si="1"/>
        <v>46274.3125</v>
      </c>
      <c r="D33" s="30">
        <f t="shared" si="2"/>
        <v>46274.8125</v>
      </c>
      <c r="E33" s="29">
        <f>IF(ISNUMBER(_xll.PIArcVal(E$5,$C33, 0,"TPI","exact time"))=TRUE,_xll.PIArcVal(E$5,$C33, 0,"TPI","exact time"),"")</f>
        <v>0.48</v>
      </c>
      <c r="F33" s="9">
        <f>IF(ISNUMBER(_xll.PIArcVal(E$5,$D33, 0,"TPI","exact time"))=TRUE, _xll.PIArcVal(E$5,$D33, 0,"TPI","exact time"), "")</f>
        <v>0.501</v>
      </c>
      <c r="G33" s="29">
        <f>IF(ISNUMBER(_xll.PIArcVal(G$5,$C33, 0,"TPI","exact time"))=TRUE,_xll.PIArcVal(G$5,$C33, 0,"TPI","exact time"),"")</f>
        <v>0.08</v>
      </c>
      <c r="H33" s="9">
        <f>IF(ISNUMBER(_xll.PIArcVal(G$5,$D33, 0,"TPI","exact time"))=TRUE, _xll.PIArcVal(G$5,$D33, 0,"TPI","exact time"), "")</f>
        <v>5.3999999999999999E-2</v>
      </c>
      <c r="I33" s="29">
        <f>IF(ISNUMBER(_xll.PIArcVal(I$5,$C33, 0,"TPI","exact time"))=TRUE,_xll.PIArcVal(I$5,$C33, 0,"TPI","exact time"),"")</f>
        <v>2.1339999999999999</v>
      </c>
      <c r="J33" s="9">
        <f>IF(ISNUMBER(_xll.PIArcVal(I$5,$D33, 0,"TPI","exact time"))=TRUE, _xll.PIArcVal(I$5,$D33, 0,"TPI","exact time"), "")</f>
        <v>1.869</v>
      </c>
      <c r="K33" s="29">
        <f>IF(ISNUMBER(_xll.PIArcVal(K$5,$C33, 0,"TPI","exact time"))=TRUE,_xll.PIArcVal(K$5,$C33, 0,"TPI","exact time"),"")</f>
        <v>5.0000000000000001E-3</v>
      </c>
      <c r="L33" s="9">
        <f>IF(ISNUMBER(_xll.PIArcVal(K$5,$D33, 0,"TPI","exact time"))=TRUE, _xll.PIArcVal(K$5,$D33, 0,"TPI","exact time"), "")</f>
        <v>5.0000000000000001E-3</v>
      </c>
      <c r="M33" s="29" t="str">
        <f>IF(ISNUMBER(_xll.PIArcVal(M$5,$C33, 0,"TPI","exact time"))=TRUE,_xll.PIArcVal(M$5,$C33, 0,"TPI","exact time"),"")</f>
        <v/>
      </c>
      <c r="N33" s="9" t="str">
        <f>IF(ISNUMBER(_xll.PIArcVal(M$5,$D33, 0,"TPI","exact time"))=TRUE, _xll.PIArcVal(M$5,$D33, 0,"TPI","exact time"), "")</f>
        <v/>
      </c>
      <c r="O33" s="29">
        <f>IF(ISNUMBER(_xll.PIArcVal(O$5,$C33, 0,"TPI","exact time"))=TRUE,_xll.PIArcVal(O$5,$C33, 0,"TPI","exact time"),"")</f>
        <v>3.5999999999999997E-2</v>
      </c>
      <c r="P33" s="9">
        <f>IF(ISNUMBER(_xll.PIArcVal(O$5,$D33, 0,"TPI","exact time"))=TRUE, _xll.PIArcVal(O$5,$D33, 0,"TPI","exact time"), "")</f>
        <v>5.2999999999999999E-2</v>
      </c>
      <c r="Q33" s="29">
        <f>IF(ISNUMBER(_xll.PIArcVal(Q$5,$C33, 0,"TPI","exact time"))=TRUE,_xll.PIArcVal(Q$5,$C33, 0,"TPI","exact time"),"")</f>
        <v>1.4999999999999999E-2</v>
      </c>
      <c r="R33" s="9">
        <f>IF(ISNUMBER(_xll.PIArcVal(Q$5,$D33, 0,"TPI","exact time"))=TRUE, _xll.PIArcVal(Q$5,$D33, 0,"TPI","exact time"), "")</f>
        <v>8.9999999999999993E-3</v>
      </c>
      <c r="S33" s="29">
        <f>IF(ISNUMBER(_xll.PIArcVal(S$5,$C33, 0,"TPI","exact time"))=TRUE,_xll.PIArcVal(S$5,$C33, 0,"TPI","exact time"),"")</f>
        <v>1.3420000000000001</v>
      </c>
      <c r="T33" s="9">
        <f>IF(ISNUMBER(_xll.PIArcVal(S$5,$D33, 0,"TPI","exact time"))=TRUE, _xll.PIArcVal(S$5,$D33, 0,"TPI","exact time"), "")</f>
        <v>1.5529999999999999</v>
      </c>
      <c r="U33" s="29">
        <f>IF(ISNUMBER(_xll.PIArcVal(U$5,$C33, 0,"TPI","exact time"))=TRUE,_xll.PIArcVal(U$5,$C33, 0,"TPI","exact time"),"")</f>
        <v>23.248999999999999</v>
      </c>
      <c r="V33" s="9">
        <f>IF(ISNUMBER(_xll.PIArcVal(U$5,$D33, 0,"TPI","exact time"))=TRUE, _xll.PIArcVal(U$5,$D33, 0,"TPI","exact time"), "")</f>
        <v>26.018999999999998</v>
      </c>
      <c r="W33" s="29">
        <f>IF(ISNUMBER(_xll.PIArcVal(W$5,$C33, 0,"TPI","exact time"))=TRUE,_xll.PIArcVal(W$5,$C33, 0,"TPI","exact time"),"")</f>
        <v>4.569</v>
      </c>
      <c r="X33" s="9">
        <f>IF(ISNUMBER(_xll.PIArcVal(W$5,$D33, 0,"TPI","exact time"))=TRUE, _xll.PIArcVal(W$5,$D33, 0,"TPI","exact time"), "")</f>
        <v>2.3180000000000001</v>
      </c>
      <c r="Y33" s="29">
        <f>IF(ISNUMBER(_xll.PIArcVal(Y$5,$C33, 0,"TPI","exact time"))=TRUE,_xll.PIArcVal(Y$5,$C33, 0,"TPI","exact time"),"")</f>
        <v>25.94</v>
      </c>
      <c r="Z33" s="9">
        <f>IF(ISNUMBER(_xll.PIArcVal(Y$5,$D33, 0,"TPI","exact time"))=TRUE, _xll.PIArcVal(Y$5,$D33, 0,"TPI","exact time"), "")</f>
        <v>26.53</v>
      </c>
    </row>
    <row r="34" spans="1:26" ht="13.5" thickBot="1" x14ac:dyDescent="0.25">
      <c r="A34">
        <f t="shared" si="3"/>
        <v>28</v>
      </c>
      <c r="B34" s="28">
        <f t="shared" si="0"/>
        <v>46275</v>
      </c>
      <c r="C34" s="30">
        <f t="shared" si="1"/>
        <v>46275.3125</v>
      </c>
      <c r="D34" s="30">
        <f t="shared" si="2"/>
        <v>46275.8125</v>
      </c>
      <c r="E34" s="29">
        <f>IF(ISNUMBER(_xll.PIArcVal(E$5,$C34, 0,"TPI","exact time"))=TRUE,_xll.PIArcVal(E$5,$C34, 0,"TPI","exact time"),"")</f>
        <v>0.48299999999999998</v>
      </c>
      <c r="F34" s="9">
        <f>IF(ISNUMBER(_xll.PIArcVal(E$5,$D34, 0,"TPI","exact time"))=TRUE, _xll.PIArcVal(E$5,$D34, 0,"TPI","exact time"), "")</f>
        <v>0.46600000000000003</v>
      </c>
      <c r="G34" s="29">
        <f>IF(ISNUMBER(_xll.PIArcVal(G$5,$C34, 0,"TPI","exact time"))=TRUE,_xll.PIArcVal(G$5,$C34, 0,"TPI","exact time"),"")</f>
        <v>5.7000000000000002E-2</v>
      </c>
      <c r="H34" s="9">
        <f>IF(ISNUMBER(_xll.PIArcVal(G$5,$D34, 0,"TPI","exact time"))=TRUE, _xll.PIArcVal(G$5,$D34, 0,"TPI","exact time"), "")</f>
        <v>3.6999999999999998E-2</v>
      </c>
      <c r="I34" s="29">
        <f>IF(ISNUMBER(_xll.PIArcVal(I$5,$C34, 0,"TPI","exact time"))=TRUE,_xll.PIArcVal(I$5,$C34, 0,"TPI","exact time"),"")</f>
        <v>1.966</v>
      </c>
      <c r="J34" s="9">
        <f>IF(ISNUMBER(_xll.PIArcVal(I$5,$D34, 0,"TPI","exact time"))=TRUE, _xll.PIArcVal(I$5,$D34, 0,"TPI","exact time"), "")</f>
        <v>1.8859999999999999</v>
      </c>
      <c r="K34" s="29">
        <f>IF(ISNUMBER(_xll.PIArcVal(K$5,$C34, 0,"TPI","exact time"))=TRUE,_xll.PIArcVal(K$5,$C34, 0,"TPI","exact time"),"")</f>
        <v>4.0000000000000001E-3</v>
      </c>
      <c r="L34" s="9">
        <f>IF(ISNUMBER(_xll.PIArcVal(K$5,$D34, 0,"TPI","exact time"))=TRUE, _xll.PIArcVal(K$5,$D34, 0,"TPI","exact time"), "")</f>
        <v>5.0000000000000001E-3</v>
      </c>
      <c r="M34" s="29" t="str">
        <f>IF(ISNUMBER(_xll.PIArcVal(M$5,$C34, 0,"TPI","exact time"))=TRUE,_xll.PIArcVal(M$5,$C34, 0,"TPI","exact time"),"")</f>
        <v/>
      </c>
      <c r="N34" s="9" t="str">
        <f>IF(ISNUMBER(_xll.PIArcVal(M$5,$D34, 0,"TPI","exact time"))=TRUE, _xll.PIArcVal(M$5,$D34, 0,"TPI","exact time"), "")</f>
        <v/>
      </c>
      <c r="O34" s="29">
        <f>IF(ISNUMBER(_xll.PIArcVal(O$5,$C34, 0,"TPI","exact time"))=TRUE,_xll.PIArcVal(O$5,$C34, 0,"TPI","exact time"),"")</f>
        <v>4.4999999999999998E-2</v>
      </c>
      <c r="P34" s="9">
        <f>IF(ISNUMBER(_xll.PIArcVal(O$5,$D34, 0,"TPI","exact time"))=TRUE, _xll.PIArcVal(O$5,$D34, 0,"TPI","exact time"), "")</f>
        <v>6.3E-2</v>
      </c>
      <c r="Q34" s="29">
        <f>IF(ISNUMBER(_xll.PIArcVal(Q$5,$C34, 0,"TPI","exact time"))=TRUE,_xll.PIArcVal(Q$5,$C34, 0,"TPI","exact time"),"")</f>
        <v>1.2E-2</v>
      </c>
      <c r="R34" s="9">
        <f>IF(ISNUMBER(_xll.PIArcVal(Q$5,$D34, 0,"TPI","exact time"))=TRUE, _xll.PIArcVal(Q$5,$D34, 0,"TPI","exact time"), "")</f>
        <v>1.0999999999999999E-2</v>
      </c>
      <c r="S34" s="29">
        <f>IF(ISNUMBER(_xll.PIArcVal(S$5,$C34, 0,"TPI","exact time"))=TRUE,_xll.PIArcVal(S$5,$C34, 0,"TPI","exact time"),"")</f>
        <v>1.2390000000000001</v>
      </c>
      <c r="T34" s="9">
        <f>IF(ISNUMBER(_xll.PIArcVal(S$5,$D34, 0,"TPI","exact time"))=TRUE, _xll.PIArcVal(S$5,$D34, 0,"TPI","exact time"), "")</f>
        <v>1.5840000000000001</v>
      </c>
      <c r="U34" s="29">
        <f>IF(ISNUMBER(_xll.PIArcVal(U$5,$C34, 0,"TPI","exact time"))=TRUE,_xll.PIArcVal(U$5,$C34, 0,"TPI","exact time"),"")</f>
        <v>28.291</v>
      </c>
      <c r="V34" s="9">
        <f>IF(ISNUMBER(_xll.PIArcVal(U$5,$D34, 0,"TPI","exact time"))=TRUE, _xll.PIArcVal(U$5,$D34, 0,"TPI","exact time"), "")</f>
        <v>26.468</v>
      </c>
      <c r="W34" s="29">
        <f>IF(ISNUMBER(_xll.PIArcVal(W$5,$C34, 0,"TPI","exact time"))=TRUE,_xll.PIArcVal(W$5,$C34, 0,"TPI","exact time"),"")</f>
        <v>2.9260000000000002</v>
      </c>
      <c r="X34" s="9">
        <f>IF(ISNUMBER(_xll.PIArcVal(W$5,$D34, 0,"TPI","exact time"))=TRUE, _xll.PIArcVal(W$5,$D34, 0,"TPI","exact time"), "")</f>
        <v>2.081</v>
      </c>
      <c r="Y34" s="29">
        <f>IF(ISNUMBER(_xll.PIArcVal(Y$5,$C34, 0,"TPI","exact time"))=TRUE,_xll.PIArcVal(Y$5,$C34, 0,"TPI","exact time"),"")</f>
        <v>29.51</v>
      </c>
      <c r="Z34" s="9">
        <f>IF(ISNUMBER(_xll.PIArcVal(Y$5,$D34, 0,"TPI","exact time"))=TRUE, _xll.PIArcVal(Y$5,$D34, 0,"TPI","exact time"), "")</f>
        <v>29.45</v>
      </c>
    </row>
    <row r="35" spans="1:26" ht="13.5" thickBot="1" x14ac:dyDescent="0.25">
      <c r="A35">
        <f t="shared" si="3"/>
        <v>29</v>
      </c>
      <c r="B35" s="28">
        <f t="shared" si="0"/>
        <v>46276</v>
      </c>
      <c r="C35" s="30">
        <f t="shared" si="1"/>
        <v>46276.3125</v>
      </c>
      <c r="D35" s="30">
        <f t="shared" si="2"/>
        <v>46276.8125</v>
      </c>
      <c r="E35" s="29">
        <f>IF(ISNUMBER(_xll.PIArcVal(E$5,$C35, 0,"TPI","exact time"))=TRUE,_xll.PIArcVal(E$5,$C35, 0,"TPI","exact time"),"")</f>
        <v>0.42899999999999999</v>
      </c>
      <c r="F35" s="9">
        <f>IF(ISNUMBER(_xll.PIArcVal(E$5,$D35, 0,"TPI","exact time"))=TRUE, _xll.PIArcVal(E$5,$D35, 0,"TPI","exact time"), "")</f>
        <v>0.443</v>
      </c>
      <c r="G35" s="29">
        <f>IF(ISNUMBER(_xll.PIArcVal(G$5,$C35, 0,"TPI","exact time"))=TRUE,_xll.PIArcVal(G$5,$C35, 0,"TPI","exact time"),"")</f>
        <v>5.2999999999999999E-2</v>
      </c>
      <c r="H35" s="9">
        <f>IF(ISNUMBER(_xll.PIArcVal(G$5,$D35, 0,"TPI","exact time"))=TRUE, _xll.PIArcVal(G$5,$D35, 0,"TPI","exact time"), "")</f>
        <v>4.4999999999999998E-2</v>
      </c>
      <c r="I35" s="29">
        <f>IF(ISNUMBER(_xll.PIArcVal(I$5,$C35, 0,"TPI","exact time"))=TRUE,_xll.PIArcVal(I$5,$C35, 0,"TPI","exact time"),"")</f>
        <v>1.944</v>
      </c>
      <c r="J35" s="9">
        <f>IF(ISNUMBER(_xll.PIArcVal(I$5,$D35, 0,"TPI","exact time"))=TRUE, _xll.PIArcVal(I$5,$D35, 0,"TPI","exact time"), "")</f>
        <v>1.909</v>
      </c>
      <c r="K35" s="29">
        <f>IF(ISNUMBER(_xll.PIArcVal(K$5,$C35, 0,"TPI","exact time"))=TRUE,_xll.PIArcVal(K$5,$C35, 0,"TPI","exact time"),"")</f>
        <v>5.0000000000000001E-3</v>
      </c>
      <c r="L35" s="9">
        <f>IF(ISNUMBER(_xll.PIArcVal(K$5,$D35, 0,"TPI","exact time"))=TRUE, _xll.PIArcVal(K$5,$D35, 0,"TPI","exact time"), "")</f>
        <v>5.0000000000000001E-3</v>
      </c>
      <c r="M35" s="29" t="str">
        <f>IF(ISNUMBER(_xll.PIArcVal(M$5,$C35, 0,"TPI","exact time"))=TRUE,_xll.PIArcVal(M$5,$C35, 0,"TPI","exact time"),"")</f>
        <v/>
      </c>
      <c r="N35" s="9" t="str">
        <f>IF(ISNUMBER(_xll.PIArcVal(M$5,$D35, 0,"TPI","exact time"))=TRUE, _xll.PIArcVal(M$5,$D35, 0,"TPI","exact time"), "")</f>
        <v/>
      </c>
      <c r="O35" s="29">
        <f>IF(ISNUMBER(_xll.PIArcVal(O$5,$C35, 0,"TPI","exact time"))=TRUE,_xll.PIArcVal(O$5,$C35, 0,"TPI","exact time"),"")</f>
        <v>5.2999999999999999E-2</v>
      </c>
      <c r="P35" s="9">
        <f>IF(ISNUMBER(_xll.PIArcVal(O$5,$D35, 0,"TPI","exact time"))=TRUE, _xll.PIArcVal(O$5,$D35, 0,"TPI","exact time"), "")</f>
        <v>6.2E-2</v>
      </c>
      <c r="Q35" s="29">
        <f>IF(ISNUMBER(_xll.PIArcVal(Q$5,$C35, 0,"TPI","exact time"))=TRUE,_xll.PIArcVal(Q$5,$C35, 0,"TPI","exact time"),"")</f>
        <v>1.7000000000000001E-2</v>
      </c>
      <c r="R35" s="9">
        <f>IF(ISNUMBER(_xll.PIArcVal(Q$5,$D35, 0,"TPI","exact time"))=TRUE, _xll.PIArcVal(Q$5,$D35, 0,"TPI","exact time"), "")</f>
        <v>1.4E-2</v>
      </c>
      <c r="S35" s="29">
        <f>IF(ISNUMBER(_xll.PIArcVal(S$5,$C35, 0,"TPI","exact time"))=TRUE,_xll.PIArcVal(S$5,$C35, 0,"TPI","exact time"),"")</f>
        <v>1.6919999999999999</v>
      </c>
      <c r="T35" s="9">
        <f>IF(ISNUMBER(_xll.PIArcVal(S$5,$D35, 0,"TPI","exact time"))=TRUE, _xll.PIArcVal(S$5,$D35, 0,"TPI","exact time"), "")</f>
        <v>1.3879999999999999</v>
      </c>
      <c r="U35" s="29">
        <f>IF(ISNUMBER(_xll.PIArcVal(U$5,$C35, 0,"TPI","exact time"))=TRUE,_xll.PIArcVal(U$5,$C35, 0,"TPI","exact time"),"")</f>
        <v>24.695</v>
      </c>
      <c r="V35" s="9">
        <f>IF(ISNUMBER(_xll.PIArcVal(U$5,$D35, 0,"TPI","exact time"))=TRUE, _xll.PIArcVal(U$5,$D35, 0,"TPI","exact time"), "")</f>
        <v>25.768999999999998</v>
      </c>
      <c r="W35" s="29">
        <f>IF(ISNUMBER(_xll.PIArcVal(W$5,$C35, 0,"TPI","exact time"))=TRUE,_xll.PIArcVal(W$5,$C35, 0,"TPI","exact time"),"")</f>
        <v>2.645</v>
      </c>
      <c r="X35" s="9">
        <f>IF(ISNUMBER(_xll.PIArcVal(W$5,$D35, 0,"TPI","exact time"))=TRUE, _xll.PIArcVal(W$5,$D35, 0,"TPI","exact time"), "")</f>
        <v>2.6469999999999998</v>
      </c>
      <c r="Y35" s="29">
        <f>IF(ISNUMBER(_xll.PIArcVal(Y$5,$C35, 0,"TPI","exact time"))=TRUE,_xll.PIArcVal(Y$5,$C35, 0,"TPI","exact time"),"")</f>
        <v>28.29</v>
      </c>
      <c r="Z35" s="9">
        <f>IF(ISNUMBER(_xll.PIArcVal(Y$5,$D35, 0,"TPI","exact time"))=TRUE, _xll.PIArcVal(Y$5,$D35, 0,"TPI","exact time"), "")</f>
        <v>27.84</v>
      </c>
    </row>
    <row r="36" spans="1:26" ht="13.5" thickBot="1" x14ac:dyDescent="0.25">
      <c r="A36">
        <f t="shared" si="3"/>
        <v>30</v>
      </c>
      <c r="B36" s="28">
        <f t="shared" si="0"/>
        <v>46277</v>
      </c>
      <c r="C36" s="30">
        <f t="shared" si="1"/>
        <v>46277.3125</v>
      </c>
      <c r="D36" s="30">
        <f t="shared" si="2"/>
        <v>46277.8125</v>
      </c>
      <c r="E36" s="29">
        <f>IF(ISNUMBER(_xll.PIArcVal(E$5,$C36, 0,"TPI","exact time"))=TRUE,_xll.PIArcVal(E$5,$C36, 0,"TPI","exact time"),"")</f>
        <v>0.40300000000000002</v>
      </c>
      <c r="F36" s="9">
        <f>IF(ISNUMBER(_xll.PIArcVal(E$5,$D36, 0,"TPI","exact time"))=TRUE, _xll.PIArcVal(E$5,$D36, 0,"TPI","exact time"), "")</f>
        <v>0.41899999999999998</v>
      </c>
      <c r="G36" s="29">
        <f>IF(ISNUMBER(_xll.PIArcVal(G$5,$C36, 0,"TPI","exact time"))=TRUE,_xll.PIArcVal(G$5,$C36, 0,"TPI","exact time"),"")</f>
        <v>5.7000000000000002E-2</v>
      </c>
      <c r="H36" s="9">
        <f>IF(ISNUMBER(_xll.PIArcVal(G$5,$D36, 0,"TPI","exact time"))=TRUE, _xll.PIArcVal(G$5,$D36, 0,"TPI","exact time"), "")</f>
        <v>4.2000000000000003E-2</v>
      </c>
      <c r="I36" s="29">
        <f>IF(ISNUMBER(_xll.PIArcVal(I$5,$C36, 0,"TPI","exact time"))=TRUE,_xll.PIArcVal(I$5,$C36, 0,"TPI","exact time"),"")</f>
        <v>1.875</v>
      </c>
      <c r="J36" s="9">
        <f>IF(ISNUMBER(_xll.PIArcVal(I$5,$D36, 0,"TPI","exact time"))=TRUE, _xll.PIArcVal(I$5,$D36, 0,"TPI","exact time"), "")</f>
        <v>2.2229999999999999</v>
      </c>
      <c r="K36" s="29">
        <f>IF(ISNUMBER(_xll.PIArcVal(K$5,$C36, 0,"TPI","exact time"))=TRUE,_xll.PIArcVal(K$5,$C36, 0,"TPI","exact time"),"")</f>
        <v>6.0000000000000001E-3</v>
      </c>
      <c r="L36" s="9">
        <f>IF(ISNUMBER(_xll.PIArcVal(K$5,$D36, 0,"TPI","exact time"))=TRUE, _xll.PIArcVal(K$5,$D36, 0,"TPI","exact time"), "")</f>
        <v>6.0000000000000001E-3</v>
      </c>
      <c r="M36" s="29" t="str">
        <f>IF(ISNUMBER(_xll.PIArcVal(M$5,$C36, 0,"TPI","exact time"))=TRUE,_xll.PIArcVal(M$5,$C36, 0,"TPI","exact time"),"")</f>
        <v/>
      </c>
      <c r="N36" s="9" t="str">
        <f>IF(ISNUMBER(_xll.PIArcVal(M$5,$D36, 0,"TPI","exact time"))=TRUE, _xll.PIArcVal(M$5,$D36, 0,"TPI","exact time"), "")</f>
        <v/>
      </c>
      <c r="O36" s="29">
        <f>IF(ISNUMBER(_xll.PIArcVal(O$5,$C36, 0,"TPI","exact time"))=TRUE,_xll.PIArcVal(O$5,$C36, 0,"TPI","exact time"),"")</f>
        <v>5.1999999999999998E-2</v>
      </c>
      <c r="P36" s="9">
        <f>IF(ISNUMBER(_xll.PIArcVal(O$5,$D36, 0,"TPI","exact time"))=TRUE, _xll.PIArcVal(O$5,$D36, 0,"TPI","exact time"), "")</f>
        <v>4.9000000000000002E-2</v>
      </c>
      <c r="Q36" s="29">
        <f>IF(ISNUMBER(_xll.PIArcVal(Q$5,$C36, 0,"TPI","exact time"))=TRUE,_xll.PIArcVal(Q$5,$C36, 0,"TPI","exact time"),"")</f>
        <v>1.4E-2</v>
      </c>
      <c r="R36" s="9">
        <f>IF(ISNUMBER(_xll.PIArcVal(Q$5,$D36, 0,"TPI","exact time"))=TRUE, _xll.PIArcVal(Q$5,$D36, 0,"TPI","exact time"), "")</f>
        <v>1.4999999999999999E-2</v>
      </c>
      <c r="S36" s="29">
        <f>IF(ISNUMBER(_xll.PIArcVal(S$5,$C36, 0,"TPI","exact time"))=TRUE,_xll.PIArcVal(S$5,$C36, 0,"TPI","exact time"),"")</f>
        <v>1.609</v>
      </c>
      <c r="T36" s="9">
        <f>IF(ISNUMBER(_xll.PIArcVal(S$5,$D36, 0,"TPI","exact time"))=TRUE, _xll.PIArcVal(S$5,$D36, 0,"TPI","exact time"), "")</f>
        <v>1.895</v>
      </c>
      <c r="U36" s="29">
        <f>IF(ISNUMBER(_xll.PIArcVal(U$5,$C36, 0,"TPI","exact time"))=TRUE,_xll.PIArcVal(U$5,$C36, 0,"TPI","exact time"),"")</f>
        <v>24.577000000000002</v>
      </c>
      <c r="V36" s="9">
        <f>IF(ISNUMBER(_xll.PIArcVal(U$5,$D36, 0,"TPI","exact time"))=TRUE, _xll.PIArcVal(U$5,$D36, 0,"TPI","exact time"), "")</f>
        <v>24.97</v>
      </c>
      <c r="W36" s="29">
        <f>IF(ISNUMBER(_xll.PIArcVal(W$5,$C36, 0,"TPI","exact time"))=TRUE,_xll.PIArcVal(W$5,$C36, 0,"TPI","exact time"),"")</f>
        <v>3.649</v>
      </c>
      <c r="X36" s="9">
        <f>IF(ISNUMBER(_xll.PIArcVal(W$5,$D36, 0,"TPI","exact time"))=TRUE, _xll.PIArcVal(W$5,$D36, 0,"TPI","exact time"), "")</f>
        <v>2.3460000000000001</v>
      </c>
      <c r="Y36" s="29">
        <f>IF(ISNUMBER(_xll.PIArcVal(Y$5,$C36, 0,"TPI","exact time"))=TRUE,_xll.PIArcVal(Y$5,$C36, 0,"TPI","exact time"),"")</f>
        <v>28.66</v>
      </c>
      <c r="Z36" s="9">
        <f>IF(ISNUMBER(_xll.PIArcVal(Y$5,$D36, 0,"TPI","exact time"))=TRUE, _xll.PIArcVal(Y$5,$D36, 0,"TPI","exact time"), "")</f>
        <v>29.24</v>
      </c>
    </row>
    <row r="37" spans="1:26" ht="13.5" thickBot="1" x14ac:dyDescent="0.25">
      <c r="A37">
        <f t="shared" si="3"/>
        <v>31</v>
      </c>
      <c r="B37" s="46">
        <f>Portada!P5</f>
        <v>46278</v>
      </c>
      <c r="C37" s="30">
        <f t="shared" si="1"/>
        <v>46278.3125</v>
      </c>
      <c r="D37" s="30">
        <f t="shared" si="2"/>
        <v>46278.8125</v>
      </c>
      <c r="E37" s="29">
        <f>IF(ISNUMBER(_xll.PIArcVal(E$5,$C37, 0,"TPI","exact time"))=TRUE,_xll.PIArcVal(E$5,$C37, 0,"TPI","exact time"),"")</f>
        <v>0.47</v>
      </c>
      <c r="F37" s="9" t="str">
        <f>IF(ISNUMBER(_xll.PIArcVal(E$5,$D37, 0,"TPI","exact time"))=TRUE, _xll.PIArcVal(E$5,$D37, 0,"TPI","exact time"), "")</f>
        <v/>
      </c>
      <c r="G37" s="29">
        <f>IF(ISNUMBER(_xll.PIArcVal(G$5,$C37, 0,"TPI","exact time"))=TRUE,_xll.PIArcVal(G$5,$C37, 0,"TPI","exact time"),"")</f>
        <v>3.4000000000000002E-2</v>
      </c>
      <c r="H37" s="9" t="str">
        <f>IF(ISNUMBER(_xll.PIArcVal(G$5,$D37, 0,"TPI","exact time"))=TRUE, _xll.PIArcVal(G$5,$D37, 0,"TPI","exact time"), "")</f>
        <v/>
      </c>
      <c r="I37" s="29">
        <f>IF(ISNUMBER(_xll.PIArcVal(I$5,$C37, 0,"TPI","exact time"))=TRUE,_xll.PIArcVal(I$5,$C37, 0,"TPI","exact time"),"")</f>
        <v>1.8620000000000001</v>
      </c>
      <c r="J37" s="9" t="str">
        <f>IF(ISNUMBER(_xll.PIArcVal(I$5,$D37, 0,"TPI","exact time"))=TRUE, _xll.PIArcVal(I$5,$D37, 0,"TPI","exact time"), "")</f>
        <v/>
      </c>
      <c r="K37" s="29">
        <f>IF(ISNUMBER(_xll.PIArcVal(K$5,$C37, 0,"TPI","exact time"))=TRUE,_xll.PIArcVal(K$5,$C37, 0,"TPI","exact time"),"")</f>
        <v>7.0000000000000001E-3</v>
      </c>
      <c r="L37" s="9" t="str">
        <f>IF(ISNUMBER(_xll.PIArcVal(K$5,$D37, 0,"TPI","exact time"))=TRUE, _xll.PIArcVal(K$5,$D37, 0,"TPI","exact time"), "")</f>
        <v/>
      </c>
      <c r="M37" s="29" t="str">
        <f>IF(ISNUMBER(_xll.PIArcVal(M$5,$C37, 0,"TPI","exact time"))=TRUE,_xll.PIArcVal(M$5,$C37, 0,"TPI","exact time"),"")</f>
        <v/>
      </c>
      <c r="N37" s="9" t="str">
        <f>IF(ISNUMBER(_xll.PIArcVal(M$5,$D37, 0,"TPI","exact time"))=TRUE, _xll.PIArcVal(M$5,$D37, 0,"TPI","exact time"), "")</f>
        <v/>
      </c>
      <c r="O37" s="29">
        <f>IF(ISNUMBER(_xll.PIArcVal(O$5,$C37, 0,"TPI","exact time"))=TRUE,_xll.PIArcVal(O$5,$C37, 0,"TPI","exact time"),"")</f>
        <v>5.8000000000000003E-2</v>
      </c>
      <c r="P37" s="9" t="str">
        <f>IF(ISNUMBER(_xll.PIArcVal(O$5,$D37, 0,"TPI","exact time"))=TRUE, _xll.PIArcVal(O$5,$D37, 0,"TPI","exact time"), "")</f>
        <v/>
      </c>
      <c r="Q37" s="29">
        <f>IF(ISNUMBER(_xll.PIArcVal(Q$5,$C37, 0,"TPI","exact time"))=TRUE,_xll.PIArcVal(Q$5,$C37, 0,"TPI","exact time"),"")</f>
        <v>7.0000000000000001E-3</v>
      </c>
      <c r="R37" s="9" t="str">
        <f>IF(ISNUMBER(_xll.PIArcVal(Q$5,$D37, 0,"TPI","exact time"))=TRUE, _xll.PIArcVal(Q$5,$D37, 0,"TPI","exact time"), "")</f>
        <v/>
      </c>
      <c r="S37" s="29">
        <f>IF(ISNUMBER(_xll.PIArcVal(S$5,$C37, 0,"TPI","exact time"))=TRUE,_xll.PIArcVal(S$5,$C37, 0,"TPI","exact time"),"")</f>
        <v>1.3420000000000001</v>
      </c>
      <c r="T37" s="9" t="str">
        <f>IF(ISNUMBER(_xll.PIArcVal(S$5,$D37, 0,"TPI","exact time"))=TRUE, _xll.PIArcVal(S$5,$D37, 0,"TPI","exact time"), "")</f>
        <v/>
      </c>
      <c r="U37" s="29">
        <f>IF(ISNUMBER(_xll.PIArcVal(U$5,$C37, 0,"TPI","exact time"))=TRUE,_xll.PIArcVal(U$5,$C37, 0,"TPI","exact time"),"")</f>
        <v>23.077999999999999</v>
      </c>
      <c r="V37" s="9" t="str">
        <f>IF(ISNUMBER(_xll.PIArcVal(U$5,$D37, 0,"TPI","exact time"))=TRUE, _xll.PIArcVal(U$5,$D37, 0,"TPI","exact time"), "")</f>
        <v/>
      </c>
      <c r="W37" s="29">
        <f>IF(ISNUMBER(_xll.PIArcVal(W$5,$C37, 0,"TPI","exact time"))=TRUE,_xll.PIArcVal(W$5,$C37, 0,"TPI","exact time"),"")</f>
        <v>1.899</v>
      </c>
      <c r="X37" s="9" t="str">
        <f>IF(ISNUMBER(_xll.PIArcVal(W$5,$D37, 0,"TPI","exact time"))=TRUE, _xll.PIArcVal(W$5,$D37, 0,"TPI","exact time"), "")</f>
        <v/>
      </c>
      <c r="Y37" s="29">
        <f>IF(ISNUMBER(_xll.PIArcVal(Y$5,$C37, 0,"TPI","exact time"))=TRUE,_xll.PIArcVal(Y$5,$C37, 0,"TPI","exact time"),"")</f>
        <v>29.47</v>
      </c>
      <c r="Z37" s="9" t="str">
        <f>IF(ISNUMBER(_xll.PIArcVal(Y$5,$D37, 0,"TPI","exact time"))=TRUE, _xll.PIArcVal(Y$5,$D37, 0,"TPI","exact time"), "")</f>
        <v/>
      </c>
    </row>
    <row r="38" spans="1:26" x14ac:dyDescent="0.2">
      <c r="B38" s="7"/>
      <c r="C38" s="7"/>
      <c r="D38" s="7"/>
    </row>
    <row r="39" spans="1:26" x14ac:dyDescent="0.2">
      <c r="B39" s="7"/>
      <c r="C39" s="7"/>
      <c r="D39" s="7"/>
    </row>
    <row r="40" spans="1:26" x14ac:dyDescent="0.2">
      <c r="B40" s="12"/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x14ac:dyDescent="0.2">
      <c r="B41" s="7"/>
      <c r="C41" s="7"/>
      <c r="D41" s="7"/>
    </row>
  </sheetData>
  <pageMargins left="0.75" right="0.75" top="1" bottom="1" header="0.5" footer="0.5"/>
  <pageSetup scale="64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6B7F-B891-41C5-85A4-E1513E0AA242}">
  <sheetPr codeName="Sheet25"/>
  <dimension ref="B2:BX173"/>
  <sheetViews>
    <sheetView zoomScale="80" zoomScaleNormal="80" workbookViewId="0">
      <selection activeCell="AI50" sqref="AI50"/>
    </sheetView>
  </sheetViews>
  <sheetFormatPr defaultRowHeight="12.75" x14ac:dyDescent="0.2"/>
  <cols>
    <col min="1" max="1" width="3.140625" customWidth="1"/>
    <col min="2" max="2" width="17.7109375" customWidth="1"/>
    <col min="3" max="5" width="13" bestFit="1" customWidth="1"/>
    <col min="9" max="9" width="13" bestFit="1" customWidth="1"/>
    <col min="11" max="12" width="13" bestFit="1" customWidth="1"/>
    <col min="21" max="21" width="13" bestFit="1" customWidth="1"/>
    <col min="32" max="33" width="13" bestFit="1" customWidth="1"/>
    <col min="35" max="36" width="13" bestFit="1" customWidth="1"/>
    <col min="40" max="40" width="18" customWidth="1"/>
    <col min="41" max="43" width="13" bestFit="1" customWidth="1"/>
    <col min="47" max="47" width="13" bestFit="1" customWidth="1"/>
    <col min="49" max="49" width="13" bestFit="1" customWidth="1"/>
    <col min="50" max="50" width="12" bestFit="1" customWidth="1"/>
    <col min="52" max="52" width="9.140625" customWidth="1"/>
    <col min="59" max="59" width="13" bestFit="1" customWidth="1"/>
    <col min="69" max="71" width="13" bestFit="1" customWidth="1"/>
    <col min="73" max="74" width="13" bestFit="1" customWidth="1"/>
  </cols>
  <sheetData>
    <row r="2" spans="2:76" x14ac:dyDescent="0.2">
      <c r="B2" s="235" t="s">
        <v>10</v>
      </c>
      <c r="C2" s="424" t="s">
        <v>9</v>
      </c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4" t="s">
        <v>4</v>
      </c>
      <c r="P2" s="420"/>
      <c r="Q2" s="420"/>
      <c r="R2" s="420"/>
      <c r="S2" s="420"/>
      <c r="T2" s="420"/>
      <c r="U2" s="420"/>
      <c r="V2" s="420"/>
      <c r="W2" s="420"/>
      <c r="X2" s="420"/>
      <c r="Y2" s="420"/>
      <c r="Z2" s="420"/>
      <c r="AA2" s="424" t="s">
        <v>5</v>
      </c>
      <c r="AB2" s="420"/>
      <c r="AC2" s="420"/>
      <c r="AD2" s="420"/>
      <c r="AE2" s="420"/>
      <c r="AF2" s="420"/>
      <c r="AG2" s="420"/>
      <c r="AH2" s="420"/>
      <c r="AI2" s="420"/>
      <c r="AJ2" s="420"/>
      <c r="AK2" s="420"/>
      <c r="AL2" s="420"/>
      <c r="AN2" t="s">
        <v>11</v>
      </c>
      <c r="AO2" s="420" t="s">
        <v>9</v>
      </c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 t="s">
        <v>4</v>
      </c>
      <c r="BB2" s="420"/>
      <c r="BC2" s="420"/>
      <c r="BD2" s="420"/>
      <c r="BE2" s="420"/>
      <c r="BF2" s="420"/>
      <c r="BG2" s="420"/>
      <c r="BH2" s="420"/>
      <c r="BI2" s="420"/>
      <c r="BJ2" s="420"/>
      <c r="BK2" s="420"/>
      <c r="BL2" s="420"/>
      <c r="BM2" s="420" t="s">
        <v>5</v>
      </c>
      <c r="BN2" s="420"/>
      <c r="BO2" s="420"/>
      <c r="BP2" s="420"/>
      <c r="BQ2" s="420"/>
      <c r="BR2" s="420"/>
      <c r="BS2" s="420"/>
      <c r="BT2" s="420"/>
      <c r="BU2" s="420"/>
      <c r="BV2" s="420"/>
      <c r="BW2" s="420"/>
      <c r="BX2" s="420"/>
    </row>
    <row r="3" spans="2:76" x14ac:dyDescent="0.2">
      <c r="C3" s="421" t="s">
        <v>1</v>
      </c>
      <c r="D3" s="422"/>
      <c r="E3" s="422"/>
      <c r="F3" s="423"/>
      <c r="G3" s="424" t="s">
        <v>2</v>
      </c>
      <c r="H3" s="420"/>
      <c r="I3" s="420"/>
      <c r="J3" s="420"/>
      <c r="K3" s="424" t="s">
        <v>3</v>
      </c>
      <c r="L3" s="420"/>
      <c r="M3" s="420"/>
      <c r="N3" s="420"/>
      <c r="O3" s="424" t="s">
        <v>1</v>
      </c>
      <c r="P3" s="420"/>
      <c r="Q3" s="420"/>
      <c r="R3" s="420"/>
      <c r="S3" s="424" t="s">
        <v>2</v>
      </c>
      <c r="T3" s="420"/>
      <c r="U3" s="420"/>
      <c r="V3" s="420"/>
      <c r="W3" s="424" t="s">
        <v>3</v>
      </c>
      <c r="X3" s="420"/>
      <c r="Y3" s="420"/>
      <c r="Z3" s="420"/>
      <c r="AA3" s="424" t="s">
        <v>1</v>
      </c>
      <c r="AB3" s="420"/>
      <c r="AC3" s="420"/>
      <c r="AD3" s="420"/>
      <c r="AE3" s="424" t="s">
        <v>2</v>
      </c>
      <c r="AF3" s="420"/>
      <c r="AG3" s="420"/>
      <c r="AH3" s="420"/>
      <c r="AI3" s="424" t="s">
        <v>3</v>
      </c>
      <c r="AJ3" s="420"/>
      <c r="AK3" s="420"/>
      <c r="AL3" s="420"/>
      <c r="AO3" s="420" t="s">
        <v>1</v>
      </c>
      <c r="AP3" s="420"/>
      <c r="AQ3" s="420"/>
      <c r="AR3" s="420"/>
      <c r="AS3" s="420" t="s">
        <v>2</v>
      </c>
      <c r="AT3" s="420"/>
      <c r="AU3" s="420"/>
      <c r="AV3" s="420"/>
      <c r="AW3" s="420" t="s">
        <v>3</v>
      </c>
      <c r="AX3" s="420"/>
      <c r="AY3" s="420"/>
      <c r="AZ3" s="420"/>
      <c r="BA3" s="420" t="s">
        <v>1</v>
      </c>
      <c r="BB3" s="420"/>
      <c r="BC3" s="420"/>
      <c r="BD3" s="420"/>
      <c r="BE3" s="420" t="s">
        <v>2</v>
      </c>
      <c r="BF3" s="420"/>
      <c r="BG3" s="420"/>
      <c r="BH3" s="420"/>
      <c r="BI3" s="420" t="s">
        <v>3</v>
      </c>
      <c r="BJ3" s="420"/>
      <c r="BK3" s="420"/>
      <c r="BL3" s="420"/>
      <c r="BM3" s="420" t="s">
        <v>1</v>
      </c>
      <c r="BN3" s="420"/>
      <c r="BO3" s="420"/>
      <c r="BP3" s="420"/>
      <c r="BQ3" s="420" t="s">
        <v>2</v>
      </c>
      <c r="BR3" s="420"/>
      <c r="BS3" s="420"/>
      <c r="BT3" s="420"/>
      <c r="BU3" s="420" t="s">
        <v>3</v>
      </c>
      <c r="BV3" s="420"/>
      <c r="BW3" s="420"/>
      <c r="BX3" s="420"/>
    </row>
    <row r="4" spans="2:76" x14ac:dyDescent="0.2">
      <c r="C4" s="330" t="s">
        <v>12</v>
      </c>
      <c r="D4" s="330" t="s">
        <v>8</v>
      </c>
      <c r="E4" s="330" t="s">
        <v>264</v>
      </c>
      <c r="F4" s="330" t="s">
        <v>263</v>
      </c>
      <c r="G4" s="330" t="s">
        <v>12</v>
      </c>
      <c r="H4" s="330" t="s">
        <v>8</v>
      </c>
      <c r="I4" s="330" t="s">
        <v>264</v>
      </c>
      <c r="J4" s="330" t="s">
        <v>263</v>
      </c>
      <c r="K4" s="330" t="s">
        <v>12</v>
      </c>
      <c r="L4" s="330" t="s">
        <v>8</v>
      </c>
      <c r="M4" s="330" t="s">
        <v>264</v>
      </c>
      <c r="N4" s="330" t="s">
        <v>263</v>
      </c>
      <c r="O4" s="330" t="s">
        <v>12</v>
      </c>
      <c r="P4" s="330" t="s">
        <v>8</v>
      </c>
      <c r="Q4" s="330" t="s">
        <v>264</v>
      </c>
      <c r="R4" s="330" t="s">
        <v>263</v>
      </c>
      <c r="S4" s="330" t="s">
        <v>12</v>
      </c>
      <c r="T4" s="330" t="s">
        <v>8</v>
      </c>
      <c r="U4" s="330" t="s">
        <v>264</v>
      </c>
      <c r="V4" s="330" t="s">
        <v>263</v>
      </c>
      <c r="W4" s="330" t="s">
        <v>12</v>
      </c>
      <c r="X4" s="330" t="s">
        <v>8</v>
      </c>
      <c r="Y4" s="330" t="s">
        <v>264</v>
      </c>
      <c r="Z4" s="330" t="s">
        <v>263</v>
      </c>
      <c r="AA4" s="330" t="s">
        <v>12</v>
      </c>
      <c r="AB4" s="330" t="s">
        <v>8</v>
      </c>
      <c r="AC4" s="330" t="s">
        <v>264</v>
      </c>
      <c r="AD4" s="330" t="s">
        <v>263</v>
      </c>
      <c r="AE4" s="330" t="s">
        <v>12</v>
      </c>
      <c r="AF4" s="330" t="s">
        <v>8</v>
      </c>
      <c r="AG4" s="330" t="s">
        <v>264</v>
      </c>
      <c r="AH4" s="330" t="s">
        <v>263</v>
      </c>
      <c r="AI4" s="330" t="s">
        <v>12</v>
      </c>
      <c r="AJ4" s="330" t="s">
        <v>8</v>
      </c>
      <c r="AK4" s="330" t="s">
        <v>264</v>
      </c>
      <c r="AL4" s="330" t="s">
        <v>263</v>
      </c>
      <c r="AO4" s="328" t="s">
        <v>12</v>
      </c>
      <c r="AP4" s="328" t="s">
        <v>8</v>
      </c>
      <c r="AQ4" s="328" t="s">
        <v>264</v>
      </c>
      <c r="AR4" s="329" t="s">
        <v>263</v>
      </c>
      <c r="AS4" s="328" t="s">
        <v>12</v>
      </c>
      <c r="AT4" s="328" t="s">
        <v>8</v>
      </c>
      <c r="AU4" s="328" t="s">
        <v>264</v>
      </c>
      <c r="AV4" s="328" t="s">
        <v>263</v>
      </c>
      <c r="AW4" s="328" t="s">
        <v>12</v>
      </c>
      <c r="AX4" s="328" t="s">
        <v>8</v>
      </c>
      <c r="AY4" s="328" t="s">
        <v>264</v>
      </c>
      <c r="AZ4" s="328" t="s">
        <v>263</v>
      </c>
      <c r="BA4" s="328" t="s">
        <v>12</v>
      </c>
      <c r="BB4" s="328" t="s">
        <v>8</v>
      </c>
      <c r="BC4" s="328" t="s">
        <v>264</v>
      </c>
      <c r="BD4" s="328" t="s">
        <v>263</v>
      </c>
      <c r="BE4" s="328" t="s">
        <v>12</v>
      </c>
      <c r="BF4" s="328" t="s">
        <v>8</v>
      </c>
      <c r="BG4" s="328" t="s">
        <v>264</v>
      </c>
      <c r="BH4" s="328" t="s">
        <v>263</v>
      </c>
      <c r="BI4" s="328" t="s">
        <v>12</v>
      </c>
      <c r="BJ4" s="328" t="s">
        <v>8</v>
      </c>
      <c r="BK4" s="328" t="s">
        <v>264</v>
      </c>
      <c r="BL4" s="328" t="s">
        <v>263</v>
      </c>
      <c r="BM4" s="328" t="s">
        <v>12</v>
      </c>
      <c r="BN4" s="328" t="s">
        <v>8</v>
      </c>
      <c r="BO4" s="328" t="s">
        <v>264</v>
      </c>
      <c r="BP4" s="328" t="s">
        <v>263</v>
      </c>
      <c r="BQ4" s="328" t="s">
        <v>12</v>
      </c>
      <c r="BR4" s="328" t="s">
        <v>8</v>
      </c>
      <c r="BS4" s="328" t="s">
        <v>264</v>
      </c>
      <c r="BT4" s="328" t="s">
        <v>263</v>
      </c>
      <c r="BU4" s="328" t="s">
        <v>12</v>
      </c>
      <c r="BV4" s="328" t="s">
        <v>8</v>
      </c>
      <c r="BW4" s="328" t="s">
        <v>264</v>
      </c>
      <c r="BX4" s="328" t="s">
        <v>263</v>
      </c>
    </row>
    <row r="5" spans="2:76" x14ac:dyDescent="0.2">
      <c r="C5" s="320">
        <f>IF(AND(ISNUMBER(Laboratorio!E7),ISNUMBER(Courier!E15)),Laboratorio!E7,"")</f>
        <v>0.60799999999999998</v>
      </c>
      <c r="D5" s="157">
        <f>IF(AND(ISNUMBER(Laboratorio!E7),ISNUMBER(Courier!E15)),Courier!E15,"")</f>
        <v>0.46027767658233643</v>
      </c>
      <c r="E5" s="157">
        <f t="shared" ref="E5:E23" si="0">IF(ISNUMBER(C5-D5),IF(D5&lt;0.2,"",C5-D5)," ")</f>
        <v>0.14772232341766356</v>
      </c>
      <c r="F5" s="321">
        <f t="shared" ref="F5:F23" si="1">IF(ISNUMBER(ABS(E5)/C5*100),ABS(E5)/C5*100," ")</f>
        <v>24.296434772642034</v>
      </c>
      <c r="G5" s="320">
        <f>IF(AND(ISNUMBER(Laboratorio!G7),ISNUMBER(Courier!G15)),Laboratorio!G7," ")</f>
        <v>5.0999999999999997E-2</v>
      </c>
      <c r="H5" s="157">
        <f>IF(AND(ISNUMBER(Laboratorio!G7),ISNUMBER(Courier!G15)),Courier!G15," ")</f>
        <v>3.4962505102157593E-2</v>
      </c>
      <c r="I5" s="157">
        <f t="shared" ref="I5:I23" si="2">IF(ISNUMBER(G5-H5),IF(H5&lt;0.004,"",G5-H5)," ")</f>
        <v>1.6037494897842404E-2</v>
      </c>
      <c r="J5" s="321">
        <f t="shared" ref="J5:J23" si="3">IF(ISNUMBER(ABS(I5)/G5*100),ABS(I5)/G5*100," ")</f>
        <v>31.44606842714197</v>
      </c>
      <c r="K5" s="157">
        <f>IF(AND(ISNUMBER(Laboratorio!I7),ISNUMBER(Courier!I15)),Laboratorio!I7," ")</f>
        <v>1.9990000000000001</v>
      </c>
      <c r="L5" s="157">
        <f>IF(AND(ISNUMBER(Laboratorio!I7),ISNUMBER(Courier!I15)),Courier!I15," ")</f>
        <v>1.5964376926422119</v>
      </c>
      <c r="M5" s="157">
        <f t="shared" ref="M5:M23" si="4">IF(ISNUMBER(K5-L5),IF(L5&lt;1,"",K5-L5)," ")</f>
        <v>0.4025623073577882</v>
      </c>
      <c r="N5" s="321">
        <f t="shared" ref="N5:N23" si="5">IF(ISNUMBER(ABS(M5)/K5*100),ABS(M5)/K5*100," ")</f>
        <v>20.138184460119469</v>
      </c>
      <c r="O5" s="320">
        <f>IF(AND(ISNUMBER(Laboratorio!O7),ISNUMBER(Courier!O15)),Laboratorio!O7," ")</f>
        <v>4.4999999999999998E-2</v>
      </c>
      <c r="P5" s="156">
        <f>IF(AND(ISNUMBER(Laboratorio!O7),ISNUMBER(Courier!O15)),Courier!O15," ")</f>
        <v>4.5330308377742767E-2</v>
      </c>
      <c r="Q5" s="157">
        <f t="shared" ref="Q5:Q23" si="6">IF(ISNUMBER(O5-P5),IF(P5&lt;0.02,"",O5-P5)," ")</f>
        <v>-3.30308377742769E-4</v>
      </c>
      <c r="R5" s="321">
        <f t="shared" ref="R5:R23" si="7">IF(ISNUMBER(ABS(Q5)/O5*100),ABS(Q5)/O5*100," ")</f>
        <v>0.73401861720615336</v>
      </c>
      <c r="S5" s="156">
        <f>IF(AND(ISNUMBER(Laboratorio!Q7),ISNUMBER(Courier!Q15)),Laboratorio!Q7," ")</f>
        <v>7.0000000000000001E-3</v>
      </c>
      <c r="T5" s="157">
        <v>8.9899805607274175E-4</v>
      </c>
      <c r="U5" s="157" t="str">
        <f t="shared" ref="U5:U23" si="8">IF(ISNUMBER(S5-T5),IF(T5&lt;0.001,"",S5-T5)," ")</f>
        <v/>
      </c>
      <c r="V5" s="157" t="str">
        <f t="shared" ref="V5:V23" si="9">IF(ISNUMBER(ABS(U5)/S5*100),ABS(U5)/S5*100," ")</f>
        <v xml:space="preserve"> </v>
      </c>
      <c r="W5" s="320">
        <f>IF(AND(ISNUMBER(Laboratorio!S7),ISNUMBER(Courier!S15)),Laboratorio!S7,"")</f>
        <v>1.4379999999999999</v>
      </c>
      <c r="X5" s="157">
        <f>IF(AND(ISNUMBER(Laboratorio!S7),ISNUMBER(Courier!S15)),Courier!S15,"")</f>
        <v>1.1579176187515259</v>
      </c>
      <c r="Y5" s="157">
        <f t="shared" ref="Y5:Y23" si="10">IF(ISNUMBER(W5-X5),IF(X5&lt;0.9,"",W5-X5)," ")</f>
        <v>0.28008238124847407</v>
      </c>
      <c r="Z5" s="157">
        <f t="shared" ref="Z5:Z23" si="11">IF(ISNUMBER(ABS(Y5)/W5*100),ABS(Y5)/W5*100," ")</f>
        <v>19.4772170548313</v>
      </c>
      <c r="AA5" s="320">
        <f>IF(AND(ISNUMBER(Laboratorio!U7),ISNUMBER(Courier!W15)),Laboratorio!U7," ")</f>
        <v>26.169</v>
      </c>
      <c r="AB5" s="157">
        <f>IF(AND(ISNUMBER(Laboratorio!U7),ISNUMBER(Courier!W15)),Courier!W15," ")</f>
        <v>21.580696105957031</v>
      </c>
      <c r="AC5" s="157">
        <f t="shared" ref="AC5:AC23" si="12">IF(ISNUMBER(AA5-AB5),IF(AB5&lt;18,"",AA5-AB5)," ")</f>
        <v>4.5883038940429692</v>
      </c>
      <c r="AD5" s="321">
        <f t="shared" ref="AD5:AD23" si="13">IF(ISNUMBER(ABS(AC5)/AA5*100),ABS(AC5)/AA5*100," ")</f>
        <v>17.533355856329891</v>
      </c>
      <c r="AE5" s="157">
        <f>IF(AND(ISNUMBER(Laboratorio!W7),ISNUMBER(Courier!Y15)),Laboratorio!W7," ")</f>
        <v>1.706</v>
      </c>
      <c r="AF5" s="157">
        <f>IF(AND(ISNUMBER(Laboratorio!W7),ISNUMBER(Courier!Y15)),Courier!Y15," ")</f>
        <v>1.0875203609466553</v>
      </c>
      <c r="AG5" s="157">
        <f t="shared" ref="AG5:AG23" si="14">IF(ISNUMBER(AE5-AF5),IF(AF5&lt;0.3,"",AE5-AF5)," ")</f>
        <v>0.61847963905334469</v>
      </c>
      <c r="AH5" s="321">
        <f t="shared" ref="AH5:AH23" si="15">IF(ISNUMBER(ABS(AG5)/AE5*100),ABS(AG5)/AE5*100," ")</f>
        <v>36.253202758109303</v>
      </c>
      <c r="AI5" s="157">
        <f>IF(AND(ISNUMBER(Laboratorio!Y7),ISNUMBER(Courier!AA15)),Laboratorio!Y7," ")</f>
        <v>28.31</v>
      </c>
      <c r="AJ5" s="325">
        <f>IF(AND(ISNUMBER(Laboratorio!Y7),ISNUMBER(Courier!AA15)),Courier!AA15," ")</f>
        <v>25.751577377319336</v>
      </c>
      <c r="AK5" s="325">
        <f t="shared" ref="AK5:AK23" si="16">IF(ISNUMBER(AI5-AJ5),IF(AJ5&lt;22,"",AI5-AJ5)," ")</f>
        <v>2.5584226226806628</v>
      </c>
      <c r="AL5" s="327">
        <f t="shared" ref="AL5:AL23" si="17">IF(ISNUMBER(ABS(AK5)/AI5*100),ABS(AK5)/AI5*100," ")</f>
        <v>9.0371692782785686</v>
      </c>
      <c r="AM5" s="314"/>
      <c r="AN5" s="331"/>
      <c r="AO5" s="326">
        <f>IF(AND(ISNUMBER(Laboratorio!F7),ISNUMBER(Courier!F15)),Laboratorio!F7," ")</f>
        <v>0.44500000000000001</v>
      </c>
      <c r="AP5" s="325">
        <f>IF(AND(ISNUMBER(Laboratorio!F7),ISNUMBER(Courier!F15)),Courier!F15," ")</f>
        <v>0.46027767658233643</v>
      </c>
      <c r="AQ5" s="324">
        <f t="shared" ref="AQ5:AQ35" si="18">IF(ISNUMBER(AO5-AP5),IF(AP5&lt;0.2,"",AO5-AP5)," ")</f>
        <v>-1.5277676582336419E-2</v>
      </c>
      <c r="AR5" s="323">
        <f t="shared" ref="AR5:AR35" si="19">IF(ISNUMBER(ABS(AQ5)/AO5*100),ABS(AQ5)/AO5*100," ")</f>
        <v>3.4331857488396449</v>
      </c>
      <c r="AS5" s="84">
        <f>IF(AND(ISNUMBER(Laboratorio!H7),ISNUMBER(Courier!H15)),Laboratorio!H7," ")</f>
        <v>4.2999999999999997E-2</v>
      </c>
      <c r="AT5" s="84">
        <f>IF(AND(ISNUMBER(Laboratorio!H7),ISNUMBER(Courier!H15)),Courier!H15," ")</f>
        <v>3.4962505102157593E-2</v>
      </c>
      <c r="AU5" s="84">
        <f t="shared" ref="AU5:AU35" si="20">IF(ISNUMBER(AS5-AT5),IF(AT5&lt;0.004,"",AS5-AT5)," ")</f>
        <v>8.0374948978424038E-3</v>
      </c>
      <c r="AV5" s="323">
        <f t="shared" ref="AV5:AV35" si="21">IF(ISNUMBER(ABS(AU5)/AS5*100),ABS(AU5)/AS5*100," ")</f>
        <v>18.691848599633499</v>
      </c>
      <c r="AW5" s="84">
        <f>IF(AND(ISNUMBER(Laboratorio!J7),ISNUMBER(Courier!J15)),Laboratorio!J7," ")</f>
        <v>2.149</v>
      </c>
      <c r="AX5" s="84">
        <f>IF(AND(ISNUMBER(Laboratorio!J7),ISNUMBER(Courier!J15)),Courier!J15," ")</f>
        <v>1.5964376926422119</v>
      </c>
      <c r="AY5" s="84">
        <f t="shared" ref="AY5:AY35" si="22">IF(ISNUMBER(AW5-AX5),IF(AX5&lt;1,"",AW5-AX5)," ")</f>
        <v>0.55256230735778811</v>
      </c>
      <c r="AZ5" s="323">
        <f t="shared" ref="AZ5:AZ35" si="23">IF(ISNUMBER(ABS(AY5)/AW5*100),ABS(AY5)/AW5*100," ")</f>
        <v>25.712531752340066</v>
      </c>
      <c r="BA5" s="84">
        <f>IF(AND(ISNUMBER(Laboratorio!P7),ISNUMBER(Courier!P15)),Laboratorio!P7," ")</f>
        <v>4.2999999999999997E-2</v>
      </c>
      <c r="BB5" s="84">
        <f>IF(AND(ISNUMBER(Laboratorio!P7),ISNUMBER(Courier!P15)),Courier!P15," ")</f>
        <v>4.9011528491973877E-2</v>
      </c>
      <c r="BC5" s="84">
        <f t="shared" ref="BC5:BC35" si="24">IF(ISNUMBER(BA5-BB5),IF(BB5&lt;0.02,"",BA5-BB5)," ")</f>
        <v>-6.0115284919738804E-3</v>
      </c>
      <c r="BD5" s="323">
        <f t="shared" ref="BD5:BD35" si="25">IF(ISNUMBER(ABS(BC5)/BA5*100),ABS(BC5)/BA5*100," ")</f>
        <v>13.980298818543909</v>
      </c>
      <c r="BE5" s="84">
        <f>IF(AND(ISNUMBER(Laboratorio!R7),ISNUMBER(Courier!R15)),Laboratorio!R7," ")</f>
        <v>6.0000000000000001E-3</v>
      </c>
      <c r="BF5" s="84">
        <f>IF(AND(ISNUMBER(Laboratorio!R7),ISNUMBER(Courier!R15)),Courier!R15," ")</f>
        <v>6.8858852609992027E-3</v>
      </c>
      <c r="BG5" s="84">
        <f t="shared" ref="BG5:BG35" si="26">IF(ISNUMBER(BE5-BF5),IF(BF5&lt;0.001,"",BE5-BF5)," ")</f>
        <v>-8.858852609992026E-4</v>
      </c>
      <c r="BH5" s="323">
        <f t="shared" ref="BH5:BH35" si="27">IF(ISNUMBER(ABS(BG5)/BE5*100),ABS(BG5)/BE5*100," ")</f>
        <v>14.764754349986708</v>
      </c>
      <c r="BI5" s="84">
        <f>IF(AND(ISNUMBER(Laboratorio!T7),ISNUMBER(Courier!T15)),Laboratorio!T7," ")</f>
        <v>1.8149999999999999</v>
      </c>
      <c r="BJ5" s="84">
        <f>IF(AND(ISNUMBER(Laboratorio!T7),ISNUMBER(Courier!T15)),Courier!T15," ")</f>
        <v>1.4105159044265747</v>
      </c>
      <c r="BK5" s="84">
        <f t="shared" ref="BK5:BK35" si="28">IF(ISNUMBER(BI5-BJ5),IF(BJ5&lt;0.9,"",BI5-BJ5)," ")</f>
        <v>0.40448409557342524</v>
      </c>
      <c r="BL5" s="84">
        <f t="shared" ref="BL5:BL35" si="29">IF(ISNUMBER(ABS(BK5)/BI5*100),ABS(BK5)/BI5*100," ")</f>
        <v>22.285625100464202</v>
      </c>
      <c r="BM5" s="318">
        <f>IF(AND(ISNUMBER(Laboratorio!V7),ISNUMBER(Courier!X15)),Laboratorio!V7," ")</f>
        <v>21.931999999999999</v>
      </c>
      <c r="BN5">
        <f>IF(AND(ISNUMBER(Laboratorio!V7),ISNUMBER(Courier!X15)),Courier!X15," ")</f>
        <v>23.905122756958008</v>
      </c>
      <c r="BO5">
        <f t="shared" ref="BO5:BO35" si="30">IF(ISNUMBER(BM5-BN5),IF(BN5&lt;18,"",BM5-BN5)," ")</f>
        <v>-1.9731227569580092</v>
      </c>
      <c r="BP5" s="322">
        <f t="shared" ref="BP5:BP35" si="31">IF(ISNUMBER(ABS(BO5)/BM5*100),ABS(BO5)/BM5*100," ")</f>
        <v>8.9965473142349506</v>
      </c>
      <c r="BQ5">
        <f>IF(AND(ISNUMBER(Laboratorio!X7),ISNUMBER(Courier!Z15)),Laboratorio!X7," ")</f>
        <v>1.631</v>
      </c>
      <c r="BR5">
        <f>IF(AND(ISNUMBER(Laboratorio!X7),ISNUMBER(Courier!Z15)),Courier!Z15," ")</f>
        <v>1.8896942138671875</v>
      </c>
      <c r="BS5">
        <f t="shared" ref="BS5:BS35" si="32">IF(ISNUMBER(BQ5-BR5),IF(BR5&lt;0.3,"",BQ5-BR5)," ")</f>
        <v>-0.25869421386718749</v>
      </c>
      <c r="BT5" s="322">
        <f t="shared" ref="BT5:BT35" si="33">IF(ISNUMBER(ABS(BS5)/BQ5*100),ABS(BS5)/BQ5*100," ")</f>
        <v>15.861079942807327</v>
      </c>
      <c r="BU5">
        <f>IF(AND(ISNUMBER(Laboratorio!Z7),ISNUMBER(Courier!AB15)),Laboratorio!Z7," ")</f>
        <v>27.82</v>
      </c>
      <c r="BV5">
        <f>IF(AND(ISNUMBER(Laboratorio!Z7),ISNUMBER(Courier!AB15)),Courier!AB15," ")</f>
        <v>29.464408874511719</v>
      </c>
      <c r="BW5">
        <f t="shared" ref="BW5:BW35" si="34">IF(ISNUMBER(BU5-BV5),IF(BV5&lt;22,"",BU5-BV5)," ")</f>
        <v>-1.6444088745117185</v>
      </c>
      <c r="BX5" s="322">
        <f t="shared" ref="BX5:BX35" si="35">IF(ISNUMBER(ABS(BW5)/BU5*100),ABS(BW5)/BU5*100," ")</f>
        <v>5.9108873993951061</v>
      </c>
    </row>
    <row r="6" spans="2:76" x14ac:dyDescent="0.2">
      <c r="C6" s="320">
        <f>IF(AND(ISNUMBER(Laboratorio!E8),ISNUMBER(Courier!E16)),Laboratorio!E8,"")</f>
        <v>0.50600000000000001</v>
      </c>
      <c r="D6" s="157">
        <f>IF(AND(ISNUMBER(Laboratorio!E8),ISNUMBER(Courier!E16)),Courier!E16,"")</f>
        <v>0.35865437984466553</v>
      </c>
      <c r="E6" s="157">
        <f t="shared" si="0"/>
        <v>0.14734562015533448</v>
      </c>
      <c r="F6" s="321">
        <f t="shared" si="1"/>
        <v>29.119687777734089</v>
      </c>
      <c r="G6" s="320">
        <f>IF(AND(ISNUMBER(Laboratorio!G8),ISNUMBER(Courier!G16)),Laboratorio!G8," ")</f>
        <v>0.06</v>
      </c>
      <c r="H6" s="157">
        <f>IF(AND(ISNUMBER(Laboratorio!G8),ISNUMBER(Courier!G16)),Courier!G16," ")</f>
        <v>6.1913244426250458E-2</v>
      </c>
      <c r="I6" s="157">
        <f t="shared" si="2"/>
        <v>-1.91324442625046E-3</v>
      </c>
      <c r="J6" s="321">
        <f t="shared" si="3"/>
        <v>3.1887407104174335</v>
      </c>
      <c r="K6" s="157">
        <f>IF(AND(ISNUMBER(Laboratorio!I8),ISNUMBER(Courier!I16)),Laboratorio!I8," ")</f>
        <v>2.1850000000000001</v>
      </c>
      <c r="L6" s="157">
        <f>IF(AND(ISNUMBER(Laboratorio!I8),ISNUMBER(Courier!I16)),Courier!I16," ")</f>
        <v>1.9872089624404907</v>
      </c>
      <c r="M6" s="157">
        <f t="shared" si="4"/>
        <v>0.19779103755950933</v>
      </c>
      <c r="N6" s="321">
        <f t="shared" si="5"/>
        <v>9.0522213986045461</v>
      </c>
      <c r="O6" s="320">
        <f>IF(AND(ISNUMBER(Laboratorio!O8),ISNUMBER(Courier!O16)),Laboratorio!O8," ")</f>
        <v>3.2000000000000001E-2</v>
      </c>
      <c r="P6" s="156">
        <f>IF(AND(ISNUMBER(Laboratorio!O8),ISNUMBER(Courier!O16)),Courier!O16," ")</f>
        <v>3.435400128364563E-2</v>
      </c>
      <c r="Q6" s="157">
        <f t="shared" si="6"/>
        <v>-2.3540012836456292E-3</v>
      </c>
      <c r="R6" s="321">
        <f t="shared" si="7"/>
        <v>7.3562540113925907</v>
      </c>
      <c r="S6" s="156">
        <f>IF(AND(ISNUMBER(Laboratorio!Q8),ISNUMBER(Courier!Q16)),Laboratorio!Q8," ")</f>
        <v>8.0000000000000002E-3</v>
      </c>
      <c r="T6" s="157">
        <v>7.5426202965900302E-4</v>
      </c>
      <c r="U6" s="157" t="str">
        <f t="shared" si="8"/>
        <v/>
      </c>
      <c r="V6" s="157" t="str">
        <f t="shared" si="9"/>
        <v xml:space="preserve"> </v>
      </c>
      <c r="W6" s="320">
        <f>IF(AND(ISNUMBER(Laboratorio!S8),ISNUMBER(Courier!S16)),Laboratorio!S8,"")</f>
        <v>1.8839999999999999</v>
      </c>
      <c r="X6" s="157">
        <f>IF(AND(ISNUMBER(Laboratorio!S8),ISNUMBER(Courier!S16)),Courier!S16,"")</f>
        <v>2.0302956104278564</v>
      </c>
      <c r="Y6" s="157">
        <f t="shared" si="10"/>
        <v>-0.14629561042785655</v>
      </c>
      <c r="Z6" s="157">
        <f t="shared" si="11"/>
        <v>7.7651597891643611</v>
      </c>
      <c r="AA6" s="320">
        <f>IF(AND(ISNUMBER(Laboratorio!U8),ISNUMBER(Courier!W16)),Laboratorio!U8," ")</f>
        <v>25.474</v>
      </c>
      <c r="AB6" s="157">
        <f>IF(AND(ISNUMBER(Laboratorio!U8),ISNUMBER(Courier!W16)),Courier!W16," ")</f>
        <v>23.07972526550293</v>
      </c>
      <c r="AC6" s="157">
        <f t="shared" si="12"/>
        <v>2.3942747344970705</v>
      </c>
      <c r="AD6" s="321">
        <f t="shared" si="13"/>
        <v>9.3988958722504137</v>
      </c>
      <c r="AE6" s="157">
        <f>IF(AND(ISNUMBER(Laboratorio!W8),ISNUMBER(Courier!Y16)),Laboratorio!W8," ")</f>
        <v>2.851</v>
      </c>
      <c r="AF6" s="157">
        <f>IF(AND(ISNUMBER(Laboratorio!W8),ISNUMBER(Courier!Y16)),Courier!Y16," ")</f>
        <v>3.2183988094329834</v>
      </c>
      <c r="AG6" s="157">
        <f t="shared" si="14"/>
        <v>-0.36739880943298342</v>
      </c>
      <c r="AH6" s="321">
        <f t="shared" si="15"/>
        <v>12.88666465917164</v>
      </c>
      <c r="AI6" s="157">
        <f>IF(AND(ISNUMBER(Laboratorio!Y8),ISNUMBER(Courier!AA16)),Laboratorio!Y8," ")</f>
        <v>26.09</v>
      </c>
      <c r="AJ6" s="157">
        <f>IF(AND(ISNUMBER(Laboratorio!Y8),ISNUMBER(Courier!AA16)),Courier!AA16," ")</f>
        <v>27.397794723510742</v>
      </c>
      <c r="AK6" s="157">
        <f t="shared" si="16"/>
        <v>-1.3077947235107423</v>
      </c>
      <c r="AL6" s="321">
        <f t="shared" si="17"/>
        <v>5.0126283001561607</v>
      </c>
      <c r="AM6" s="314"/>
      <c r="AN6" s="331"/>
      <c r="AO6" s="326">
        <f>IF(AND(ISNUMBER(Laboratorio!F8),ISNUMBER(Courier!F16)),Laboratorio!F8," ")</f>
        <v>0.57799999999999996</v>
      </c>
      <c r="AP6" s="157">
        <f>IF(AND(ISNUMBER(Laboratorio!F8),ISNUMBER(Courier!F16)),Courier!F16," ")</f>
        <v>0.35865437984466553</v>
      </c>
      <c r="AQ6" s="84">
        <f t="shared" si="18"/>
        <v>0.21934562015533443</v>
      </c>
      <c r="AR6" s="319">
        <f t="shared" si="19"/>
        <v>37.949069231026719</v>
      </c>
      <c r="AS6" s="84">
        <f>IF(AND(ISNUMBER(Laboratorio!H8),ISNUMBER(Courier!H16)),Laboratorio!H8," ")</f>
        <v>6.9000000000000006E-2</v>
      </c>
      <c r="AT6" s="84">
        <f>IF(AND(ISNUMBER(Laboratorio!H8),ISNUMBER(Courier!H16)),Courier!H16," ")</f>
        <v>6.1913244426250458E-2</v>
      </c>
      <c r="AU6" s="84">
        <f t="shared" si="20"/>
        <v>7.086755573749548E-3</v>
      </c>
      <c r="AV6" s="319">
        <f t="shared" si="21"/>
        <v>10.270660251810938</v>
      </c>
      <c r="AW6" s="84">
        <f>IF(AND(ISNUMBER(Laboratorio!J8),ISNUMBER(Courier!J16)),Laboratorio!J8," ")</f>
        <v>2.4500000000000002</v>
      </c>
      <c r="AX6" s="84">
        <f>IF(AND(ISNUMBER(Laboratorio!J8),ISNUMBER(Courier!J16)),Courier!J16," ")</f>
        <v>1.9872089624404907</v>
      </c>
      <c r="AY6" s="84">
        <f t="shared" si="22"/>
        <v>0.46279103755950945</v>
      </c>
      <c r="AZ6" s="319">
        <f t="shared" si="23"/>
        <v>18.889430104469774</v>
      </c>
      <c r="BA6" s="84">
        <f>IF(AND(ISNUMBER(Laboratorio!P8),ISNUMBER(Courier!P16)),Laboratorio!P8," ")</f>
        <v>6.4000000000000001E-2</v>
      </c>
      <c r="BB6" s="84">
        <f>IF(AND(ISNUMBER(Laboratorio!P8),ISNUMBER(Courier!P16)),Courier!P16," ")</f>
        <v>3.435400128364563E-2</v>
      </c>
      <c r="BC6" s="84">
        <f t="shared" si="24"/>
        <v>2.9645998716354371E-2</v>
      </c>
      <c r="BD6" s="319">
        <f t="shared" si="25"/>
        <v>46.321872994303703</v>
      </c>
      <c r="BE6" s="84">
        <f>IF(AND(ISNUMBER(Laboratorio!R8),ISNUMBER(Courier!R16)),Laboratorio!R8," ")</f>
        <v>1.2E-2</v>
      </c>
      <c r="BF6" s="84">
        <f>IF(AND(ISNUMBER(Laboratorio!R8),ISNUMBER(Courier!R16)),Courier!R16," ")</f>
        <v>3.438678802922368E-3</v>
      </c>
      <c r="BG6" s="84">
        <f t="shared" si="26"/>
        <v>8.5613211970776322E-3</v>
      </c>
      <c r="BH6" s="319">
        <f t="shared" si="27"/>
        <v>71.344343308980257</v>
      </c>
      <c r="BI6" s="84">
        <f>IF(AND(ISNUMBER(Laboratorio!T8),ISNUMBER(Courier!T16)),Laboratorio!T8," ")</f>
        <v>2.0950000000000002</v>
      </c>
      <c r="BJ6" s="84">
        <f>IF(AND(ISNUMBER(Laboratorio!T8),ISNUMBER(Courier!T16)),Courier!T16," ")</f>
        <v>2.0302956104278564</v>
      </c>
      <c r="BK6" s="84">
        <f t="shared" si="28"/>
        <v>6.470438957214375E-2</v>
      </c>
      <c r="BL6" s="84">
        <f t="shared" si="29"/>
        <v>3.0885150153767897</v>
      </c>
      <c r="BM6" s="318">
        <f>IF(AND(ISNUMBER(Laboratorio!V8),ISNUMBER(Courier!X16)),Laboratorio!V8," ")</f>
        <v>24.879000000000001</v>
      </c>
      <c r="BN6">
        <f>IF(AND(ISNUMBER(Laboratorio!V8),ISNUMBER(Courier!X16)),Courier!X16," ")</f>
        <v>23.07972526550293</v>
      </c>
      <c r="BO6">
        <f t="shared" si="30"/>
        <v>1.7992747344970716</v>
      </c>
      <c r="BP6" s="317">
        <f t="shared" si="31"/>
        <v>7.2321023131840967</v>
      </c>
      <c r="BQ6">
        <f>IF(AND(ISNUMBER(Laboratorio!X8),ISNUMBER(Courier!Z16)),Laboratorio!X8," ")</f>
        <v>2.198</v>
      </c>
      <c r="BR6">
        <f>IF(AND(ISNUMBER(Laboratorio!X8),ISNUMBER(Courier!Z16)),Courier!Z16," ")</f>
        <v>3.2183988094329834</v>
      </c>
      <c r="BS6">
        <f t="shared" si="32"/>
        <v>-1.0203988094329834</v>
      </c>
      <c r="BT6" s="317">
        <f t="shared" si="33"/>
        <v>46.423967672110258</v>
      </c>
      <c r="BU6">
        <f>IF(AND(ISNUMBER(Laboratorio!Z8),ISNUMBER(Courier!AB16)),Laboratorio!Z8," ")</f>
        <v>27.86</v>
      </c>
      <c r="BV6">
        <f>IF(AND(ISNUMBER(Laboratorio!Z8),ISNUMBER(Courier!AB16)),Courier!AB16," ")</f>
        <v>27.397794723510742</v>
      </c>
      <c r="BW6">
        <f t="shared" si="34"/>
        <v>0.46220527648925724</v>
      </c>
      <c r="BX6" s="317">
        <f t="shared" si="35"/>
        <v>1.6590282716771616</v>
      </c>
    </row>
    <row r="7" spans="2:76" x14ac:dyDescent="0.2">
      <c r="C7" s="320">
        <f>IF(AND(ISNUMBER(Laboratorio!E9),ISNUMBER(Courier!E17)),Laboratorio!E9,"")</f>
        <v>0.53600000000000003</v>
      </c>
      <c r="D7" s="157">
        <f>IF(AND(ISNUMBER(Laboratorio!E9),ISNUMBER(Courier!E17)),Courier!E17,"")</f>
        <v>0.44376808404922485</v>
      </c>
      <c r="E7" s="157">
        <f t="shared" si="0"/>
        <v>9.2231915950775178E-2</v>
      </c>
      <c r="F7" s="321">
        <f t="shared" si="1"/>
        <v>17.207447005741635</v>
      </c>
      <c r="G7" s="320">
        <f>IF(AND(ISNUMBER(Laboratorio!G9),ISNUMBER(Courier!G17)),Laboratorio!G9," ")</f>
        <v>8.2000000000000003E-2</v>
      </c>
      <c r="H7" s="157">
        <f>IF(AND(ISNUMBER(Laboratorio!G9),ISNUMBER(Courier!G17)),Courier!G17," ")</f>
        <v>6.0916222631931305E-2</v>
      </c>
      <c r="I7" s="157">
        <f t="shared" si="2"/>
        <v>2.1083777368068699E-2</v>
      </c>
      <c r="J7" s="321">
        <f t="shared" si="3"/>
        <v>25.711923619595972</v>
      </c>
      <c r="K7" s="157">
        <f>IF(AND(ISNUMBER(Laboratorio!I9),ISNUMBER(Courier!I17)),Laboratorio!I9," ")</f>
        <v>2.6240000000000001</v>
      </c>
      <c r="L7" s="157">
        <f>IF(AND(ISNUMBER(Laboratorio!I9),ISNUMBER(Courier!I17)),Courier!I17," ")</f>
        <v>2.1675477027893066</v>
      </c>
      <c r="M7" s="157">
        <f t="shared" si="4"/>
        <v>0.45645229721069347</v>
      </c>
      <c r="N7" s="321">
        <f t="shared" si="5"/>
        <v>17.395285716870941</v>
      </c>
      <c r="O7" s="320">
        <f>IF(AND(ISNUMBER(Laboratorio!O9),ISNUMBER(Courier!O17)),Laboratorio!O9," ")</f>
        <v>6.4000000000000001E-2</v>
      </c>
      <c r="P7" s="156">
        <f>IF(AND(ISNUMBER(Laboratorio!O9),ISNUMBER(Courier!O17)),Courier!O17," ")</f>
        <v>4.1274219751358032E-2</v>
      </c>
      <c r="Q7" s="157">
        <f t="shared" si="6"/>
        <v>2.2725780248641969E-2</v>
      </c>
      <c r="R7" s="321">
        <f t="shared" si="7"/>
        <v>35.509031638503075</v>
      </c>
      <c r="S7" s="156">
        <f>IF(AND(ISNUMBER(Laboratorio!Q9),ISNUMBER(Courier!Q17)),Laboratorio!Q9," ")</f>
        <v>1.2999999999999999E-2</v>
      </c>
      <c r="T7" s="157">
        <v>1.8035380635410547E-3</v>
      </c>
      <c r="U7" s="157">
        <f t="shared" si="8"/>
        <v>1.1196461936458945E-2</v>
      </c>
      <c r="V7" s="157">
        <f t="shared" si="9"/>
        <v>86.126630280453426</v>
      </c>
      <c r="W7" s="320">
        <f>IF(AND(ISNUMBER(Laboratorio!S9),ISNUMBER(Courier!S17)),Laboratorio!S9,"")</f>
        <v>1.651</v>
      </c>
      <c r="X7" s="157">
        <f>IF(AND(ISNUMBER(Laboratorio!S9),ISNUMBER(Courier!S17)),Courier!S17,"")</f>
        <v>1.8688817024230957</v>
      </c>
      <c r="Y7" s="157">
        <f t="shared" si="10"/>
        <v>-0.21788170242309568</v>
      </c>
      <c r="Z7" s="157">
        <f t="shared" si="11"/>
        <v>13.196953508364365</v>
      </c>
      <c r="AA7" s="320">
        <f>IF(AND(ISNUMBER(Laboratorio!U9),ISNUMBER(Courier!W17)),Laboratorio!U9," ")</f>
        <v>21.806000000000001</v>
      </c>
      <c r="AB7" s="157">
        <f>IF(AND(ISNUMBER(Laboratorio!U9),ISNUMBER(Courier!W17)),Courier!W17," ")</f>
        <v>22.874965667724609</v>
      </c>
      <c r="AC7" s="157">
        <f t="shared" si="12"/>
        <v>-1.0689656677246084</v>
      </c>
      <c r="AD7" s="321">
        <f t="shared" si="13"/>
        <v>4.9021630180895555</v>
      </c>
      <c r="AE7" s="157">
        <f>IF(AND(ISNUMBER(Laboratorio!W9),ISNUMBER(Courier!Y17)),Laboratorio!W9," ")</f>
        <v>3.4420000000000002</v>
      </c>
      <c r="AF7" s="157">
        <f>IF(AND(ISNUMBER(Laboratorio!W9),ISNUMBER(Courier!Y17)),Courier!Y17," ")</f>
        <v>2.5889632701873779</v>
      </c>
      <c r="AG7" s="157">
        <f t="shared" si="14"/>
        <v>0.85303672981262224</v>
      </c>
      <c r="AH7" s="321">
        <f t="shared" si="15"/>
        <v>24.783170534939632</v>
      </c>
      <c r="AI7" s="157">
        <f>IF(AND(ISNUMBER(Laboratorio!Y9),ISNUMBER(Courier!AA17)),Laboratorio!Y9," ")</f>
        <v>27.11</v>
      </c>
      <c r="AJ7" s="157">
        <f>IF(AND(ISNUMBER(Laboratorio!Y9),ISNUMBER(Courier!AA17)),Courier!AA17," ")</f>
        <v>27.444334030151367</v>
      </c>
      <c r="AK7" s="157">
        <f t="shared" si="16"/>
        <v>-0.33433403015136776</v>
      </c>
      <c r="AL7" s="321">
        <f t="shared" si="17"/>
        <v>1.2332498345679372</v>
      </c>
      <c r="AM7" s="314"/>
      <c r="AN7" s="331"/>
      <c r="AO7" s="320">
        <f>IF(AND(ISNUMBER(Laboratorio!F9),ISNUMBER(Courier!F17)),Laboratorio!F9," ")</f>
        <v>0.56499999999999995</v>
      </c>
      <c r="AP7" s="157">
        <f>IF(AND(ISNUMBER(Laboratorio!F9),ISNUMBER(Courier!F17)),Courier!F17," ")</f>
        <v>0.57219672203063965</v>
      </c>
      <c r="AQ7" s="84">
        <f t="shared" si="18"/>
        <v>-7.1967220306397017E-3</v>
      </c>
      <c r="AR7" s="319">
        <f t="shared" si="19"/>
        <v>1.2737561116176463</v>
      </c>
      <c r="AS7" s="84">
        <f>IF(AND(ISNUMBER(Laboratorio!H9),ISNUMBER(Courier!H17)),Laboratorio!H9," ")</f>
        <v>7.6999999999999999E-2</v>
      </c>
      <c r="AT7" s="84">
        <f>IF(AND(ISNUMBER(Laboratorio!H9),ISNUMBER(Courier!H17)),Courier!H17," ")</f>
        <v>8.1276476383209229E-2</v>
      </c>
      <c r="AU7" s="84">
        <f t="shared" si="20"/>
        <v>-4.2764763832092295E-3</v>
      </c>
      <c r="AV7" s="319">
        <f t="shared" si="21"/>
        <v>5.5538654327392596</v>
      </c>
      <c r="AW7" s="84">
        <f>IF(AND(ISNUMBER(Laboratorio!J9),ISNUMBER(Courier!J17)),Laboratorio!J9," ")</f>
        <v>2.044</v>
      </c>
      <c r="AX7" s="84">
        <f>IF(AND(ISNUMBER(Laboratorio!J9),ISNUMBER(Courier!J17)),Courier!J17," ")</f>
        <v>1.7473745346069336</v>
      </c>
      <c r="AY7" s="84">
        <f t="shared" si="22"/>
        <v>0.29662546539306645</v>
      </c>
      <c r="AZ7" s="319">
        <f t="shared" si="23"/>
        <v>14.512009070110881</v>
      </c>
      <c r="BA7" s="84">
        <f>IF(AND(ISNUMBER(Laboratorio!P9),ISNUMBER(Courier!P17)),Laboratorio!P9," ")</f>
        <v>4.1000000000000002E-2</v>
      </c>
      <c r="BB7" s="84">
        <f>IF(AND(ISNUMBER(Laboratorio!P9),ISNUMBER(Courier!P17)),Courier!P17," ")</f>
        <v>4.2272794991731644E-2</v>
      </c>
      <c r="BC7" s="84">
        <f t="shared" si="24"/>
        <v>-1.272794991731642E-3</v>
      </c>
      <c r="BD7" s="319">
        <f t="shared" si="25"/>
        <v>3.1043780286137608</v>
      </c>
      <c r="BE7" s="84">
        <f>IF(AND(ISNUMBER(Laboratorio!R9),ISNUMBER(Courier!R17)),Laboratorio!R9," ")</f>
        <v>1.2E-2</v>
      </c>
      <c r="BF7" s="84">
        <f>IF(AND(ISNUMBER(Laboratorio!R9),ISNUMBER(Courier!R17)),Courier!R17," ")</f>
        <v>7.5074052438139915E-3</v>
      </c>
      <c r="BG7" s="84">
        <f t="shared" si="26"/>
        <v>4.4925947561860087E-3</v>
      </c>
      <c r="BH7" s="319">
        <f t="shared" si="27"/>
        <v>37.438289634883404</v>
      </c>
      <c r="BI7" s="84">
        <f>IF(AND(ISNUMBER(Laboratorio!T9),ISNUMBER(Courier!T17)),Laboratorio!T9," ")</f>
        <v>1.327</v>
      </c>
      <c r="BJ7" s="84">
        <f>IF(AND(ISNUMBER(Laboratorio!T9),ISNUMBER(Courier!T17)),Courier!T17," ")</f>
        <v>2.0460820198059082</v>
      </c>
      <c r="BK7" s="84">
        <f t="shared" si="28"/>
        <v>-0.71908201980590825</v>
      </c>
      <c r="BL7" s="84">
        <f t="shared" si="29"/>
        <v>54.188547084092562</v>
      </c>
      <c r="BM7" s="318">
        <f>IF(AND(ISNUMBER(Laboratorio!V9),ISNUMBER(Courier!X17)),Laboratorio!V9," ")</f>
        <v>22.686</v>
      </c>
      <c r="BN7">
        <f>IF(AND(ISNUMBER(Laboratorio!V9),ISNUMBER(Courier!X17)),Courier!X17," ")</f>
        <v>24.080657958984375</v>
      </c>
      <c r="BO7">
        <f t="shared" si="30"/>
        <v>-1.3946579589843751</v>
      </c>
      <c r="BP7" s="317">
        <f t="shared" si="31"/>
        <v>6.1476591685813942</v>
      </c>
      <c r="BQ7">
        <f>IF(AND(ISNUMBER(Laboratorio!X9),ISNUMBER(Courier!Z17)),Laboratorio!X9," ")</f>
        <v>3.9129999999999998</v>
      </c>
      <c r="BR7">
        <f>IF(AND(ISNUMBER(Laboratorio!X9),ISNUMBER(Courier!Z17)),Courier!Z17," ")</f>
        <v>3.0138378143310547</v>
      </c>
      <c r="BS7">
        <f t="shared" si="32"/>
        <v>0.89916218566894512</v>
      </c>
      <c r="BT7" s="317">
        <f t="shared" si="33"/>
        <v>22.978844509812042</v>
      </c>
      <c r="BU7">
        <f>IF(AND(ISNUMBER(Laboratorio!Z9),ISNUMBER(Courier!AB17)),Laboratorio!Z9," ")</f>
        <v>27.72</v>
      </c>
      <c r="BV7">
        <f>IF(AND(ISNUMBER(Laboratorio!Z9),ISNUMBER(Courier!AB17)),Courier!AB17," ")</f>
        <v>26.431015014648438</v>
      </c>
      <c r="BW7">
        <f t="shared" si="34"/>
        <v>1.2889849853515614</v>
      </c>
      <c r="BX7" s="317">
        <f t="shared" si="35"/>
        <v>4.6500179846737426</v>
      </c>
    </row>
    <row r="8" spans="2:76" x14ac:dyDescent="0.2">
      <c r="C8" s="320">
        <f>IF(AND(ISNUMBER(Laboratorio!E10),ISNUMBER(Courier!E18)),Laboratorio!E10,"")</f>
        <v>0.52200000000000002</v>
      </c>
      <c r="D8" s="157">
        <f>IF(AND(ISNUMBER(Laboratorio!E10),ISNUMBER(Courier!E18)),Courier!E18,"")</f>
        <v>0.48242056369781494</v>
      </c>
      <c r="E8" s="157">
        <f t="shared" si="0"/>
        <v>3.9579436302185078E-2</v>
      </c>
      <c r="F8" s="321">
        <f t="shared" si="1"/>
        <v>7.5822674908400529</v>
      </c>
      <c r="G8" s="320">
        <f>IF(AND(ISNUMBER(Laboratorio!G10),ISNUMBER(Courier!G18)),Laboratorio!G10," ")</f>
        <v>4.5999999999999999E-2</v>
      </c>
      <c r="H8" s="157">
        <f>IF(AND(ISNUMBER(Laboratorio!G10),ISNUMBER(Courier!G18)),Courier!G18," ")</f>
        <v>4.7046452760696411E-2</v>
      </c>
      <c r="I8" s="157">
        <f t="shared" si="2"/>
        <v>-1.0464527606964119E-3</v>
      </c>
      <c r="J8" s="321">
        <f t="shared" si="3"/>
        <v>2.274897305861765</v>
      </c>
      <c r="K8" s="157">
        <f>IF(AND(ISNUMBER(Laboratorio!I10),ISNUMBER(Courier!I18)),Laboratorio!I10," ")</f>
        <v>2.15</v>
      </c>
      <c r="L8" s="157">
        <f>IF(AND(ISNUMBER(Laboratorio!I10),ISNUMBER(Courier!I18)),Courier!I18," ")</f>
        <v>2.2131941318511963</v>
      </c>
      <c r="M8" s="157">
        <f t="shared" si="4"/>
        <v>-6.3194131851196378E-2</v>
      </c>
      <c r="N8" s="321">
        <f t="shared" si="5"/>
        <v>2.9392619465672736</v>
      </c>
      <c r="O8" s="320">
        <f>IF(AND(ISNUMBER(Laboratorio!O10),ISNUMBER(Courier!O18)),Laboratorio!O10," ")</f>
        <v>4.2000000000000003E-2</v>
      </c>
      <c r="P8" s="156">
        <f>IF(AND(ISNUMBER(Laboratorio!O10),ISNUMBER(Courier!O18)),Courier!O18," ")</f>
        <v>4.3797757476568222E-2</v>
      </c>
      <c r="Q8" s="157">
        <f t="shared" si="6"/>
        <v>-1.7977574765682194E-3</v>
      </c>
      <c r="R8" s="321">
        <f t="shared" si="7"/>
        <v>4.2803749442100463</v>
      </c>
      <c r="S8" s="156">
        <f>IF(AND(ISNUMBER(Laboratorio!Q10),ISNUMBER(Courier!Q18)),Laboratorio!Q10," ")</f>
        <v>8.0000000000000002E-3</v>
      </c>
      <c r="T8" s="157">
        <v>3.5952120088040829E-3</v>
      </c>
      <c r="U8" s="157">
        <f t="shared" si="8"/>
        <v>4.4047879911959173E-3</v>
      </c>
      <c r="V8" s="157">
        <f t="shared" si="9"/>
        <v>55.059849889948964</v>
      </c>
      <c r="W8" s="320">
        <f>IF(AND(ISNUMBER(Laboratorio!S10),ISNUMBER(Courier!S18)),Laboratorio!S10,"")</f>
        <v>1.6910000000000001</v>
      </c>
      <c r="X8" s="157">
        <f>IF(AND(ISNUMBER(Laboratorio!S10),ISNUMBER(Courier!S18)),Courier!S18,"")</f>
        <v>1.9263710975646973</v>
      </c>
      <c r="Y8" s="157">
        <f t="shared" si="10"/>
        <v>-0.23537109756469721</v>
      </c>
      <c r="Z8" s="157">
        <f t="shared" si="11"/>
        <v>13.919047756634962</v>
      </c>
      <c r="AA8" s="320">
        <f>IF(AND(ISNUMBER(Laboratorio!U10),ISNUMBER(Courier!W18)),Laboratorio!U10," ")</f>
        <v>23.88</v>
      </c>
      <c r="AB8" s="157">
        <f>IF(AND(ISNUMBER(Laboratorio!U10),ISNUMBER(Courier!W18)),Courier!W18," ")</f>
        <v>23.181087493896484</v>
      </c>
      <c r="AC8" s="157">
        <f t="shared" si="12"/>
        <v>0.69891250610351463</v>
      </c>
      <c r="AD8" s="321">
        <f t="shared" si="13"/>
        <v>2.9267692885406813</v>
      </c>
      <c r="AE8" s="157">
        <f>IF(AND(ISNUMBER(Laboratorio!W10),ISNUMBER(Courier!Y18)),Laboratorio!W10," ")</f>
        <v>2.1230000000000002</v>
      </c>
      <c r="AF8" s="157">
        <f>IF(AND(ISNUMBER(Laboratorio!W10),ISNUMBER(Courier!Y18)),Courier!Y18," ")</f>
        <v>1.770626425743103</v>
      </c>
      <c r="AG8" s="157">
        <f t="shared" si="14"/>
        <v>0.35237357425689719</v>
      </c>
      <c r="AH8" s="321">
        <f t="shared" si="15"/>
        <v>16.597907407296145</v>
      </c>
      <c r="AI8" s="157">
        <f>IF(AND(ISNUMBER(Laboratorio!Y10),ISNUMBER(Courier!AA18)),Laboratorio!Y10," ")</f>
        <v>27.15</v>
      </c>
      <c r="AJ8" s="157">
        <f>IF(AND(ISNUMBER(Laboratorio!Y10),ISNUMBER(Courier!AA18)),Courier!AA18," ")</f>
        <v>27.522235870361328</v>
      </c>
      <c r="AK8" s="157">
        <f t="shared" si="16"/>
        <v>-0.37223587036132955</v>
      </c>
      <c r="AL8" s="321">
        <f t="shared" si="17"/>
        <v>1.3710345133013981</v>
      </c>
      <c r="AM8" s="314"/>
      <c r="AN8" s="331"/>
      <c r="AO8" s="320">
        <f>IF(AND(ISNUMBER(Laboratorio!F10),ISNUMBER(Courier!F18)),Laboratorio!F10," ")</f>
        <v>0.56799999999999995</v>
      </c>
      <c r="AP8" s="157">
        <f>IF(AND(ISNUMBER(Laboratorio!F10),ISNUMBER(Courier!F18)),Courier!F18," ")</f>
        <v>0.51555341482162476</v>
      </c>
      <c r="AQ8" s="84">
        <f t="shared" si="18"/>
        <v>5.2446585178375194E-2</v>
      </c>
      <c r="AR8" s="319">
        <f t="shared" si="19"/>
        <v>9.2335537285871823</v>
      </c>
      <c r="AS8" s="84">
        <f>IF(AND(ISNUMBER(Laboratorio!H10),ISNUMBER(Courier!H18)),Laboratorio!H10," ")</f>
        <v>5.7000000000000002E-2</v>
      </c>
      <c r="AT8" s="84">
        <f>IF(AND(ISNUMBER(Laboratorio!H10),ISNUMBER(Courier!H18)),Courier!H18," ")</f>
        <v>5.2778400480747223E-2</v>
      </c>
      <c r="AU8" s="84">
        <f t="shared" si="20"/>
        <v>4.2215995192527792E-3</v>
      </c>
      <c r="AV8" s="319">
        <f t="shared" si="21"/>
        <v>7.4063149460575071</v>
      </c>
      <c r="AW8" s="84">
        <f>IF(AND(ISNUMBER(Laboratorio!J10),ISNUMBER(Courier!J18)),Laboratorio!J10," ")</f>
        <v>2.5590000000000002</v>
      </c>
      <c r="AX8" s="84">
        <f>IF(AND(ISNUMBER(Laboratorio!J10),ISNUMBER(Courier!J18)),Courier!J18," ")</f>
        <v>2.1373381614685059</v>
      </c>
      <c r="AY8" s="84">
        <f t="shared" si="22"/>
        <v>0.4216618385314943</v>
      </c>
      <c r="AZ8" s="319">
        <f t="shared" si="23"/>
        <v>16.477602130968904</v>
      </c>
      <c r="BA8" s="84">
        <f>IF(AND(ISNUMBER(Laboratorio!P10),ISNUMBER(Courier!P18)),Laboratorio!P10," ")</f>
        <v>4.9000000000000002E-2</v>
      </c>
      <c r="BB8" s="84">
        <f>IF(AND(ISNUMBER(Laboratorio!P10),ISNUMBER(Courier!P18)),Courier!P18," ")</f>
        <v>6.2635160982608795E-2</v>
      </c>
      <c r="BC8" s="84">
        <f t="shared" si="24"/>
        <v>-1.3635160982608793E-2</v>
      </c>
      <c r="BD8" s="319">
        <f t="shared" si="25"/>
        <v>27.82685914818121</v>
      </c>
      <c r="BE8" s="84">
        <f>IF(AND(ISNUMBER(Laboratorio!R10),ISNUMBER(Courier!R18)),Laboratorio!R10," ")</f>
        <v>1.0999999999999999E-2</v>
      </c>
      <c r="BF8" s="84">
        <f>IF(AND(ISNUMBER(Laboratorio!R10),ISNUMBER(Courier!R18)),Courier!R18," ")</f>
        <v>8.3280261605978012E-3</v>
      </c>
      <c r="BG8" s="84">
        <f t="shared" si="26"/>
        <v>2.6719738394021982E-3</v>
      </c>
      <c r="BH8" s="319">
        <f t="shared" si="27"/>
        <v>24.290671267292712</v>
      </c>
      <c r="BI8" s="84">
        <f>IF(AND(ISNUMBER(Laboratorio!T10),ISNUMBER(Courier!T18)),Laboratorio!T10," ")</f>
        <v>1.77</v>
      </c>
      <c r="BJ8" s="84">
        <f>IF(AND(ISNUMBER(Laboratorio!T10),ISNUMBER(Courier!T18)),Courier!T18," ")</f>
        <v>1.6159392595291138</v>
      </c>
      <c r="BK8" s="84">
        <f t="shared" si="28"/>
        <v>0.15406074047088625</v>
      </c>
      <c r="BL8" s="84">
        <f t="shared" si="29"/>
        <v>8.7039966367732333</v>
      </c>
      <c r="BM8" s="318">
        <f>IF(AND(ISNUMBER(Laboratorio!V10),ISNUMBER(Courier!X18)),Laboratorio!V10," ")</f>
        <v>25.175999999999998</v>
      </c>
      <c r="BN8">
        <f>IF(AND(ISNUMBER(Laboratorio!V10),ISNUMBER(Courier!X18)),Courier!X18," ")</f>
        <v>19.589813232421875</v>
      </c>
      <c r="BO8">
        <f t="shared" si="30"/>
        <v>5.5861867675781234</v>
      </c>
      <c r="BP8" s="317">
        <f t="shared" si="31"/>
        <v>22.188539750469189</v>
      </c>
      <c r="BQ8">
        <f>IF(AND(ISNUMBER(Laboratorio!X10),ISNUMBER(Courier!Z18)),Laboratorio!X10," ")</f>
        <v>2.1680000000000001</v>
      </c>
      <c r="BR8">
        <f>IF(AND(ISNUMBER(Laboratorio!X10),ISNUMBER(Courier!Z18)),Courier!Z18," ")</f>
        <v>1.9188697338104248</v>
      </c>
      <c r="BS8">
        <f t="shared" si="32"/>
        <v>0.24913026618957534</v>
      </c>
      <c r="BT8" s="317">
        <f t="shared" si="33"/>
        <v>11.491248440478568</v>
      </c>
      <c r="BU8">
        <f>IF(AND(ISNUMBER(Laboratorio!Z10),ISNUMBER(Courier!AB18)),Laboratorio!Z10," ")</f>
        <v>28.61</v>
      </c>
      <c r="BV8">
        <f>IF(AND(ISNUMBER(Laboratorio!Z10),ISNUMBER(Courier!AB18)),Courier!AB18," ")</f>
        <v>21.578971862792969</v>
      </c>
      <c r="BW8" t="str">
        <f t="shared" si="34"/>
        <v/>
      </c>
      <c r="BX8" s="317" t="str">
        <f t="shared" si="35"/>
        <v xml:space="preserve"> </v>
      </c>
    </row>
    <row r="9" spans="2:76" x14ac:dyDescent="0.2">
      <c r="C9" s="320">
        <f>IF(AND(ISNUMBER(Laboratorio!E11),ISNUMBER(Courier!E19)),Laboratorio!E11,"")</f>
        <v>0.501</v>
      </c>
      <c r="D9" s="157">
        <f>IF(AND(ISNUMBER(Laboratorio!E11),ISNUMBER(Courier!E19)),Courier!E19,"")</f>
        <v>0.57536685466766357</v>
      </c>
      <c r="E9" s="157">
        <f t="shared" si="0"/>
        <v>-7.4366854667663573E-2</v>
      </c>
      <c r="F9" s="321">
        <f t="shared" si="1"/>
        <v>14.843683566399916</v>
      </c>
      <c r="G9" s="320">
        <f>IF(AND(ISNUMBER(Laboratorio!G11),ISNUMBER(Courier!G19)),Laboratorio!G11," ")</f>
        <v>5.1999999999999998E-2</v>
      </c>
      <c r="H9" s="157">
        <f>IF(AND(ISNUMBER(Laboratorio!G11),ISNUMBER(Courier!G19)),Courier!G19," ")</f>
        <v>5.9039212763309479E-2</v>
      </c>
      <c r="I9" s="157">
        <f t="shared" si="2"/>
        <v>-7.0392127633094811E-3</v>
      </c>
      <c r="J9" s="321">
        <f t="shared" si="3"/>
        <v>13.536947621749002</v>
      </c>
      <c r="K9" s="157">
        <f>IF(AND(ISNUMBER(Laboratorio!I11),ISNUMBER(Courier!I19)),Laboratorio!I11," ")</f>
        <v>2.1469999999999998</v>
      </c>
      <c r="L9" s="157">
        <f>IF(AND(ISNUMBER(Laboratorio!I11),ISNUMBER(Courier!I19)),Courier!I19," ")</f>
        <v>2.2564880847930908</v>
      </c>
      <c r="M9" s="157">
        <f t="shared" si="4"/>
        <v>-0.10948808479309102</v>
      </c>
      <c r="N9" s="321">
        <f t="shared" si="5"/>
        <v>5.0995847598086179</v>
      </c>
      <c r="O9" s="320">
        <f>IF(AND(ISNUMBER(Laboratorio!O11),ISNUMBER(Courier!O19)),Laboratorio!O11," ")</f>
        <v>6.6000000000000003E-2</v>
      </c>
      <c r="P9" s="156">
        <f>IF(AND(ISNUMBER(Laboratorio!O11),ISNUMBER(Courier!O19)),Courier!O19," ")</f>
        <v>6.6029533743858337E-2</v>
      </c>
      <c r="Q9" s="157">
        <f t="shared" si="6"/>
        <v>-2.9533743858334294E-5</v>
      </c>
      <c r="R9" s="321">
        <f t="shared" si="7"/>
        <v>4.474809675505196E-2</v>
      </c>
      <c r="S9" s="156">
        <f>IF(AND(ISNUMBER(Laboratorio!Q11),ISNUMBER(Courier!Q19)),Laboratorio!Q11," ")</f>
        <v>1.2999999999999999E-2</v>
      </c>
      <c r="T9" s="157">
        <v>3.5952120088040829E-3</v>
      </c>
      <c r="U9" s="157">
        <f t="shared" si="8"/>
        <v>9.4047879911959165E-3</v>
      </c>
      <c r="V9" s="157">
        <f t="shared" si="9"/>
        <v>72.344523009199364</v>
      </c>
      <c r="W9" s="320">
        <f>IF(AND(ISNUMBER(Laboratorio!S11),ISNUMBER(Courier!S19)),Laboratorio!S11,"")</f>
        <v>1.861</v>
      </c>
      <c r="X9" s="157">
        <f>IF(AND(ISNUMBER(Laboratorio!S11),ISNUMBER(Courier!S19)),Courier!S19,"")</f>
        <v>1.4575302600860596</v>
      </c>
      <c r="Y9" s="157">
        <f t="shared" si="10"/>
        <v>0.40346973991394042</v>
      </c>
      <c r="Z9" s="157">
        <f t="shared" si="11"/>
        <v>21.680265444059131</v>
      </c>
      <c r="AA9" s="320">
        <f>IF(AND(ISNUMBER(Laboratorio!U11),ISNUMBER(Courier!W19)),Laboratorio!U11," ")</f>
        <v>24.532</v>
      </c>
      <c r="AB9" s="157">
        <f>IF(AND(ISNUMBER(Laboratorio!U11),ISNUMBER(Courier!W19)),Courier!W19," ")</f>
        <v>24.089685440063477</v>
      </c>
      <c r="AC9" s="157">
        <f t="shared" si="12"/>
        <v>0.44231455993652347</v>
      </c>
      <c r="AD9" s="321">
        <f t="shared" si="13"/>
        <v>1.8030105981433371</v>
      </c>
      <c r="AE9" s="157">
        <f>IF(AND(ISNUMBER(Laboratorio!W11),ISNUMBER(Courier!Y19)),Laboratorio!W11," ")</f>
        <v>2.1459999999999999</v>
      </c>
      <c r="AF9" s="157">
        <f>IF(AND(ISNUMBER(Laboratorio!W11),ISNUMBER(Courier!Y19)),Courier!Y19," ")</f>
        <v>2.4945509433746338</v>
      </c>
      <c r="AG9" s="157">
        <f t="shared" si="14"/>
        <v>-0.34855094337463388</v>
      </c>
      <c r="AH9" s="321">
        <f t="shared" si="15"/>
        <v>16.241889253244825</v>
      </c>
      <c r="AI9" s="157">
        <f>IF(AND(ISNUMBER(Laboratorio!Y11),ISNUMBER(Courier!AA19)),Laboratorio!Y11," ")</f>
        <v>27.12</v>
      </c>
      <c r="AJ9" s="157">
        <f>IF(AND(ISNUMBER(Laboratorio!Y11),ISNUMBER(Courier!AA19)),Courier!AA19," ")</f>
        <v>26.42375373840332</v>
      </c>
      <c r="AK9" s="157">
        <f t="shared" si="16"/>
        <v>0.69624626159668068</v>
      </c>
      <c r="AL9" s="321">
        <f t="shared" si="17"/>
        <v>2.5672797256514772</v>
      </c>
      <c r="AM9" s="314"/>
      <c r="AN9" s="331"/>
      <c r="AO9" s="320">
        <f>IF(AND(ISNUMBER(Laboratorio!F11),ISNUMBER(Courier!F19)),Laboratorio!F11," ")</f>
        <v>0.40200000000000002</v>
      </c>
      <c r="AP9" s="157">
        <f>IF(AND(ISNUMBER(Laboratorio!F11),ISNUMBER(Courier!F19)),Courier!F19," ")</f>
        <v>0.44503811001777649</v>
      </c>
      <c r="AQ9" s="84">
        <f t="shared" si="18"/>
        <v>-4.3038110017776465E-2</v>
      </c>
      <c r="AR9" s="319">
        <f t="shared" si="19"/>
        <v>10.705997516859817</v>
      </c>
      <c r="AS9" s="84">
        <f>IF(AND(ISNUMBER(Laboratorio!H11),ISNUMBER(Courier!H19)),Laboratorio!H11," ")</f>
        <v>3.1E-2</v>
      </c>
      <c r="AT9" s="84">
        <f>IF(AND(ISNUMBER(Laboratorio!H11),ISNUMBER(Courier!H19)),Courier!H19," ")</f>
        <v>3.0947951599955559E-2</v>
      </c>
      <c r="AU9" s="84">
        <f t="shared" si="20"/>
        <v>5.2048400044441001E-5</v>
      </c>
      <c r="AV9" s="319">
        <f t="shared" si="21"/>
        <v>0.16789806465948709</v>
      </c>
      <c r="AW9" s="84">
        <f>IF(AND(ISNUMBER(Laboratorio!J11),ISNUMBER(Courier!J19)),Laboratorio!J11," ")</f>
        <v>3.4009999999999998</v>
      </c>
      <c r="AX9" s="84">
        <f>IF(AND(ISNUMBER(Laboratorio!J11),ISNUMBER(Courier!J19)),Courier!J19," ")</f>
        <v>2.91060471534729</v>
      </c>
      <c r="AY9" s="84">
        <f t="shared" si="22"/>
        <v>0.49039528465270976</v>
      </c>
      <c r="AZ9" s="319">
        <f t="shared" si="23"/>
        <v>14.419149798668327</v>
      </c>
      <c r="BA9" s="84">
        <f>IF(AND(ISNUMBER(Laboratorio!P11),ISNUMBER(Courier!P19)),Laboratorio!P11," ")</f>
        <v>0.04</v>
      </c>
      <c r="BB9" s="84">
        <f>IF(AND(ISNUMBER(Laboratorio!P11),ISNUMBER(Courier!P19)),Courier!P19," ")</f>
        <v>4.7765485942363739E-2</v>
      </c>
      <c r="BC9" s="84">
        <f t="shared" si="24"/>
        <v>-7.7654859423637382E-3</v>
      </c>
      <c r="BD9" s="319">
        <f t="shared" si="25"/>
        <v>19.413714855909344</v>
      </c>
      <c r="BE9" s="84">
        <f>IF(AND(ISNUMBER(Laboratorio!R11),ISNUMBER(Courier!R19)),Laboratorio!R11," ")</f>
        <v>7.0000000000000001E-3</v>
      </c>
      <c r="BF9" s="84">
        <f>IF(AND(ISNUMBER(Laboratorio!R11),ISNUMBER(Courier!R19)),Courier!R19," ")</f>
        <v>7.0773507468402386E-3</v>
      </c>
      <c r="BG9" s="84">
        <f t="shared" si="26"/>
        <v>-7.7350746840238425E-5</v>
      </c>
      <c r="BH9" s="319">
        <f t="shared" si="27"/>
        <v>1.1050106691462633</v>
      </c>
      <c r="BI9" s="84">
        <f>IF(AND(ISNUMBER(Laboratorio!T11),ISNUMBER(Courier!T19)),Laboratorio!T11," ")</f>
        <v>2.66</v>
      </c>
      <c r="BJ9" s="84">
        <f>IF(AND(ISNUMBER(Laboratorio!T11),ISNUMBER(Courier!T19)),Courier!T19," ")</f>
        <v>2.1850786209106445</v>
      </c>
      <c r="BK9" s="84">
        <f t="shared" si="28"/>
        <v>0.47492137908935561</v>
      </c>
      <c r="BL9" s="84">
        <f t="shared" si="29"/>
        <v>17.85418718381036</v>
      </c>
      <c r="BM9" s="318">
        <f>IF(AND(ISNUMBER(Laboratorio!V11),ISNUMBER(Courier!X19)),Laboratorio!V11," ")</f>
        <v>22.896999999999998</v>
      </c>
      <c r="BN9">
        <f>IF(AND(ISNUMBER(Laboratorio!V11),ISNUMBER(Courier!X19)),Courier!X19," ")</f>
        <v>24.968690872192383</v>
      </c>
      <c r="BO9">
        <f t="shared" si="30"/>
        <v>-2.0716908721923843</v>
      </c>
      <c r="BP9" s="317">
        <f t="shared" si="31"/>
        <v>9.0478703419329367</v>
      </c>
      <c r="BQ9">
        <f>IF(AND(ISNUMBER(Laboratorio!X11),ISNUMBER(Courier!Z19)),Laboratorio!X11," ")</f>
        <v>1.8540000000000001</v>
      </c>
      <c r="BR9">
        <f>IF(AND(ISNUMBER(Laboratorio!X11),ISNUMBER(Courier!Z19)),Courier!Z19," ")</f>
        <v>1.9619637727737427</v>
      </c>
      <c r="BS9">
        <f t="shared" si="32"/>
        <v>-0.10796377277374258</v>
      </c>
      <c r="BT9" s="317">
        <f t="shared" si="33"/>
        <v>5.8232887148728461</v>
      </c>
      <c r="BU9">
        <f>IF(AND(ISNUMBER(Laboratorio!Z11),ISNUMBER(Courier!AB19)),Laboratorio!Z11," ")</f>
        <v>27.91</v>
      </c>
      <c r="BV9">
        <f>IF(AND(ISNUMBER(Laboratorio!Z11),ISNUMBER(Courier!AB19)),Courier!AB19," ")</f>
        <v>26.098102569580078</v>
      </c>
      <c r="BW9">
        <f t="shared" si="34"/>
        <v>1.811897430419922</v>
      </c>
      <c r="BX9" s="317">
        <f t="shared" si="35"/>
        <v>6.4919291666783296</v>
      </c>
    </row>
    <row r="10" spans="2:76" x14ac:dyDescent="0.2">
      <c r="C10" s="320">
        <f>IF(AND(ISNUMBER(Laboratorio!E12),ISNUMBER(Courier!E20)),Laboratorio!E12,"")</f>
        <v>0.38200000000000001</v>
      </c>
      <c r="D10" s="157">
        <f>IF(AND(ISNUMBER(Laboratorio!E12),ISNUMBER(Courier!E20)),Courier!E20,"")</f>
        <v>0.3785417377948761</v>
      </c>
      <c r="E10" s="157">
        <f t="shared" si="0"/>
        <v>3.4582622051239076E-3</v>
      </c>
      <c r="F10" s="321">
        <f t="shared" si="1"/>
        <v>0.90530424217903338</v>
      </c>
      <c r="G10" s="320">
        <f>IF(AND(ISNUMBER(Laboratorio!G12),ISNUMBER(Courier!G20)),Laboratorio!G12," ")</f>
        <v>1.4999999999999999E-2</v>
      </c>
      <c r="H10" s="157">
        <f>IF(AND(ISNUMBER(Laboratorio!G12),ISNUMBER(Courier!G20)),Courier!G20," ")</f>
        <v>1.2126695364713669E-2</v>
      </c>
      <c r="I10" s="157">
        <f t="shared" si="2"/>
        <v>2.8733046352863306E-3</v>
      </c>
      <c r="J10" s="321">
        <f t="shared" si="3"/>
        <v>19.155364235242207</v>
      </c>
      <c r="K10" s="157">
        <f>IF(AND(ISNUMBER(Laboratorio!I12),ISNUMBER(Courier!I20)),Laboratorio!I12," ")</f>
        <v>3.9220000000000002</v>
      </c>
      <c r="L10" s="157">
        <f>IF(AND(ISNUMBER(Laboratorio!I12),ISNUMBER(Courier!I20)),Courier!I20," ")</f>
        <v>3.5943660736083984</v>
      </c>
      <c r="M10" s="157">
        <f t="shared" si="4"/>
        <v>0.32763392639160172</v>
      </c>
      <c r="N10" s="321">
        <f t="shared" si="5"/>
        <v>8.3537462109026439</v>
      </c>
      <c r="O10" s="320">
        <f>IF(AND(ISNUMBER(Laboratorio!O12),ISNUMBER(Courier!O20)),Laboratorio!O12," ")</f>
        <v>0.03</v>
      </c>
      <c r="P10" s="156">
        <f>IF(AND(ISNUMBER(Laboratorio!O12),ISNUMBER(Courier!O20)),Courier!O20," ")</f>
        <v>3.6522500216960907E-2</v>
      </c>
      <c r="Q10" s="157">
        <f t="shared" si="6"/>
        <v>-6.5225002169609081E-3</v>
      </c>
      <c r="R10" s="321">
        <f t="shared" si="7"/>
        <v>21.741667389869697</v>
      </c>
      <c r="S10" s="156">
        <f>IF(AND(ISNUMBER(Laboratorio!Q12),ISNUMBER(Courier!Q20)),Laboratorio!Q12," ")</f>
        <v>4.0000000000000001E-3</v>
      </c>
      <c r="T10" s="157">
        <v>3.5952120088040829E-3</v>
      </c>
      <c r="U10" s="157">
        <f t="shared" si="8"/>
        <v>4.0478799119591721E-4</v>
      </c>
      <c r="V10" s="157">
        <f t="shared" si="9"/>
        <v>10.11969977989793</v>
      </c>
      <c r="W10" s="320">
        <f>IF(AND(ISNUMBER(Laboratorio!S12),ISNUMBER(Courier!S20)),Laboratorio!S12,"")</f>
        <v>3.831</v>
      </c>
      <c r="X10" s="157">
        <f>IF(AND(ISNUMBER(Laboratorio!S12),ISNUMBER(Courier!S20)),Courier!S20,"")</f>
        <v>3.0885875225067139</v>
      </c>
      <c r="Y10" s="157">
        <f t="shared" si="10"/>
        <v>0.74241247749328609</v>
      </c>
      <c r="Z10" s="157">
        <f t="shared" si="11"/>
        <v>19.379077982074815</v>
      </c>
      <c r="AA10" s="320">
        <f>IF(AND(ISNUMBER(Laboratorio!U12),ISNUMBER(Courier!W20)),Laboratorio!U12," ")</f>
        <v>24.384</v>
      </c>
      <c r="AB10" s="157">
        <f>IF(AND(ISNUMBER(Laboratorio!U12),ISNUMBER(Courier!W20)),Courier!W20," ")</f>
        <v>22.765670776367188</v>
      </c>
      <c r="AC10" s="157">
        <f t="shared" si="12"/>
        <v>1.6183292236328128</v>
      </c>
      <c r="AD10" s="321">
        <f t="shared" si="13"/>
        <v>6.6368488502001828</v>
      </c>
      <c r="AE10" s="157">
        <f>IF(AND(ISNUMBER(Laboratorio!W12),ISNUMBER(Courier!Y20)),Laboratorio!W12," ")</f>
        <v>0.754</v>
      </c>
      <c r="AF10" s="157">
        <f>IF(AND(ISNUMBER(Laboratorio!W12),ISNUMBER(Courier!Y20)),Courier!Y20," ")</f>
        <v>0.81273084878921509</v>
      </c>
      <c r="AG10" s="157">
        <f t="shared" si="14"/>
        <v>-5.8730848789215084E-2</v>
      </c>
      <c r="AH10" s="321">
        <f t="shared" si="15"/>
        <v>7.7892372399489496</v>
      </c>
      <c r="AI10" s="157">
        <f>IF(AND(ISNUMBER(Laboratorio!Y12),ISNUMBER(Courier!AA20)),Laboratorio!Y12," ")</f>
        <v>30.76</v>
      </c>
      <c r="AJ10" s="157">
        <f>IF(AND(ISNUMBER(Laboratorio!Y12),ISNUMBER(Courier!AA20)),Courier!AA20," ")</f>
        <v>27.314510345458984</v>
      </c>
      <c r="AK10" s="157">
        <f t="shared" si="16"/>
        <v>3.4454896545410172</v>
      </c>
      <c r="AL10" s="321">
        <f t="shared" si="17"/>
        <v>11.201201737779639</v>
      </c>
      <c r="AM10" s="314"/>
      <c r="AN10" s="331"/>
      <c r="AO10" s="320">
        <f>IF(AND(ISNUMBER(Laboratorio!F12),ISNUMBER(Courier!F20)),Laboratorio!F12," ")</f>
        <v>0.35699999999999998</v>
      </c>
      <c r="AP10" s="157">
        <f>IF(AND(ISNUMBER(Laboratorio!F12),ISNUMBER(Courier!F20)),Courier!F20," ")</f>
        <v>0.33931806683540344</v>
      </c>
      <c r="AQ10" s="84">
        <f t="shared" si="18"/>
        <v>1.7681933164596542E-2</v>
      </c>
      <c r="AR10" s="319">
        <f t="shared" si="19"/>
        <v>4.9529224550690598</v>
      </c>
      <c r="AS10" s="84">
        <f>IF(AND(ISNUMBER(Laboratorio!H12),ISNUMBER(Courier!H20)),Laboratorio!H12," ")</f>
        <v>1.0999999999999999E-2</v>
      </c>
      <c r="AT10" s="84">
        <f>IF(AND(ISNUMBER(Laboratorio!H12),ISNUMBER(Courier!H20)),Courier!H20," ")</f>
        <v>1.7472758889198303E-2</v>
      </c>
      <c r="AU10" s="84">
        <f t="shared" si="20"/>
        <v>-6.4727588891983039E-3</v>
      </c>
      <c r="AV10" s="319">
        <f t="shared" si="21"/>
        <v>58.84326262907549</v>
      </c>
      <c r="AW10" s="84">
        <f>IF(AND(ISNUMBER(Laboratorio!J12),ISNUMBER(Courier!J20)),Laboratorio!J12," ")</f>
        <v>4.3159999999999998</v>
      </c>
      <c r="AX10" s="84">
        <f>IF(AND(ISNUMBER(Laboratorio!J12),ISNUMBER(Courier!J20)),Courier!J20," ")</f>
        <v>3.5040261745452881</v>
      </c>
      <c r="AY10" s="84">
        <f t="shared" si="22"/>
        <v>0.81197382545471175</v>
      </c>
      <c r="AZ10" s="319">
        <f t="shared" si="23"/>
        <v>18.813109950294525</v>
      </c>
      <c r="BA10" s="84">
        <f>IF(AND(ISNUMBER(Laboratorio!P12),ISNUMBER(Courier!P20)),Laboratorio!P12," ")</f>
        <v>2.7E-2</v>
      </c>
      <c r="BB10" s="84">
        <f>IF(AND(ISNUMBER(Laboratorio!P12),ISNUMBER(Courier!P20)),Courier!P20," ")</f>
        <v>2.6393812149763107E-2</v>
      </c>
      <c r="BC10" s="84">
        <f t="shared" si="24"/>
        <v>6.0618785023689239E-4</v>
      </c>
      <c r="BD10" s="319">
        <f t="shared" si="25"/>
        <v>2.2451401860625642</v>
      </c>
      <c r="BE10" s="84">
        <f>IF(AND(ISNUMBER(Laboratorio!R12),ISNUMBER(Courier!R20)),Laboratorio!R12," ")</f>
        <v>3.0000000000000001E-3</v>
      </c>
      <c r="BF10" s="84">
        <f>IF(AND(ISNUMBER(Laboratorio!R12),ISNUMBER(Courier!R20)),Courier!R20," ")</f>
        <v>4.9688247963786125E-3</v>
      </c>
      <c r="BG10" s="84">
        <f t="shared" si="26"/>
        <v>-1.9688247963786125E-3</v>
      </c>
      <c r="BH10" s="319">
        <f t="shared" si="27"/>
        <v>65.627493212620408</v>
      </c>
      <c r="BI10" s="84">
        <f>IF(AND(ISNUMBER(Laboratorio!T12),ISNUMBER(Courier!T20)),Laboratorio!T12," ")</f>
        <v>3.7709999999999999</v>
      </c>
      <c r="BJ10" s="84">
        <f>IF(AND(ISNUMBER(Laboratorio!T12),ISNUMBER(Courier!T20)),Courier!T20," ")</f>
        <v>3.2177166938781738</v>
      </c>
      <c r="BK10" s="84">
        <f t="shared" si="28"/>
        <v>0.55328330612182608</v>
      </c>
      <c r="BL10" s="84">
        <f t="shared" si="29"/>
        <v>14.67205797193917</v>
      </c>
      <c r="BM10" s="318">
        <f>IF(AND(ISNUMBER(Laboratorio!V12),ISNUMBER(Courier!X20)),Laboratorio!V12," ")</f>
        <v>23.292999999999999</v>
      </c>
      <c r="BN10">
        <f>IF(AND(ISNUMBER(Laboratorio!V12),ISNUMBER(Courier!X20)),Courier!X20," ")</f>
        <v>21.698329925537109</v>
      </c>
      <c r="BO10">
        <f t="shared" si="30"/>
        <v>1.5946700744628899</v>
      </c>
      <c r="BP10" s="317">
        <f t="shared" si="31"/>
        <v>6.8461343513625987</v>
      </c>
      <c r="BQ10">
        <f>IF(AND(ISNUMBER(Laboratorio!X12),ISNUMBER(Courier!Z20)),Laboratorio!X12," ")</f>
        <v>0.68600000000000005</v>
      </c>
      <c r="BR10">
        <f>IF(AND(ISNUMBER(Laboratorio!X12),ISNUMBER(Courier!Z20)),Courier!Z20," ")</f>
        <v>0.56563651561737061</v>
      </c>
      <c r="BS10">
        <f t="shared" si="32"/>
        <v>0.12036348438262945</v>
      </c>
      <c r="BT10" s="317">
        <f t="shared" si="33"/>
        <v>17.545697431870181</v>
      </c>
      <c r="BU10">
        <f>IF(AND(ISNUMBER(Laboratorio!Z12),ISNUMBER(Courier!AB20)),Laboratorio!Z12," ")</f>
        <v>29.55</v>
      </c>
      <c r="BV10">
        <f>IF(AND(ISNUMBER(Laboratorio!Z12),ISNUMBER(Courier!AB20)),Courier!AB20," ")</f>
        <v>28.374088287353516</v>
      </c>
      <c r="BW10">
        <f t="shared" si="34"/>
        <v>1.1759117126464851</v>
      </c>
      <c r="BX10" s="317">
        <f t="shared" si="35"/>
        <v>3.9793966587021492</v>
      </c>
    </row>
    <row r="11" spans="2:76" x14ac:dyDescent="0.2">
      <c r="C11" s="320">
        <f>IF(AND(ISNUMBER(Laboratorio!E13),ISNUMBER(Courier!E21)),Laboratorio!E13,"")</f>
        <v>0.34200000000000003</v>
      </c>
      <c r="D11" s="157">
        <f>IF(AND(ISNUMBER(Laboratorio!E13),ISNUMBER(Courier!E21)),Courier!E21,"")</f>
        <v>0.41729328036308289</v>
      </c>
      <c r="E11" s="157">
        <f t="shared" si="0"/>
        <v>-7.529328036308286E-2</v>
      </c>
      <c r="F11" s="321">
        <f t="shared" si="1"/>
        <v>22.015579053532999</v>
      </c>
      <c r="G11" s="320">
        <f>IF(AND(ISNUMBER(Laboratorio!G13),ISNUMBER(Courier!G21)),Laboratorio!G13," ")</f>
        <v>1.2999999999999999E-2</v>
      </c>
      <c r="H11" s="157">
        <f>IF(AND(ISNUMBER(Laboratorio!G13),ISNUMBER(Courier!G21)),Courier!G21," ")</f>
        <v>2.1746393293142319E-2</v>
      </c>
      <c r="I11" s="157">
        <f t="shared" si="2"/>
        <v>-8.7463932931423193E-3</v>
      </c>
      <c r="J11" s="321">
        <f t="shared" si="3"/>
        <v>67.279948408787078</v>
      </c>
      <c r="K11" s="157">
        <f>IF(AND(ISNUMBER(Laboratorio!I13),ISNUMBER(Courier!I21)),Laboratorio!I13," ")</f>
        <v>3.8439999999999999</v>
      </c>
      <c r="L11" s="157">
        <f>IF(AND(ISNUMBER(Laboratorio!I13),ISNUMBER(Courier!I21)),Courier!I21," ")</f>
        <v>3.6080083847045898</v>
      </c>
      <c r="M11" s="157">
        <f t="shared" si="4"/>
        <v>0.23599161529541002</v>
      </c>
      <c r="N11" s="321">
        <f t="shared" si="5"/>
        <v>6.1392199608587417</v>
      </c>
      <c r="O11" s="320">
        <f>IF(AND(ISNUMBER(Laboratorio!O13),ISNUMBER(Courier!O21)),Laboratorio!O13," ")</f>
        <v>3.5000000000000003E-2</v>
      </c>
      <c r="P11" s="156">
        <f>IF(AND(ISNUMBER(Laboratorio!O13),ISNUMBER(Courier!O21)),Courier!O21," ")</f>
        <v>2.9643239453434944E-2</v>
      </c>
      <c r="Q11" s="157">
        <f t="shared" si="6"/>
        <v>5.3567605465650592E-3</v>
      </c>
      <c r="R11" s="321">
        <f t="shared" si="7"/>
        <v>15.305030133043024</v>
      </c>
      <c r="S11" s="156">
        <f>IF(AND(ISNUMBER(Laboratorio!Q13),ISNUMBER(Courier!Q21)),Laboratorio!Q13," ")</f>
        <v>3.0000000000000001E-3</v>
      </c>
      <c r="T11" s="157">
        <v>3.0089970678091049E-3</v>
      </c>
      <c r="U11" s="157">
        <f t="shared" si="8"/>
        <v>-8.997067809104857E-6</v>
      </c>
      <c r="V11" s="157">
        <f t="shared" si="9"/>
        <v>0.29990226030349521</v>
      </c>
      <c r="W11" s="320">
        <f>IF(AND(ISNUMBER(Laboratorio!S13),ISNUMBER(Courier!S21)),Laboratorio!S13,"")</f>
        <v>3.641</v>
      </c>
      <c r="X11" s="157">
        <f>IF(AND(ISNUMBER(Laboratorio!S13),ISNUMBER(Courier!S21)),Courier!S21,"")</f>
        <v>3.2077841758728027</v>
      </c>
      <c r="Y11" s="157">
        <f t="shared" si="10"/>
        <v>0.43321582412719728</v>
      </c>
      <c r="Z11" s="157">
        <f t="shared" si="11"/>
        <v>11.898264875781305</v>
      </c>
      <c r="AA11" s="320">
        <f>IF(AND(ISNUMBER(Laboratorio!U13),ISNUMBER(Courier!W21)),Laboratorio!U13," ")</f>
        <v>24.228000000000002</v>
      </c>
      <c r="AB11" s="157">
        <f>IF(AND(ISNUMBER(Laboratorio!U13),ISNUMBER(Courier!W21)),Courier!W21," ")</f>
        <v>22.739021301269531</v>
      </c>
      <c r="AC11" s="157">
        <f t="shared" si="12"/>
        <v>1.4889786987304703</v>
      </c>
      <c r="AD11" s="321">
        <f t="shared" si="13"/>
        <v>6.1456938200861408</v>
      </c>
      <c r="AE11" s="157">
        <f>IF(AND(ISNUMBER(Laboratorio!W13),ISNUMBER(Courier!Y21)),Laboratorio!W13," ")</f>
        <v>0.67800000000000005</v>
      </c>
      <c r="AF11" s="157">
        <f>IF(AND(ISNUMBER(Laboratorio!W13),ISNUMBER(Courier!Y21)),Courier!Y21," ")</f>
        <v>0.65406531095504761</v>
      </c>
      <c r="AG11" s="157">
        <f t="shared" si="14"/>
        <v>2.393468904495244E-2</v>
      </c>
      <c r="AH11" s="321">
        <f t="shared" si="15"/>
        <v>3.5301901246242537</v>
      </c>
      <c r="AI11" s="157">
        <f>IF(AND(ISNUMBER(Laboratorio!Y13),ISNUMBER(Courier!AA21)),Laboratorio!Y13," ")</f>
        <v>29.37</v>
      </c>
      <c r="AJ11" s="157">
        <f>IF(AND(ISNUMBER(Laboratorio!Y13),ISNUMBER(Courier!AA21)),Courier!AA21," ")</f>
        <v>28.225210189819336</v>
      </c>
      <c r="AK11" s="157">
        <f t="shared" si="16"/>
        <v>1.1447898101806651</v>
      </c>
      <c r="AL11" s="321">
        <f t="shared" si="17"/>
        <v>3.8978202593825846</v>
      </c>
      <c r="AM11" s="314"/>
      <c r="AN11" s="331"/>
      <c r="AO11" s="320">
        <f>IF(AND(ISNUMBER(Laboratorio!F13),ISNUMBER(Courier!F21)),Laboratorio!F13," ")</f>
        <v>0.36399999999999999</v>
      </c>
      <c r="AP11" s="157">
        <f>IF(AND(ISNUMBER(Laboratorio!F13),ISNUMBER(Courier!F21)),Courier!F21," ")</f>
        <v>0.33648413419723511</v>
      </c>
      <c r="AQ11" s="84">
        <f t="shared" si="18"/>
        <v>2.7515865802764883E-2</v>
      </c>
      <c r="AR11" s="319">
        <f t="shared" si="19"/>
        <v>7.5593037919683752</v>
      </c>
      <c r="AS11" s="84">
        <f>IF(AND(ISNUMBER(Laboratorio!H13),ISNUMBER(Courier!H21)),Laboratorio!H13," ")</f>
        <v>1.2999999999999999E-2</v>
      </c>
      <c r="AT11" s="84">
        <f>IF(AND(ISNUMBER(Laboratorio!H13),ISNUMBER(Courier!H21)),Courier!H21," ")</f>
        <v>2.0116547122597694E-2</v>
      </c>
      <c r="AU11" s="84">
        <f t="shared" si="20"/>
        <v>-7.116547122597695E-3</v>
      </c>
      <c r="AV11" s="319">
        <f t="shared" si="21"/>
        <v>54.742670173828422</v>
      </c>
      <c r="AW11" s="84">
        <f>IF(AND(ISNUMBER(Laboratorio!J13),ISNUMBER(Courier!J21)),Laboratorio!J13," ")</f>
        <v>3.7050000000000001</v>
      </c>
      <c r="AX11" s="84">
        <f>IF(AND(ISNUMBER(Laboratorio!J13),ISNUMBER(Courier!J21)),Courier!J21," ")</f>
        <v>3.2283015251159668</v>
      </c>
      <c r="AY11" s="84">
        <f t="shared" si="22"/>
        <v>0.47669847488403327</v>
      </c>
      <c r="AZ11" s="319">
        <f t="shared" si="23"/>
        <v>12.866355597409804</v>
      </c>
      <c r="BA11" s="84">
        <f>IF(AND(ISNUMBER(Laboratorio!P13),ISNUMBER(Courier!P21)),Laboratorio!P13," ")</f>
        <v>4.5999999999999999E-2</v>
      </c>
      <c r="BB11" s="84">
        <f>IF(AND(ISNUMBER(Laboratorio!P13),ISNUMBER(Courier!P21)),Courier!P21," ")</f>
        <v>3.2213561236858368E-2</v>
      </c>
      <c r="BC11" s="84">
        <f t="shared" si="24"/>
        <v>1.3786438763141631E-2</v>
      </c>
      <c r="BD11" s="319">
        <f t="shared" si="25"/>
        <v>29.970519050307892</v>
      </c>
      <c r="BE11" s="84">
        <f>IF(AND(ISNUMBER(Laboratorio!R13),ISNUMBER(Courier!R21)),Laboratorio!R13," ")</f>
        <v>4.0000000000000001E-3</v>
      </c>
      <c r="BF11" s="84">
        <f>IF(AND(ISNUMBER(Laboratorio!R13),ISNUMBER(Courier!R21)),Courier!R21," ")</f>
        <v>4.6929623931646347E-3</v>
      </c>
      <c r="BG11" s="84">
        <f t="shared" si="26"/>
        <v>-6.9296239316463462E-4</v>
      </c>
      <c r="BH11" s="319">
        <f t="shared" si="27"/>
        <v>17.324059829115864</v>
      </c>
      <c r="BI11" s="84">
        <f>IF(AND(ISNUMBER(Laboratorio!T13),ISNUMBER(Courier!T21)),Laboratorio!T13," ")</f>
        <v>3.254</v>
      </c>
      <c r="BJ11" s="84">
        <f>IF(AND(ISNUMBER(Laboratorio!T13),ISNUMBER(Courier!T21)),Courier!T21," ")</f>
        <v>3.0345401763916016</v>
      </c>
      <c r="BK11" s="84">
        <f t="shared" si="28"/>
        <v>0.21945982360839844</v>
      </c>
      <c r="BL11" s="84">
        <f t="shared" si="29"/>
        <v>6.7443092688505972</v>
      </c>
      <c r="BM11" s="318">
        <f>IF(AND(ISNUMBER(Laboratorio!V13),ISNUMBER(Courier!X21)),Laboratorio!V13," ")</f>
        <v>22.599</v>
      </c>
      <c r="BN11">
        <f>IF(AND(ISNUMBER(Laboratorio!V13),ISNUMBER(Courier!X21)),Courier!X21," ")</f>
        <v>23.446987152099609</v>
      </c>
      <c r="BO11">
        <f t="shared" si="30"/>
        <v>-0.84798715209960918</v>
      </c>
      <c r="BP11" s="317">
        <f t="shared" si="31"/>
        <v>3.7523215721917302</v>
      </c>
      <c r="BQ11">
        <f>IF(AND(ISNUMBER(Laboratorio!X13),ISNUMBER(Courier!Z21)),Laboratorio!X13," ")</f>
        <v>0.97499999999999998</v>
      </c>
      <c r="BR11">
        <f>IF(AND(ISNUMBER(Laboratorio!X13),ISNUMBER(Courier!Z21)),Courier!Z21," ")</f>
        <v>0.85263621807098389</v>
      </c>
      <c r="BS11">
        <f t="shared" si="32"/>
        <v>0.12236378192901609</v>
      </c>
      <c r="BT11" s="317">
        <f t="shared" si="33"/>
        <v>12.550131479899088</v>
      </c>
      <c r="BU11">
        <f>IF(AND(ISNUMBER(Laboratorio!Z13),ISNUMBER(Courier!AB21)),Laboratorio!Z13," ")</f>
        <v>28.72</v>
      </c>
      <c r="BV11">
        <f>IF(AND(ISNUMBER(Laboratorio!Z13),ISNUMBER(Courier!AB21)),Courier!AB21," ")</f>
        <v>27.824117660522461</v>
      </c>
      <c r="BW11">
        <f t="shared" si="34"/>
        <v>0.89588233947753793</v>
      </c>
      <c r="BX11" s="317">
        <f t="shared" si="35"/>
        <v>3.1193674772894777</v>
      </c>
    </row>
    <row r="12" spans="2:76" x14ac:dyDescent="0.2">
      <c r="C12" s="320">
        <f>IF(AND(ISNUMBER(Laboratorio!E14),ISNUMBER(Courier!E22)),Laboratorio!E14,"")</f>
        <v>0.34599999999999997</v>
      </c>
      <c r="D12" s="157">
        <f>IF(AND(ISNUMBER(Laboratorio!E14),ISNUMBER(Courier!E22)),Courier!E22,"")</f>
        <v>0.35056298971176147</v>
      </c>
      <c r="E12" s="157">
        <f t="shared" si="0"/>
        <v>-4.5629897117615004E-3</v>
      </c>
      <c r="F12" s="321">
        <f t="shared" si="1"/>
        <v>1.318783153688295</v>
      </c>
      <c r="G12" s="320">
        <f>IF(AND(ISNUMBER(Laboratorio!G14),ISNUMBER(Courier!G22)),Laboratorio!G14," ")</f>
        <v>0.01</v>
      </c>
      <c r="H12" s="157">
        <f>IF(AND(ISNUMBER(Laboratorio!G14),ISNUMBER(Courier!G22)),Courier!G22," ")</f>
        <v>1.5217055566608906E-2</v>
      </c>
      <c r="I12" s="157">
        <f t="shared" si="2"/>
        <v>-5.2170555666089056E-3</v>
      </c>
      <c r="J12" s="321">
        <f t="shared" si="3"/>
        <v>52.170555666089058</v>
      </c>
      <c r="K12" s="157">
        <f>IF(AND(ISNUMBER(Laboratorio!I14),ISNUMBER(Courier!I22)),Laboratorio!I14," ")</f>
        <v>3.7719999999999998</v>
      </c>
      <c r="L12" s="157">
        <f>IF(AND(ISNUMBER(Laboratorio!I14),ISNUMBER(Courier!I22)),Courier!I22," ")</f>
        <v>3.4119632244110107</v>
      </c>
      <c r="M12" s="157">
        <f t="shared" si="4"/>
        <v>0.36003677558898906</v>
      </c>
      <c r="N12" s="321">
        <f t="shared" si="5"/>
        <v>9.5449834461555962</v>
      </c>
      <c r="O12" s="320">
        <f>IF(AND(ISNUMBER(Laboratorio!O14),ISNUMBER(Courier!O22)),Laboratorio!O14," ")</f>
        <v>3.5999999999999997E-2</v>
      </c>
      <c r="P12" s="156">
        <f>IF(AND(ISNUMBER(Laboratorio!O14),ISNUMBER(Courier!O22)),Courier!O22," ")</f>
        <v>3.4870393574237823E-2</v>
      </c>
      <c r="Q12" s="157">
        <f t="shared" si="6"/>
        <v>1.1296064257621738E-3</v>
      </c>
      <c r="R12" s="321">
        <f t="shared" si="7"/>
        <v>3.1377956271171494</v>
      </c>
      <c r="S12" s="156">
        <f>IF(AND(ISNUMBER(Laboratorio!Q14),ISNUMBER(Courier!Q22)),Laboratorio!Q14," ")</f>
        <v>4.0000000000000001E-3</v>
      </c>
      <c r="T12" s="157">
        <v>3.6296325270086527E-3</v>
      </c>
      <c r="U12" s="157">
        <f t="shared" si="8"/>
        <v>3.703674729913474E-4</v>
      </c>
      <c r="V12" s="157">
        <f t="shared" si="9"/>
        <v>9.2591868247836846</v>
      </c>
      <c r="W12" s="320">
        <f>IF(AND(ISNUMBER(Laboratorio!S14),ISNUMBER(Courier!S22)),Laboratorio!S14,"")</f>
        <v>3.323</v>
      </c>
      <c r="X12" s="157">
        <f>IF(AND(ISNUMBER(Laboratorio!S14),ISNUMBER(Courier!S22)),Courier!S22,"")</f>
        <v>2.8765525817871094</v>
      </c>
      <c r="Y12" s="157">
        <f t="shared" si="10"/>
        <v>0.44644741821289058</v>
      </c>
      <c r="Z12" s="157">
        <f t="shared" si="11"/>
        <v>13.435071267315395</v>
      </c>
      <c r="AA12" s="320">
        <f>IF(AND(ISNUMBER(Laboratorio!U14),ISNUMBER(Courier!W22)),Laboratorio!U14," ")</f>
        <v>22.984999999999999</v>
      </c>
      <c r="AB12" s="157">
        <f>IF(AND(ISNUMBER(Laboratorio!U14),ISNUMBER(Courier!W22)),Courier!W22," ")</f>
        <v>22.019834518432617</v>
      </c>
      <c r="AC12" s="157">
        <f t="shared" si="12"/>
        <v>0.96516548156738224</v>
      </c>
      <c r="AD12" s="321">
        <f t="shared" si="13"/>
        <v>4.1991102091250045</v>
      </c>
      <c r="AE12" s="157">
        <f>IF(AND(ISNUMBER(Laboratorio!W14),ISNUMBER(Courier!Y22)),Laboratorio!W14," ")</f>
        <v>0.69499999999999995</v>
      </c>
      <c r="AF12" s="157">
        <f>IF(AND(ISNUMBER(Laboratorio!W14),ISNUMBER(Courier!Y22)),Courier!Y22," ")</f>
        <v>0.6122165322303772</v>
      </c>
      <c r="AG12" s="157">
        <f t="shared" si="14"/>
        <v>8.2783467769622754E-2</v>
      </c>
      <c r="AH12" s="321">
        <f t="shared" si="15"/>
        <v>11.911290326564426</v>
      </c>
      <c r="AI12" s="157">
        <f>IF(AND(ISNUMBER(Laboratorio!Y14),ISNUMBER(Courier!AA22)),Laboratorio!Y14," ")</f>
        <v>28.42</v>
      </c>
      <c r="AJ12" s="157">
        <f>IF(AND(ISNUMBER(Laboratorio!Y14),ISNUMBER(Courier!AA22)),Courier!AA22," ")</f>
        <v>27.567352294921875</v>
      </c>
      <c r="AK12" s="157">
        <f t="shared" si="16"/>
        <v>0.85264770507812671</v>
      </c>
      <c r="AL12" s="321">
        <f t="shared" si="17"/>
        <v>3.0001678574177575</v>
      </c>
      <c r="AM12" s="314"/>
      <c r="AN12" s="331"/>
      <c r="AO12" s="320">
        <f>IF(AND(ISNUMBER(Laboratorio!F14),ISNUMBER(Courier!F22)),Laboratorio!F14," ")</f>
        <v>0.39</v>
      </c>
      <c r="AP12" s="157">
        <f>IF(AND(ISNUMBER(Laboratorio!F14),ISNUMBER(Courier!F22)),Courier!F22," ")</f>
        <v>0.40267342329025269</v>
      </c>
      <c r="AQ12" s="84">
        <f t="shared" si="18"/>
        <v>-1.2673423290252672E-2</v>
      </c>
      <c r="AR12" s="319">
        <f t="shared" si="19"/>
        <v>3.2495957154494026</v>
      </c>
      <c r="AS12" s="84">
        <f>IF(AND(ISNUMBER(Laboratorio!H14),ISNUMBER(Courier!H22)),Laboratorio!H14," ")</f>
        <v>1.4E-2</v>
      </c>
      <c r="AT12" s="84">
        <f>IF(AND(ISNUMBER(Laboratorio!H14),ISNUMBER(Courier!H22)),Courier!H22," ")</f>
        <v>2.2319607436656952E-2</v>
      </c>
      <c r="AU12" s="84">
        <f t="shared" si="20"/>
        <v>-8.3196074366569516E-3</v>
      </c>
      <c r="AV12" s="319">
        <f t="shared" si="21"/>
        <v>59.425767404692508</v>
      </c>
      <c r="AW12" s="84">
        <f>IF(AND(ISNUMBER(Laboratorio!J14),ISNUMBER(Courier!J22)),Laboratorio!J14," ")</f>
        <v>3.3290000000000002</v>
      </c>
      <c r="AX12" s="84">
        <f>IF(AND(ISNUMBER(Laboratorio!J14),ISNUMBER(Courier!J22)),Courier!J22," ")</f>
        <v>2.9544482231140137</v>
      </c>
      <c r="AY12" s="84">
        <f t="shared" si="22"/>
        <v>0.37455177688598651</v>
      </c>
      <c r="AZ12" s="319">
        <f t="shared" si="23"/>
        <v>11.251179840372078</v>
      </c>
      <c r="BA12" s="84">
        <f>IF(AND(ISNUMBER(Laboratorio!P14),ISNUMBER(Courier!P22)),Laboratorio!P14," ")</f>
        <v>3.4000000000000002E-2</v>
      </c>
      <c r="BB12" s="84">
        <f>IF(AND(ISNUMBER(Laboratorio!P14),ISNUMBER(Courier!P22)),Courier!P22," ")</f>
        <v>3.715331107378006E-2</v>
      </c>
      <c r="BC12" s="84">
        <f t="shared" si="24"/>
        <v>-3.1533110737800574E-3</v>
      </c>
      <c r="BD12" s="319">
        <f t="shared" si="25"/>
        <v>9.2744443346472263</v>
      </c>
      <c r="BE12" s="84">
        <f>IF(AND(ISNUMBER(Laboratorio!R14),ISNUMBER(Courier!R22)),Laboratorio!R14," ")</f>
        <v>2E-3</v>
      </c>
      <c r="BF12" s="84">
        <f>IF(AND(ISNUMBER(Laboratorio!R14),ISNUMBER(Courier!R22)),Courier!R22," ")</f>
        <v>5.7759997434914112E-3</v>
      </c>
      <c r="BG12" s="84">
        <f t="shared" si="26"/>
        <v>-3.7759997434914112E-3</v>
      </c>
      <c r="BH12" s="319">
        <f t="shared" si="27"/>
        <v>188.79998717457056</v>
      </c>
      <c r="BI12" s="84">
        <f>IF(AND(ISNUMBER(Laboratorio!T14),ISNUMBER(Courier!T22)),Laboratorio!T14," ")</f>
        <v>2.6190000000000002</v>
      </c>
      <c r="BJ12" s="84">
        <f>IF(AND(ISNUMBER(Laboratorio!T14),ISNUMBER(Courier!T22)),Courier!T22," ")</f>
        <v>2.5311262607574463</v>
      </c>
      <c r="BK12" s="84">
        <f t="shared" si="28"/>
        <v>8.7873739242553928E-2</v>
      </c>
      <c r="BL12" s="84">
        <f t="shared" si="29"/>
        <v>3.35524013908186</v>
      </c>
      <c r="BM12" s="318">
        <f>IF(AND(ISNUMBER(Laboratorio!V14),ISNUMBER(Courier!X22)),Laboratorio!V14," ")</f>
        <v>23.789000000000001</v>
      </c>
      <c r="BN12">
        <f>IF(AND(ISNUMBER(Laboratorio!V14),ISNUMBER(Courier!X22)),Courier!X22," ")</f>
        <v>22.019834518432617</v>
      </c>
      <c r="BO12">
        <f t="shared" si="30"/>
        <v>1.7691654815673843</v>
      </c>
      <c r="BP12" s="317">
        <f t="shared" si="31"/>
        <v>7.4369056352405911</v>
      </c>
      <c r="BQ12">
        <f>IF(AND(ISNUMBER(Laboratorio!X14),ISNUMBER(Courier!Z22)),Laboratorio!X14," ")</f>
        <v>0.746</v>
      </c>
      <c r="BR12">
        <f>IF(AND(ISNUMBER(Laboratorio!X14),ISNUMBER(Courier!Z22)),Courier!Z22," ")</f>
        <v>0.6122165322303772</v>
      </c>
      <c r="BS12">
        <f t="shared" si="32"/>
        <v>0.1337834677696228</v>
      </c>
      <c r="BT12" s="317">
        <f t="shared" si="33"/>
        <v>17.933440719788578</v>
      </c>
      <c r="BU12">
        <f>IF(AND(ISNUMBER(Laboratorio!Z14),ISNUMBER(Courier!AB22)),Laboratorio!Z14," ")</f>
        <v>30.48</v>
      </c>
      <c r="BV12">
        <f>IF(AND(ISNUMBER(Laboratorio!Z14),ISNUMBER(Courier!AB22)),Courier!AB22," ")</f>
        <v>27.567352294921875</v>
      </c>
      <c r="BW12">
        <f t="shared" si="34"/>
        <v>2.9126477050781254</v>
      </c>
      <c r="BX12" s="317">
        <f t="shared" si="35"/>
        <v>9.5559307909387314</v>
      </c>
    </row>
    <row r="13" spans="2:76" x14ac:dyDescent="0.2">
      <c r="C13" s="320">
        <f>IF(AND(ISNUMBER(Laboratorio!E15),ISNUMBER(Courier!E23)),Laboratorio!E15,"")</f>
        <v>0.504</v>
      </c>
      <c r="D13" s="157">
        <f>IF(AND(ISNUMBER(Laboratorio!E15),ISNUMBER(Courier!E23)),Courier!E23,"")</f>
        <v>0.50069797039031982</v>
      </c>
      <c r="E13" s="157">
        <f t="shared" si="0"/>
        <v>3.3020296096801793E-3</v>
      </c>
      <c r="F13" s="321">
        <f t="shared" si="1"/>
        <v>0.65516460509527363</v>
      </c>
      <c r="G13" s="320">
        <f>IF(AND(ISNUMBER(Laboratorio!G15),ISNUMBER(Courier!G23)),Laboratorio!G15," ")</f>
        <v>3.4000000000000002E-2</v>
      </c>
      <c r="H13" s="157">
        <f>IF(AND(ISNUMBER(Laboratorio!G15),ISNUMBER(Courier!G23)),Courier!G23," ")</f>
        <v>3.0464477837085724E-2</v>
      </c>
      <c r="I13" s="157">
        <f t="shared" si="2"/>
        <v>3.5355221629142786E-3</v>
      </c>
      <c r="J13" s="321">
        <f t="shared" si="3"/>
        <v>10.398594596806701</v>
      </c>
      <c r="K13" s="157">
        <f>IF(AND(ISNUMBER(Laboratorio!I15),ISNUMBER(Courier!I23)),Laboratorio!I15," ")</f>
        <v>2.7160000000000002</v>
      </c>
      <c r="L13" s="157">
        <f>IF(AND(ISNUMBER(Laboratorio!I15),ISNUMBER(Courier!I23)),Courier!I23," ")</f>
        <v>2.6430220603942871</v>
      </c>
      <c r="M13" s="157">
        <f t="shared" si="4"/>
        <v>7.2977939605713082E-2</v>
      </c>
      <c r="N13" s="321">
        <f t="shared" si="5"/>
        <v>2.6869639030085817</v>
      </c>
      <c r="O13" s="320">
        <f>IF(AND(ISNUMBER(Laboratorio!O15),ISNUMBER(Courier!O23)),Laboratorio!O15," ")</f>
        <v>3.4000000000000002E-2</v>
      </c>
      <c r="P13" s="156">
        <f>IF(AND(ISNUMBER(Laboratorio!O15),ISNUMBER(Courier!O23)),Courier!O23," ")</f>
        <v>5.3573578596115112E-2</v>
      </c>
      <c r="Q13" s="157">
        <f t="shared" si="6"/>
        <v>-1.957357859611511E-2</v>
      </c>
      <c r="R13" s="321">
        <f t="shared" si="7"/>
        <v>57.569348812103257</v>
      </c>
      <c r="S13" s="156">
        <f>IF(AND(ISNUMBER(Laboratorio!Q15),ISNUMBER(Courier!Q23)),Laboratorio!Q15," ")</f>
        <v>4.0000000000000001E-3</v>
      </c>
      <c r="T13" s="157">
        <v>3.7236842326819897E-3</v>
      </c>
      <c r="U13" s="157">
        <f t="shared" si="8"/>
        <v>2.7631576731801041E-4</v>
      </c>
      <c r="V13" s="157">
        <f t="shared" si="9"/>
        <v>6.90789418295026</v>
      </c>
      <c r="W13" s="320">
        <f>IF(AND(ISNUMBER(Laboratorio!S15),ISNUMBER(Courier!S23)),Laboratorio!S15,"")</f>
        <v>2.048</v>
      </c>
      <c r="X13" s="157">
        <f>IF(AND(ISNUMBER(Laboratorio!S15),ISNUMBER(Courier!S23)),Courier!S23,"")</f>
        <v>2.0745596885681152</v>
      </c>
      <c r="Y13" s="157">
        <f t="shared" si="10"/>
        <v>-2.6559688568115192E-2</v>
      </c>
      <c r="Z13" s="157">
        <f t="shared" si="11"/>
        <v>1.2968597933649997</v>
      </c>
      <c r="AA13" s="320">
        <f>IF(AND(ISNUMBER(Laboratorio!U15),ISNUMBER(Courier!W23)),Laboratorio!U15," ")</f>
        <v>24.324000000000002</v>
      </c>
      <c r="AB13" s="157">
        <f>IF(AND(ISNUMBER(Laboratorio!U15),ISNUMBER(Courier!W23)),Courier!W23," ")</f>
        <v>22.019834518432617</v>
      </c>
      <c r="AC13" s="157">
        <f t="shared" si="12"/>
        <v>2.3041654815673844</v>
      </c>
      <c r="AD13" s="321">
        <f t="shared" si="13"/>
        <v>9.4728066171985876</v>
      </c>
      <c r="AE13" s="157">
        <f>IF(AND(ISNUMBER(Laboratorio!W15),ISNUMBER(Courier!Y23)),Laboratorio!W15," ")</f>
        <v>1.4670000000000001</v>
      </c>
      <c r="AF13" s="157">
        <f>IF(AND(ISNUMBER(Laboratorio!W15),ISNUMBER(Courier!Y23)),Courier!Y23," ")</f>
        <v>0.6122165322303772</v>
      </c>
      <c r="AG13" s="157">
        <f t="shared" si="14"/>
        <v>0.85478346776962288</v>
      </c>
      <c r="AH13" s="321">
        <f t="shared" si="15"/>
        <v>58.267448382387379</v>
      </c>
      <c r="AI13" s="157">
        <f>IF(AND(ISNUMBER(Laboratorio!Y15),ISNUMBER(Courier!AA23)),Laboratorio!Y15," ")</f>
        <v>27.7</v>
      </c>
      <c r="AJ13" s="157">
        <f>IF(AND(ISNUMBER(Laboratorio!Y15),ISNUMBER(Courier!AA23)),Courier!AA23," ")</f>
        <v>27.567352294921875</v>
      </c>
      <c r="AK13" s="157">
        <f t="shared" si="16"/>
        <v>0.13264770507812429</v>
      </c>
      <c r="AL13" s="321">
        <f t="shared" si="17"/>
        <v>0.47887258150947398</v>
      </c>
      <c r="AM13" s="314"/>
      <c r="AN13" s="331"/>
      <c r="AO13" s="320">
        <f>IF(AND(ISNUMBER(Laboratorio!F15),ISNUMBER(Courier!F23)),Laboratorio!F15," ")</f>
        <v>0.55000000000000004</v>
      </c>
      <c r="AP13" s="157">
        <f>IF(AND(ISNUMBER(Laboratorio!F15),ISNUMBER(Courier!F23)),Courier!F23," ")</f>
        <v>0.50069797039031982</v>
      </c>
      <c r="AQ13" s="84">
        <f t="shared" si="18"/>
        <v>4.930202960968022E-2</v>
      </c>
      <c r="AR13" s="319">
        <f t="shared" si="19"/>
        <v>8.9640053835782201</v>
      </c>
      <c r="AS13" s="84">
        <f>IF(AND(ISNUMBER(Laboratorio!H15),ISNUMBER(Courier!H23)),Laboratorio!H15," ")</f>
        <v>3.7999999999999999E-2</v>
      </c>
      <c r="AT13" s="84">
        <f>IF(AND(ISNUMBER(Laboratorio!H15),ISNUMBER(Courier!H23)),Courier!H23," ")</f>
        <v>3.0464477837085724E-2</v>
      </c>
      <c r="AU13" s="84">
        <f t="shared" si="20"/>
        <v>7.5355221629142752E-3</v>
      </c>
      <c r="AV13" s="319">
        <f t="shared" si="21"/>
        <v>19.830321481353355</v>
      </c>
      <c r="AW13" s="84">
        <f>IF(AND(ISNUMBER(Laboratorio!J15),ISNUMBER(Courier!J23)),Laboratorio!J15," ")</f>
        <v>2.1549999999999998</v>
      </c>
      <c r="AX13" s="84">
        <f>IF(AND(ISNUMBER(Laboratorio!J15),ISNUMBER(Courier!J23)),Courier!J23," ")</f>
        <v>2.6430220603942871</v>
      </c>
      <c r="AY13" s="84">
        <f t="shared" si="22"/>
        <v>-0.4880220603942873</v>
      </c>
      <c r="AZ13" s="319">
        <f t="shared" si="23"/>
        <v>22.646035285117744</v>
      </c>
      <c r="BA13" s="84">
        <f>IF(AND(ISNUMBER(Laboratorio!P15),ISNUMBER(Courier!P23)),Laboratorio!P15," ")</f>
        <v>4.1000000000000002E-2</v>
      </c>
      <c r="BB13" s="84">
        <f>IF(AND(ISNUMBER(Laboratorio!P15),ISNUMBER(Courier!P23)),Courier!P23," ")</f>
        <v>5.3573578596115112E-2</v>
      </c>
      <c r="BC13" s="84">
        <f t="shared" si="24"/>
        <v>-1.2573578596115111E-2</v>
      </c>
      <c r="BD13" s="319">
        <f t="shared" si="25"/>
        <v>30.66726486857344</v>
      </c>
      <c r="BE13" s="84">
        <f>IF(AND(ISNUMBER(Laboratorio!R15),ISNUMBER(Courier!R23)),Laboratorio!R15," ")</f>
        <v>4.0000000000000001E-3</v>
      </c>
      <c r="BF13" s="84">
        <f>IF(AND(ISNUMBER(Laboratorio!R15),ISNUMBER(Courier!R23)),Courier!R23," ")</f>
        <v>6.0481196269392967E-3</v>
      </c>
      <c r="BG13" s="84">
        <f t="shared" si="26"/>
        <v>-2.0481196269392966E-3</v>
      </c>
      <c r="BH13" s="319">
        <f t="shared" si="27"/>
        <v>51.202990673482418</v>
      </c>
      <c r="BI13" s="84">
        <f>IF(AND(ISNUMBER(Laboratorio!T15),ISNUMBER(Courier!T23)),Laboratorio!T15," ")</f>
        <v>1.5549999999999999</v>
      </c>
      <c r="BJ13" s="84">
        <f>IF(AND(ISNUMBER(Laboratorio!T15),ISNUMBER(Courier!T23)),Courier!T23," ")</f>
        <v>2.0745596885681152</v>
      </c>
      <c r="BK13" s="84">
        <f t="shared" si="28"/>
        <v>-0.5195596885681153</v>
      </c>
      <c r="BL13" s="84">
        <f t="shared" si="29"/>
        <v>33.412198621743748</v>
      </c>
      <c r="BM13" s="318">
        <f>IF(AND(ISNUMBER(Laboratorio!V15),ISNUMBER(Courier!X23)),Laboratorio!V15," ")</f>
        <v>24.975000000000001</v>
      </c>
      <c r="BN13">
        <f>IF(AND(ISNUMBER(Laboratorio!V15),ISNUMBER(Courier!X23)),Courier!X23," ")</f>
        <v>22.019834518432617</v>
      </c>
      <c r="BO13">
        <f t="shared" si="30"/>
        <v>2.9551654815673842</v>
      </c>
      <c r="BP13" s="317">
        <f t="shared" si="31"/>
        <v>11.832494420690226</v>
      </c>
      <c r="BQ13">
        <f>IF(AND(ISNUMBER(Laboratorio!X15),ISNUMBER(Courier!Z23)),Laboratorio!X15," ")</f>
        <v>1.4730000000000001</v>
      </c>
      <c r="BR13">
        <f>IF(AND(ISNUMBER(Laboratorio!X15),ISNUMBER(Courier!Z23)),Courier!Z23," ")</f>
        <v>0.6122165322303772</v>
      </c>
      <c r="BS13">
        <f t="shared" si="32"/>
        <v>0.86078346776962289</v>
      </c>
      <c r="BT13" s="317">
        <f t="shared" si="33"/>
        <v>58.437438409343031</v>
      </c>
      <c r="BU13">
        <f>IF(AND(ISNUMBER(Laboratorio!Z15),ISNUMBER(Courier!AB23)),Laboratorio!Z15," ")</f>
        <v>27.31</v>
      </c>
      <c r="BV13">
        <f>IF(AND(ISNUMBER(Laboratorio!Z15),ISNUMBER(Courier!AB23)),Courier!AB23," ")</f>
        <v>27.567352294921875</v>
      </c>
      <c r="BW13">
        <f t="shared" si="34"/>
        <v>-0.25735229492187628</v>
      </c>
      <c r="BX13" s="317">
        <f t="shared" si="35"/>
        <v>0.94233722051217972</v>
      </c>
    </row>
    <row r="14" spans="2:76" x14ac:dyDescent="0.2">
      <c r="C14" s="320">
        <f>IF(AND(ISNUMBER(Laboratorio!E16),ISNUMBER(Courier!E24)),Laboratorio!E16,"")</f>
        <v>0.52200000000000002</v>
      </c>
      <c r="D14" s="157">
        <f>IF(AND(ISNUMBER(Laboratorio!E16),ISNUMBER(Courier!E24)),Courier!E24,"")</f>
        <v>0.50124430656433105</v>
      </c>
      <c r="E14" s="157">
        <f t="shared" si="0"/>
        <v>2.0755693435668965E-2</v>
      </c>
      <c r="F14" s="321">
        <f t="shared" si="1"/>
        <v>3.9761864819289201</v>
      </c>
      <c r="G14" s="320">
        <f>IF(AND(ISNUMBER(Laboratorio!G16),ISNUMBER(Courier!G24)),Laboratorio!G16," ")</f>
        <v>4.2999999999999997E-2</v>
      </c>
      <c r="H14" s="157">
        <f>IF(AND(ISNUMBER(Laboratorio!G16),ISNUMBER(Courier!G24)),Courier!G24," ")</f>
        <v>3.4926913678646088E-2</v>
      </c>
      <c r="I14" s="157">
        <f t="shared" si="2"/>
        <v>8.0730863213539089E-3</v>
      </c>
      <c r="J14" s="321">
        <f t="shared" si="3"/>
        <v>18.774619351985837</v>
      </c>
      <c r="K14" s="157">
        <f>IF(AND(ISNUMBER(Laboratorio!I16),ISNUMBER(Courier!I24)),Laboratorio!I16," ")</f>
        <v>2.4169999999999998</v>
      </c>
      <c r="L14" s="157">
        <f>IF(AND(ISNUMBER(Laboratorio!I16),ISNUMBER(Courier!I24)),Courier!I24," ")</f>
        <v>2.3879258632659912</v>
      </c>
      <c r="M14" s="157">
        <f t="shared" si="4"/>
        <v>2.9074136734008604E-2</v>
      </c>
      <c r="N14" s="321">
        <f t="shared" si="5"/>
        <v>1.2029018094335377</v>
      </c>
      <c r="O14" s="320">
        <f>IF(AND(ISNUMBER(Laboratorio!O16),ISNUMBER(Courier!O24)),Laboratorio!O16," ")</f>
        <v>3.6999999999999998E-2</v>
      </c>
      <c r="P14" s="156">
        <f>IF(AND(ISNUMBER(Laboratorio!O16),ISNUMBER(Courier!O24)),Courier!O24," ")</f>
        <v>5.818692222237587E-2</v>
      </c>
      <c r="Q14" s="157">
        <f t="shared" si="6"/>
        <v>-2.1186922222375872E-2</v>
      </c>
      <c r="R14" s="321">
        <f t="shared" si="7"/>
        <v>57.26195195236722</v>
      </c>
      <c r="S14" s="156">
        <f>IF(AND(ISNUMBER(Laboratorio!Q16),ISNUMBER(Courier!Q24)),Laboratorio!Q16," ")</f>
        <v>7.0000000000000001E-3</v>
      </c>
      <c r="T14" s="157">
        <v>3.7513917777687311E-3</v>
      </c>
      <c r="U14" s="157">
        <f t="shared" si="8"/>
        <v>3.248608222231269E-3</v>
      </c>
      <c r="V14" s="157">
        <f t="shared" si="9"/>
        <v>46.40868888901813</v>
      </c>
      <c r="W14" s="320">
        <f>IF(AND(ISNUMBER(Laboratorio!S16),ISNUMBER(Courier!S24)),Laboratorio!S16,"")</f>
        <v>1.82</v>
      </c>
      <c r="X14" s="157">
        <f>IF(AND(ISNUMBER(Laboratorio!S16),ISNUMBER(Courier!S24)),Courier!S24,"")</f>
        <v>1.5710897445678711</v>
      </c>
      <c r="Y14" s="157">
        <f t="shared" si="10"/>
        <v>0.24891025543212897</v>
      </c>
      <c r="Z14" s="157">
        <f t="shared" si="11"/>
        <v>13.676387661105988</v>
      </c>
      <c r="AA14" s="320">
        <f>IF(AND(ISNUMBER(Laboratorio!U16),ISNUMBER(Courier!W24)),Laboratorio!U16," ")</f>
        <v>22.885000000000002</v>
      </c>
      <c r="AB14" s="157">
        <f>IF(AND(ISNUMBER(Laboratorio!U16),ISNUMBER(Courier!W24)),Courier!W24," ")</f>
        <v>23.598623275756836</v>
      </c>
      <c r="AC14" s="157">
        <f t="shared" si="12"/>
        <v>-0.71362327575683437</v>
      </c>
      <c r="AD14" s="321">
        <f t="shared" si="13"/>
        <v>3.1183014016029462</v>
      </c>
      <c r="AE14" s="157">
        <f>IF(AND(ISNUMBER(Laboratorio!W16),ISNUMBER(Courier!Y24)),Laboratorio!W16," ")</f>
        <v>2.68</v>
      </c>
      <c r="AF14" s="157">
        <f>IF(AND(ISNUMBER(Laboratorio!W16),ISNUMBER(Courier!Y24)),Courier!Y24," ")</f>
        <v>1.9800312519073486</v>
      </c>
      <c r="AG14" s="157">
        <f t="shared" si="14"/>
        <v>0.69996874809265153</v>
      </c>
      <c r="AH14" s="321">
        <f t="shared" si="15"/>
        <v>26.118236869128786</v>
      </c>
      <c r="AI14" s="157">
        <f>IF(AND(ISNUMBER(Laboratorio!Y16),ISNUMBER(Courier!AA24)),Laboratorio!Y16," ")</f>
        <v>28.91</v>
      </c>
      <c r="AJ14" s="157">
        <f>IF(AND(ISNUMBER(Laboratorio!Y16),ISNUMBER(Courier!AA24)),Courier!AA24," ")</f>
        <v>27.449356079101563</v>
      </c>
      <c r="AK14" s="157">
        <f t="shared" si="16"/>
        <v>1.4606439208984376</v>
      </c>
      <c r="AL14" s="321">
        <f t="shared" si="17"/>
        <v>5.0523829847749484</v>
      </c>
      <c r="AM14" s="314"/>
      <c r="AN14" s="331"/>
      <c r="AO14" s="320">
        <f>IF(AND(ISNUMBER(Laboratorio!F16),ISNUMBER(Courier!F24)),Laboratorio!F16," ")</f>
        <v>0.624</v>
      </c>
      <c r="AP14" s="157">
        <f>IF(AND(ISNUMBER(Laboratorio!F16),ISNUMBER(Courier!F24)),Courier!F24," ")</f>
        <v>0.54401510953903198</v>
      </c>
      <c r="AQ14" s="84">
        <f t="shared" si="18"/>
        <v>7.9984890460968017E-2</v>
      </c>
      <c r="AR14" s="319">
        <f t="shared" si="19"/>
        <v>12.818091420026926</v>
      </c>
      <c r="AS14" s="84">
        <f>IF(AND(ISNUMBER(Laboratorio!H16),ISNUMBER(Courier!H24)),Laboratorio!H16," ")</f>
        <v>4.7E-2</v>
      </c>
      <c r="AT14" s="84">
        <f>IF(AND(ISNUMBER(Laboratorio!H16),ISNUMBER(Courier!H24)),Courier!H24," ")</f>
        <v>3.6339662969112396E-2</v>
      </c>
      <c r="AU14" s="84">
        <f t="shared" si="20"/>
        <v>1.0660337030887604E-2</v>
      </c>
      <c r="AV14" s="319">
        <f t="shared" si="21"/>
        <v>22.681568150824688</v>
      </c>
      <c r="AW14" s="84">
        <f>IF(AND(ISNUMBER(Laboratorio!J16),ISNUMBER(Courier!J24)),Laboratorio!J16," ")</f>
        <v>2.3109999999999999</v>
      </c>
      <c r="AX14" s="84">
        <f>IF(AND(ISNUMBER(Laboratorio!J16),ISNUMBER(Courier!J24)),Courier!J24," ")</f>
        <v>2.330700159072876</v>
      </c>
      <c r="AY14" s="84">
        <f t="shared" si="22"/>
        <v>-1.9700159072876033E-2</v>
      </c>
      <c r="AZ14" s="319">
        <f t="shared" si="23"/>
        <v>0.85245171237023076</v>
      </c>
      <c r="BA14" s="84">
        <f>IF(AND(ISNUMBER(Laboratorio!P16),ISNUMBER(Courier!P24)),Laboratorio!P16," ")</f>
        <v>4.7E-2</v>
      </c>
      <c r="BB14" s="84">
        <f>IF(AND(ISNUMBER(Laboratorio!P16),ISNUMBER(Courier!P24)),Courier!P24," ")</f>
        <v>5.7170253247022629E-2</v>
      </c>
      <c r="BC14" s="84">
        <f t="shared" si="24"/>
        <v>-1.0170253247022629E-2</v>
      </c>
      <c r="BD14" s="319">
        <f t="shared" si="25"/>
        <v>21.638836695792826</v>
      </c>
      <c r="BE14" s="84">
        <f>IF(AND(ISNUMBER(Laboratorio!R16),ISNUMBER(Courier!R24)),Laboratorio!R16," ")</f>
        <v>7.0000000000000001E-3</v>
      </c>
      <c r="BF14" s="84">
        <f>IF(AND(ISNUMBER(Laboratorio!R16),ISNUMBER(Courier!R24)),Courier!R24," ")</f>
        <v>6.0328668914735317E-3</v>
      </c>
      <c r="BG14" s="84">
        <f t="shared" si="26"/>
        <v>9.6713310852646842E-4</v>
      </c>
      <c r="BH14" s="319">
        <f t="shared" si="27"/>
        <v>13.816187264663835</v>
      </c>
      <c r="BI14" s="84">
        <f>IF(AND(ISNUMBER(Laboratorio!T16),ISNUMBER(Courier!T24)),Laboratorio!T16," ")</f>
        <v>1.5509999999999999</v>
      </c>
      <c r="BJ14" s="84">
        <f>IF(AND(ISNUMBER(Laboratorio!T16),ISNUMBER(Courier!T24)),Courier!T24," ")</f>
        <v>1.5980982780456543</v>
      </c>
      <c r="BK14" s="84">
        <f t="shared" si="28"/>
        <v>-4.7098278045654363E-2</v>
      </c>
      <c r="BL14" s="84">
        <f t="shared" si="29"/>
        <v>3.0366394613574701</v>
      </c>
      <c r="BM14" s="318">
        <f>IF(AND(ISNUMBER(Laboratorio!V16),ISNUMBER(Courier!X24)),Laboratorio!V16," ")</f>
        <v>24.776</v>
      </c>
      <c r="BN14">
        <f>IF(AND(ISNUMBER(Laboratorio!V16),ISNUMBER(Courier!X24)),Courier!X24," ")</f>
        <v>23.708185195922852</v>
      </c>
      <c r="BO14">
        <f t="shared" si="30"/>
        <v>1.0678148040771482</v>
      </c>
      <c r="BP14" s="317">
        <f t="shared" si="31"/>
        <v>4.3098757026039243</v>
      </c>
      <c r="BQ14">
        <f>IF(AND(ISNUMBER(Laboratorio!X16),ISNUMBER(Courier!Z24)),Laboratorio!X16," ")</f>
        <v>1.6240000000000001</v>
      </c>
      <c r="BR14">
        <f>IF(AND(ISNUMBER(Laboratorio!X16),ISNUMBER(Courier!Z24)),Courier!Z24," ")</f>
        <v>1.8469420671463013</v>
      </c>
      <c r="BS14">
        <f t="shared" si="32"/>
        <v>-0.22294206714630116</v>
      </c>
      <c r="BT14" s="317">
        <f t="shared" si="33"/>
        <v>13.727959799649087</v>
      </c>
      <c r="BU14">
        <f>IF(AND(ISNUMBER(Laboratorio!Z16),ISNUMBER(Courier!AB24)),Laboratorio!Z16," ")</f>
        <v>29.53</v>
      </c>
      <c r="BV14">
        <f>IF(AND(ISNUMBER(Laboratorio!Z16),ISNUMBER(Courier!AB24)),Courier!AB24," ")</f>
        <v>27.538236618041992</v>
      </c>
      <c r="BW14">
        <f t="shared" si="34"/>
        <v>1.9917633819580089</v>
      </c>
      <c r="BX14" s="317">
        <f t="shared" si="35"/>
        <v>6.7448810767287801</v>
      </c>
    </row>
    <row r="15" spans="2:76" x14ac:dyDescent="0.2">
      <c r="C15" s="320">
        <f>IF(AND(ISNUMBER(Laboratorio!E17),ISNUMBER(Courier!E25)),Laboratorio!E17,"")</f>
        <v>0.58299999999999996</v>
      </c>
      <c r="D15" s="157">
        <f>IF(AND(ISNUMBER(Laboratorio!E17),ISNUMBER(Courier!E25)),Courier!E25,"")</f>
        <v>0.55490684509277344</v>
      </c>
      <c r="E15" s="157">
        <f t="shared" si="0"/>
        <v>2.8093154907226525E-2</v>
      </c>
      <c r="F15" s="321">
        <f t="shared" si="1"/>
        <v>4.8187229686494897</v>
      </c>
      <c r="G15" s="320">
        <f>IF(AND(ISNUMBER(Laboratorio!G17),ISNUMBER(Courier!G25)),Laboratorio!G17," ")</f>
        <v>6.7000000000000004E-2</v>
      </c>
      <c r="H15" s="157">
        <f>IF(AND(ISNUMBER(Laboratorio!G17),ISNUMBER(Courier!G25)),Courier!G25," ")</f>
        <v>5.6744497269392014E-2</v>
      </c>
      <c r="I15" s="157">
        <f t="shared" si="2"/>
        <v>1.025550273060799E-2</v>
      </c>
      <c r="J15" s="321">
        <f t="shared" si="3"/>
        <v>15.306720493444761</v>
      </c>
      <c r="K15" s="157">
        <f>IF(AND(ISNUMBER(Laboratorio!I17),ISNUMBER(Courier!I25)),Laboratorio!I17," ")</f>
        <v>2.177</v>
      </c>
      <c r="L15" s="157">
        <f>IF(AND(ISNUMBER(Laboratorio!I17),ISNUMBER(Courier!I25)),Courier!I25," ")</f>
        <v>2.0357098579406738</v>
      </c>
      <c r="M15" s="157">
        <f t="shared" si="4"/>
        <v>0.14129014205932622</v>
      </c>
      <c r="N15" s="321">
        <f t="shared" si="5"/>
        <v>6.4901305493489296</v>
      </c>
      <c r="O15" s="320">
        <f>IF(AND(ISNUMBER(Laboratorio!O17),ISNUMBER(Courier!O25)),Laboratorio!O17," ")</f>
        <v>2.9000000000000001E-2</v>
      </c>
      <c r="P15" s="156">
        <f>IF(AND(ISNUMBER(Laboratorio!O17),ISNUMBER(Courier!O25)),Courier!O25," ")</f>
        <v>5.6438181549310684E-2</v>
      </c>
      <c r="Q15" s="157">
        <f t="shared" si="6"/>
        <v>-2.7438181549310683E-2</v>
      </c>
      <c r="R15" s="321">
        <f t="shared" si="7"/>
        <v>94.614419135554073</v>
      </c>
      <c r="S15" s="156">
        <f>IF(AND(ISNUMBER(Laboratorio!Q17),ISNUMBER(Courier!Q25)),Laboratorio!Q17," ")</f>
        <v>6.0000000000000001E-3</v>
      </c>
      <c r="T15" s="157">
        <v>3.4000370651483536E-3</v>
      </c>
      <c r="U15" s="157">
        <f t="shared" si="8"/>
        <v>2.5999629348516465E-3</v>
      </c>
      <c r="V15" s="157">
        <f t="shared" si="9"/>
        <v>43.332715580860778</v>
      </c>
      <c r="W15" s="320">
        <f>IF(AND(ISNUMBER(Laboratorio!S17),ISNUMBER(Courier!S25)),Laboratorio!S17,"")</f>
        <v>1.399</v>
      </c>
      <c r="X15" s="157">
        <f>IF(AND(ISNUMBER(Laboratorio!S17),ISNUMBER(Courier!S25)),Courier!S25,"")</f>
        <v>1.5301421880722046</v>
      </c>
      <c r="Y15" s="157">
        <f t="shared" si="10"/>
        <v>-0.13114218807220457</v>
      </c>
      <c r="Z15" s="157">
        <f t="shared" si="11"/>
        <v>9.3739948586279187</v>
      </c>
      <c r="AA15" s="320">
        <f>IF(AND(ISNUMBER(Laboratorio!U17),ISNUMBER(Courier!W25)),Laboratorio!U17," ")</f>
        <v>21.143999999999998</v>
      </c>
      <c r="AB15" s="157">
        <f>IF(AND(ISNUMBER(Laboratorio!U17),ISNUMBER(Courier!W25)),Courier!W25," ")</f>
        <v>22.722810745239258</v>
      </c>
      <c r="AC15" s="157">
        <f t="shared" si="12"/>
        <v>-1.5788107452392595</v>
      </c>
      <c r="AD15" s="321">
        <f t="shared" si="13"/>
        <v>7.4669445007532147</v>
      </c>
      <c r="AE15" s="157">
        <f>IF(AND(ISNUMBER(Laboratorio!W17),ISNUMBER(Courier!Y25)),Laboratorio!W17," ")</f>
        <v>2.9460000000000002</v>
      </c>
      <c r="AF15" s="157">
        <f>IF(AND(ISNUMBER(Laboratorio!W17),ISNUMBER(Courier!Y25)),Courier!Y25," ")</f>
        <v>2.5230238437652588</v>
      </c>
      <c r="AG15" s="157">
        <f t="shared" si="14"/>
        <v>0.42297615623474139</v>
      </c>
      <c r="AH15" s="321">
        <f t="shared" si="15"/>
        <v>14.357642777825571</v>
      </c>
      <c r="AI15" s="157">
        <f>IF(AND(ISNUMBER(Laboratorio!Y17),ISNUMBER(Courier!AA25)),Laboratorio!Y17," ")</f>
        <v>26.86</v>
      </c>
      <c r="AJ15" s="157">
        <f>IF(AND(ISNUMBER(Laboratorio!Y17),ISNUMBER(Courier!AA25)),Courier!AA25," ")</f>
        <v>26.769111633300781</v>
      </c>
      <c r="AK15" s="157">
        <f t="shared" si="16"/>
        <v>9.0888366699218182E-2</v>
      </c>
      <c r="AL15" s="321">
        <f t="shared" si="17"/>
        <v>0.33837813365308334</v>
      </c>
      <c r="AM15" s="314"/>
      <c r="AN15" s="331"/>
      <c r="AO15" s="320">
        <f>IF(AND(ISNUMBER(Laboratorio!F17),ISNUMBER(Courier!F25)),Laboratorio!F17," ")</f>
        <v>0.65100000000000002</v>
      </c>
      <c r="AP15" s="157">
        <f>IF(AND(ISNUMBER(Laboratorio!F17),ISNUMBER(Courier!F25)),Courier!F25," ")</f>
        <v>0.66688883304595947</v>
      </c>
      <c r="AQ15" s="84">
        <f t="shared" si="18"/>
        <v>-1.588883304595945E-2</v>
      </c>
      <c r="AR15" s="319">
        <f t="shared" si="19"/>
        <v>2.4406809594407757</v>
      </c>
      <c r="AS15" s="84">
        <f>IF(AND(ISNUMBER(Laboratorio!H17),ISNUMBER(Courier!H25)),Laboratorio!H17," ")</f>
        <v>5.3999999999999999E-2</v>
      </c>
      <c r="AT15" s="84">
        <f>IF(AND(ISNUMBER(Laboratorio!H17),ISNUMBER(Courier!H25)),Courier!H25," ")</f>
        <v>5.4548941552639008E-2</v>
      </c>
      <c r="AU15" s="84">
        <f t="shared" si="20"/>
        <v>-5.4894155263900818E-4</v>
      </c>
      <c r="AV15" s="319">
        <f t="shared" si="21"/>
        <v>1.016558430812978</v>
      </c>
      <c r="AW15" s="84">
        <f>IF(AND(ISNUMBER(Laboratorio!J17),ISNUMBER(Courier!J25)),Laboratorio!J17," ")</f>
        <v>2.2090000000000001</v>
      </c>
      <c r="AX15" s="84">
        <f>IF(AND(ISNUMBER(Laboratorio!J17),ISNUMBER(Courier!J25)),Courier!J25," ")</f>
        <v>2.1933765411376953</v>
      </c>
      <c r="AY15" s="84">
        <f t="shared" si="22"/>
        <v>1.5623458862304762E-2</v>
      </c>
      <c r="AZ15" s="319">
        <f t="shared" si="23"/>
        <v>0.70726386882321246</v>
      </c>
      <c r="BA15" s="84">
        <f>IF(AND(ISNUMBER(Laboratorio!P17),ISNUMBER(Courier!P25)),Laboratorio!P17," ")</f>
        <v>4.8000000000000001E-2</v>
      </c>
      <c r="BB15" s="84">
        <f>IF(AND(ISNUMBER(Laboratorio!P17),ISNUMBER(Courier!P25)),Courier!P25," ")</f>
        <v>5.5715203285217285E-2</v>
      </c>
      <c r="BC15" s="84">
        <f t="shared" si="24"/>
        <v>-7.7152032852172842E-3</v>
      </c>
      <c r="BD15" s="319">
        <f t="shared" si="25"/>
        <v>16.073340177536007</v>
      </c>
      <c r="BE15" s="84">
        <f>IF(AND(ISNUMBER(Laboratorio!R17),ISNUMBER(Courier!R25)),Laboratorio!R17," ")</f>
        <v>7.0000000000000001E-3</v>
      </c>
      <c r="BF15" s="84">
        <f>IF(AND(ISNUMBER(Laboratorio!R17),ISNUMBER(Courier!R25)),Courier!R25," ")</f>
        <v>6.0805738903582096E-3</v>
      </c>
      <c r="BG15" s="84">
        <f t="shared" si="26"/>
        <v>9.1942610964179054E-4</v>
      </c>
      <c r="BH15" s="319">
        <f t="shared" si="27"/>
        <v>13.134658709168438</v>
      </c>
      <c r="BI15" s="84">
        <f>IF(AND(ISNUMBER(Laboratorio!T17),ISNUMBER(Courier!T25)),Laboratorio!T17," ")</f>
        <v>1.5289999999999999</v>
      </c>
      <c r="BJ15" s="84">
        <f>IF(AND(ISNUMBER(Laboratorio!T17),ISNUMBER(Courier!T25)),Courier!T25," ")</f>
        <v>1.4573581218719482</v>
      </c>
      <c r="BK15" s="84">
        <f t="shared" si="28"/>
        <v>7.1641878128051673E-2</v>
      </c>
      <c r="BL15" s="84">
        <f t="shared" si="29"/>
        <v>4.6855381378712675</v>
      </c>
      <c r="BM15" s="318">
        <f>IF(AND(ISNUMBER(Laboratorio!V17),ISNUMBER(Courier!X25)),Laboratorio!V17," ")</f>
        <v>24.331</v>
      </c>
      <c r="BN15">
        <f>IF(AND(ISNUMBER(Laboratorio!V17),ISNUMBER(Courier!X25)),Courier!X25," ")</f>
        <v>24.091524124145508</v>
      </c>
      <c r="BO15">
        <f t="shared" si="30"/>
        <v>0.2394758758544917</v>
      </c>
      <c r="BP15" s="317">
        <f t="shared" si="31"/>
        <v>0.98424181437052205</v>
      </c>
      <c r="BQ15">
        <f>IF(AND(ISNUMBER(Laboratorio!X17),ISNUMBER(Courier!Z25)),Laboratorio!X17," ")</f>
        <v>1.764</v>
      </c>
      <c r="BR15">
        <f>IF(AND(ISNUMBER(Laboratorio!X17),ISNUMBER(Courier!Z25)),Courier!Z25," ")</f>
        <v>2.1168584823608398</v>
      </c>
      <c r="BS15">
        <f t="shared" si="32"/>
        <v>-0.35285848236083983</v>
      </c>
      <c r="BT15" s="317">
        <f t="shared" si="33"/>
        <v>20.003315326578221</v>
      </c>
      <c r="BU15">
        <f>IF(AND(ISNUMBER(Laboratorio!Z17),ISNUMBER(Courier!AB25)),Laboratorio!Z17," ")</f>
        <v>28.49</v>
      </c>
      <c r="BV15">
        <f>IF(AND(ISNUMBER(Laboratorio!Z17),ISNUMBER(Courier!AB25)),Courier!AB25," ")</f>
        <v>28.333257675170898</v>
      </c>
      <c r="BW15">
        <f t="shared" si="34"/>
        <v>0.1567423248291</v>
      </c>
      <c r="BX15" s="317">
        <f t="shared" si="35"/>
        <v>0.5501661103162514</v>
      </c>
    </row>
    <row r="16" spans="2:76" x14ac:dyDescent="0.2">
      <c r="C16" s="320">
        <f>IF(AND(ISNUMBER(Laboratorio!E18),ISNUMBER(Courier!E26)),Laboratorio!E18,"")</f>
        <v>0.54</v>
      </c>
      <c r="D16" s="157">
        <f>IF(AND(ISNUMBER(Laboratorio!E18),ISNUMBER(Courier!E26)),Courier!E26,"")</f>
        <v>0.54411017894744873</v>
      </c>
      <c r="E16" s="157">
        <f t="shared" si="0"/>
        <v>-4.1101789474486949E-3</v>
      </c>
      <c r="F16" s="321">
        <f t="shared" si="1"/>
        <v>0.76114424952753601</v>
      </c>
      <c r="G16" s="320">
        <f>IF(AND(ISNUMBER(Laboratorio!G18),ISNUMBER(Courier!G26)),Laboratorio!G18," ")</f>
        <v>4.2000000000000003E-2</v>
      </c>
      <c r="H16" s="157">
        <f>IF(AND(ISNUMBER(Laboratorio!G18),ISNUMBER(Courier!G26)),Courier!G26," ")</f>
        <v>3.8658805191516876E-2</v>
      </c>
      <c r="I16" s="157">
        <f t="shared" si="2"/>
        <v>3.3411948084831264E-3</v>
      </c>
      <c r="J16" s="321">
        <f t="shared" si="3"/>
        <v>7.9552257344836343</v>
      </c>
      <c r="K16" s="157">
        <f>IF(AND(ISNUMBER(Laboratorio!I18),ISNUMBER(Courier!I26)),Laboratorio!I18," ")</f>
        <v>2.5049999999999999</v>
      </c>
      <c r="L16" s="157">
        <f>IF(AND(ISNUMBER(Laboratorio!I18),ISNUMBER(Courier!I26)),Courier!I26," ")</f>
        <v>2.2739195823669434</v>
      </c>
      <c r="M16" s="157">
        <f t="shared" si="4"/>
        <v>0.23108041763305653</v>
      </c>
      <c r="N16" s="321">
        <f t="shared" si="5"/>
        <v>9.2247671709803019</v>
      </c>
      <c r="O16" s="320">
        <f>IF(AND(ISNUMBER(Laboratorio!O18),ISNUMBER(Courier!O26)),Laboratorio!O18," ")</f>
        <v>5.3999999999999999E-2</v>
      </c>
      <c r="P16" s="156">
        <f>IF(AND(ISNUMBER(Laboratorio!O18),ISNUMBER(Courier!O26)),Courier!O26," ")</f>
        <v>5.8153107762336731E-2</v>
      </c>
      <c r="Q16" s="157">
        <f t="shared" si="6"/>
        <v>-4.1531077623367316E-3</v>
      </c>
      <c r="R16" s="321">
        <f t="shared" si="7"/>
        <v>7.6909403006235779</v>
      </c>
      <c r="S16" s="156">
        <f>IF(AND(ISNUMBER(Laboratorio!Q18),ISNUMBER(Courier!Q26)),Laboratorio!Q18," ")</f>
        <v>7.0000000000000001E-3</v>
      </c>
      <c r="T16" s="157">
        <v>3.7764431908726692E-3</v>
      </c>
      <c r="U16" s="157">
        <f t="shared" si="8"/>
        <v>3.2235568091273309E-3</v>
      </c>
      <c r="V16" s="157">
        <f t="shared" si="9"/>
        <v>46.050811558961868</v>
      </c>
      <c r="W16" s="320">
        <f>IF(AND(ISNUMBER(Laboratorio!S18),ISNUMBER(Courier!S26)),Laboratorio!S18,"")</f>
        <v>2.0329999999999999</v>
      </c>
      <c r="X16" s="157">
        <f>IF(AND(ISNUMBER(Laboratorio!S18),ISNUMBER(Courier!S26)),Courier!S26,"")</f>
        <v>1.5452429056167603</v>
      </c>
      <c r="Y16" s="157">
        <f t="shared" si="10"/>
        <v>0.48775709438323966</v>
      </c>
      <c r="Z16" s="157">
        <f t="shared" si="11"/>
        <v>23.991986934738794</v>
      </c>
      <c r="AA16" s="320">
        <f>IF(AND(ISNUMBER(Laboratorio!U18),ISNUMBER(Courier!W26)),Laboratorio!U18," ")</f>
        <v>23.065000000000001</v>
      </c>
      <c r="AB16" s="157">
        <f>IF(AND(ISNUMBER(Laboratorio!U18),ISNUMBER(Courier!W26)),Courier!W26," ")</f>
        <v>22.786581039428711</v>
      </c>
      <c r="AC16" s="157">
        <f t="shared" si="12"/>
        <v>0.27841896057129034</v>
      </c>
      <c r="AD16" s="321">
        <f t="shared" si="13"/>
        <v>1.2071058338230667</v>
      </c>
      <c r="AE16" s="157">
        <f>IF(AND(ISNUMBER(Laboratorio!W18),ISNUMBER(Courier!Y26)),Laboratorio!W18," ")</f>
        <v>1.617</v>
      </c>
      <c r="AF16" s="157">
        <f>IF(AND(ISNUMBER(Laboratorio!W18),ISNUMBER(Courier!Y26)),Courier!Y26," ")</f>
        <v>1.7113618850708008</v>
      </c>
      <c r="AG16" s="157">
        <f t="shared" si="14"/>
        <v>-9.4361885070800788E-2</v>
      </c>
      <c r="AH16" s="321">
        <f t="shared" si="15"/>
        <v>5.835614413778651</v>
      </c>
      <c r="AI16" s="157">
        <f>IF(AND(ISNUMBER(Laboratorio!Y18),ISNUMBER(Courier!AA26)),Laboratorio!Y18," ")</f>
        <v>28.47</v>
      </c>
      <c r="AJ16" s="157">
        <f>IF(AND(ISNUMBER(Laboratorio!Y18),ISNUMBER(Courier!AA26)),Courier!AA26," ")</f>
        <v>27.382566452026367</v>
      </c>
      <c r="AK16" s="157">
        <f t="shared" si="16"/>
        <v>1.0874335479736317</v>
      </c>
      <c r="AL16" s="321">
        <f t="shared" si="17"/>
        <v>3.8195769159593671</v>
      </c>
      <c r="AM16" s="314"/>
      <c r="AN16" s="331"/>
      <c r="AO16" s="320">
        <f>IF(AND(ISNUMBER(Laboratorio!F18),ISNUMBER(Courier!F26)),Laboratorio!F18," ")</f>
        <v>0.58199999999999996</v>
      </c>
      <c r="AP16" s="157">
        <f>IF(AND(ISNUMBER(Laboratorio!F18),ISNUMBER(Courier!F26)),Courier!F26," ")</f>
        <v>0.50224167108535767</v>
      </c>
      <c r="AQ16" s="84">
        <f t="shared" si="18"/>
        <v>7.9758328914642296E-2</v>
      </c>
      <c r="AR16" s="319">
        <f t="shared" si="19"/>
        <v>13.704180225883558</v>
      </c>
      <c r="AS16" s="84">
        <f>IF(AND(ISNUMBER(Laboratorio!H18),ISNUMBER(Courier!H26)),Laboratorio!H18," ")</f>
        <v>4.3999999999999997E-2</v>
      </c>
      <c r="AT16" s="84">
        <f>IF(AND(ISNUMBER(Laboratorio!H18),ISNUMBER(Courier!H26)),Courier!H26," ")</f>
        <v>3.7576079368591309E-2</v>
      </c>
      <c r="AU16" s="84">
        <f t="shared" si="20"/>
        <v>6.4239206314086889E-3</v>
      </c>
      <c r="AV16" s="319">
        <f t="shared" si="21"/>
        <v>14.59981961683793</v>
      </c>
      <c r="AW16" s="84">
        <f>IF(AND(ISNUMBER(Laboratorio!J18),ISNUMBER(Courier!J26)),Laboratorio!J18," ")</f>
        <v>2.2799999999999998</v>
      </c>
      <c r="AX16" s="84">
        <f>IF(AND(ISNUMBER(Laboratorio!J18),ISNUMBER(Courier!J26)),Courier!J26," ")</f>
        <v>2.3236763477325439</v>
      </c>
      <c r="AY16" s="84">
        <f t="shared" si="22"/>
        <v>-4.3676347732544141E-2</v>
      </c>
      <c r="AZ16" s="319">
        <f t="shared" si="23"/>
        <v>1.9156292865150939</v>
      </c>
      <c r="BA16" s="84">
        <f>IF(AND(ISNUMBER(Laboratorio!P18),ISNUMBER(Courier!P26)),Laboratorio!P18," ")</f>
        <v>5.6000000000000001E-2</v>
      </c>
      <c r="BB16" s="84">
        <f>IF(AND(ISNUMBER(Laboratorio!P18),ISNUMBER(Courier!P26)),Courier!P26," ")</f>
        <v>4.7265607863664627E-2</v>
      </c>
      <c r="BC16" s="84">
        <f t="shared" si="24"/>
        <v>8.7343921363353741E-3</v>
      </c>
      <c r="BD16" s="319">
        <f t="shared" si="25"/>
        <v>15.597128814884595</v>
      </c>
      <c r="BE16" s="84">
        <f>IF(AND(ISNUMBER(Laboratorio!R18),ISNUMBER(Courier!R26)),Laboratorio!R18," ")</f>
        <v>6.0000000000000001E-3</v>
      </c>
      <c r="BF16" s="84">
        <f>IF(AND(ISNUMBER(Laboratorio!R18),ISNUMBER(Courier!R26)),Courier!R26," ")</f>
        <v>5.8533637784421444E-3</v>
      </c>
      <c r="BG16" s="84">
        <f t="shared" si="26"/>
        <v>1.4663622155785573E-4</v>
      </c>
      <c r="BH16" s="319">
        <f t="shared" si="27"/>
        <v>2.4439370259642623</v>
      </c>
      <c r="BI16" s="84">
        <f>IF(AND(ISNUMBER(Laboratorio!T18),ISNUMBER(Courier!T26)),Laboratorio!T18," ")</f>
        <v>1.5640000000000001</v>
      </c>
      <c r="BJ16" s="84">
        <f>IF(AND(ISNUMBER(Laboratorio!T18),ISNUMBER(Courier!T26)),Courier!T26," ")</f>
        <v>1.6426550149917603</v>
      </c>
      <c r="BK16" s="84">
        <f t="shared" si="28"/>
        <v>-7.8655014991760197E-2</v>
      </c>
      <c r="BL16" s="84">
        <f t="shared" si="29"/>
        <v>5.029093030163696</v>
      </c>
      <c r="BM16" s="318">
        <f>IF(AND(ISNUMBER(Laboratorio!V18),ISNUMBER(Courier!X26)),Laboratorio!V18," ")</f>
        <v>24.725999999999999</v>
      </c>
      <c r="BN16">
        <f>IF(AND(ISNUMBER(Laboratorio!V18),ISNUMBER(Courier!X26)),Courier!X26," ")</f>
        <v>24.452625274658203</v>
      </c>
      <c r="BO16">
        <f t="shared" si="30"/>
        <v>0.27337472534179597</v>
      </c>
      <c r="BP16" s="317">
        <f t="shared" si="31"/>
        <v>1.1056164577440588</v>
      </c>
      <c r="BQ16">
        <f>IF(AND(ISNUMBER(Laboratorio!X18),ISNUMBER(Courier!Z26)),Laboratorio!X18," ")</f>
        <v>1.4370000000000001</v>
      </c>
      <c r="BR16">
        <f>IF(AND(ISNUMBER(Laboratorio!X18),ISNUMBER(Courier!Z26)),Courier!Z26," ")</f>
        <v>1.4849699735641479</v>
      </c>
      <c r="BS16">
        <f t="shared" si="32"/>
        <v>-4.7969973564147894E-2</v>
      </c>
      <c r="BT16" s="317">
        <f t="shared" si="33"/>
        <v>3.3382027532462</v>
      </c>
      <c r="BU16">
        <f>IF(AND(ISNUMBER(Laboratorio!Z18),ISNUMBER(Courier!AB26)),Laboratorio!Z18," ")</f>
        <v>27.39</v>
      </c>
      <c r="BV16">
        <f>IF(AND(ISNUMBER(Laboratorio!Z18),ISNUMBER(Courier!AB26)),Courier!AB26," ")</f>
        <v>28.875680923461914</v>
      </c>
      <c r="BW16">
        <f t="shared" si="34"/>
        <v>-1.4856809234619135</v>
      </c>
      <c r="BX16" s="317">
        <f t="shared" si="35"/>
        <v>5.4241727764217362</v>
      </c>
    </row>
    <row r="17" spans="3:76" x14ac:dyDescent="0.2">
      <c r="C17" s="320">
        <f>IF(AND(ISNUMBER(Laboratorio!E19),ISNUMBER(Courier!E27)),Laboratorio!E19,"")</f>
        <v>0.48499999999999999</v>
      </c>
      <c r="D17" s="157">
        <f>IF(AND(ISNUMBER(Laboratorio!E19),ISNUMBER(Courier!E27)),Courier!E27,"")</f>
        <v>0.52994060516357422</v>
      </c>
      <c r="E17" s="157">
        <f t="shared" si="0"/>
        <v>-4.4940605163574232E-2</v>
      </c>
      <c r="F17" s="321">
        <f t="shared" si="1"/>
        <v>9.2661041574379865</v>
      </c>
      <c r="G17" s="320">
        <f>IF(AND(ISNUMBER(Laboratorio!G19),ISNUMBER(Courier!G27)),Laboratorio!G19," ")</f>
        <v>4.4999999999999998E-2</v>
      </c>
      <c r="H17" s="157">
        <f>IF(AND(ISNUMBER(Laboratorio!G19),ISNUMBER(Courier!G27)),Courier!G27," ")</f>
        <v>3.7001386284828186E-2</v>
      </c>
      <c r="I17" s="157">
        <f t="shared" si="2"/>
        <v>7.9986137151718123E-3</v>
      </c>
      <c r="J17" s="321">
        <f t="shared" si="3"/>
        <v>17.774697144826252</v>
      </c>
      <c r="K17" s="157">
        <f>IF(AND(ISNUMBER(Laboratorio!I19),ISNUMBER(Courier!I27)),Laboratorio!I19," ")</f>
        <v>2.12</v>
      </c>
      <c r="L17" s="157">
        <f>IF(AND(ISNUMBER(Laboratorio!I19),ISNUMBER(Courier!I27)),Courier!I27," ")</f>
        <v>1.9739096164703369</v>
      </c>
      <c r="M17" s="157">
        <f t="shared" si="4"/>
        <v>0.14609038352966319</v>
      </c>
      <c r="N17" s="321">
        <f t="shared" si="5"/>
        <v>6.8910558268709048</v>
      </c>
      <c r="O17" s="320">
        <f>IF(AND(ISNUMBER(Laboratorio!O19),ISNUMBER(Courier!O27)),Laboratorio!O19," ")</f>
        <v>0.04</v>
      </c>
      <c r="P17" s="156">
        <f>IF(AND(ISNUMBER(Laboratorio!O19),ISNUMBER(Courier!O27)),Courier!O27," ")</f>
        <v>3.9520304650068283E-2</v>
      </c>
      <c r="Q17" s="157">
        <f t="shared" si="6"/>
        <v>4.7969534993171775E-4</v>
      </c>
      <c r="R17" s="321">
        <f t="shared" si="7"/>
        <v>1.1992383748292943</v>
      </c>
      <c r="S17" s="156">
        <f>IF(AND(ISNUMBER(Laboratorio!Q19),ISNUMBER(Courier!Q27)),Laboratorio!Q19," ")</f>
        <v>7.0000000000000001E-3</v>
      </c>
      <c r="T17" s="157">
        <v>3.6219863686710596E-3</v>
      </c>
      <c r="U17" s="157">
        <f t="shared" si="8"/>
        <v>3.3780136313289405E-3</v>
      </c>
      <c r="V17" s="157">
        <f t="shared" si="9"/>
        <v>48.257337590413435</v>
      </c>
      <c r="W17" s="320">
        <f>IF(AND(ISNUMBER(Laboratorio!S19),ISNUMBER(Courier!S27)),Laboratorio!S19,"")</f>
        <v>1.6659999999999999</v>
      </c>
      <c r="X17" s="157">
        <f>IF(AND(ISNUMBER(Laboratorio!S19),ISNUMBER(Courier!S27)),Courier!S27,"")</f>
        <v>1.8665000200271606</v>
      </c>
      <c r="Y17" s="157">
        <f t="shared" si="10"/>
        <v>-0.20050002002716072</v>
      </c>
      <c r="Z17" s="157">
        <f t="shared" si="11"/>
        <v>12.034815127680716</v>
      </c>
      <c r="AA17" s="320">
        <f>IF(AND(ISNUMBER(Laboratorio!U19),ISNUMBER(Courier!W27)),Laboratorio!U19," ")</f>
        <v>18.288</v>
      </c>
      <c r="AB17" s="157">
        <f>IF(AND(ISNUMBER(Laboratorio!U19),ISNUMBER(Courier!W27)),Courier!W27," ")</f>
        <v>23.015262603759766</v>
      </c>
      <c r="AC17" s="157">
        <f t="shared" si="12"/>
        <v>-4.7272626037597654</v>
      </c>
      <c r="AD17" s="321">
        <f t="shared" si="13"/>
        <v>25.848986241031085</v>
      </c>
      <c r="AE17" s="157">
        <f>IF(AND(ISNUMBER(Laboratorio!W19),ISNUMBER(Courier!Y27)),Laboratorio!W19," ")</f>
        <v>1.5609999999999999</v>
      </c>
      <c r="AF17" s="157">
        <f>IF(AND(ISNUMBER(Laboratorio!W19),ISNUMBER(Courier!Y27)),Courier!Y27," ")</f>
        <v>1.4501559734344482</v>
      </c>
      <c r="AG17" s="157">
        <f t="shared" si="14"/>
        <v>0.1108440265655517</v>
      </c>
      <c r="AH17" s="321">
        <f t="shared" si="15"/>
        <v>7.100834501316573</v>
      </c>
      <c r="AI17" s="157">
        <f>IF(AND(ISNUMBER(Laboratorio!Y19),ISNUMBER(Courier!AA27)),Laboratorio!Y19," ")</f>
        <v>24.83</v>
      </c>
      <c r="AJ17" s="157">
        <f>IF(AND(ISNUMBER(Laboratorio!Y19),ISNUMBER(Courier!AA27)),Courier!AA27," ")</f>
        <v>27.289146423339844</v>
      </c>
      <c r="AK17" s="157">
        <f t="shared" si="16"/>
        <v>-2.4591464233398455</v>
      </c>
      <c r="AL17" s="321">
        <f t="shared" si="17"/>
        <v>9.9039324339099704</v>
      </c>
      <c r="AM17" s="314"/>
      <c r="AN17" s="331"/>
      <c r="AO17" s="320">
        <f>IF(AND(ISNUMBER(Laboratorio!F19),ISNUMBER(Courier!F27)),Laboratorio!F19," ")</f>
        <v>0.56399999999999995</v>
      </c>
      <c r="AP17" s="157">
        <f>IF(AND(ISNUMBER(Laboratorio!F19),ISNUMBER(Courier!F27)),Courier!F27," ")</f>
        <v>0.51611995697021484</v>
      </c>
      <c r="AQ17" s="84">
        <f t="shared" si="18"/>
        <v>4.7880043029785102E-2</v>
      </c>
      <c r="AR17" s="319">
        <f t="shared" si="19"/>
        <v>8.4893693315221821</v>
      </c>
      <c r="AS17" s="84">
        <f>IF(AND(ISNUMBER(Laboratorio!H19),ISNUMBER(Courier!H27)),Laboratorio!H19," ")</f>
        <v>0.06</v>
      </c>
      <c r="AT17" s="84">
        <f>IF(AND(ISNUMBER(Laboratorio!H19),ISNUMBER(Courier!H27)),Courier!H27," ")</f>
        <v>5.4881107062101364E-2</v>
      </c>
      <c r="AU17" s="84">
        <f t="shared" si="20"/>
        <v>5.1188929378986336E-3</v>
      </c>
      <c r="AV17" s="319">
        <f t="shared" si="21"/>
        <v>8.5314882298310568</v>
      </c>
      <c r="AW17" s="84">
        <f>IF(AND(ISNUMBER(Laboratorio!J19),ISNUMBER(Courier!J27)),Laboratorio!J19," ")</f>
        <v>2.0259999999999998</v>
      </c>
      <c r="AX17" s="84">
        <f>IF(AND(ISNUMBER(Laboratorio!J19),ISNUMBER(Courier!J27)),Courier!J27," ")</f>
        <v>1.7383064031600952</v>
      </c>
      <c r="AY17" s="84">
        <f t="shared" si="22"/>
        <v>0.28769359683990459</v>
      </c>
      <c r="AZ17" s="319">
        <f t="shared" si="23"/>
        <v>14.200078817369427</v>
      </c>
      <c r="BA17" s="84">
        <f>IF(AND(ISNUMBER(Laboratorio!P19),ISNUMBER(Courier!P27)),Laboratorio!P19," ")</f>
        <v>3.6999999999999998E-2</v>
      </c>
      <c r="BB17" s="84">
        <f>IF(AND(ISNUMBER(Laboratorio!P19),ISNUMBER(Courier!P27)),Courier!P27," ")</f>
        <v>4.3544553220272064E-2</v>
      </c>
      <c r="BC17" s="84">
        <f t="shared" si="24"/>
        <v>-6.544553220272066E-3</v>
      </c>
      <c r="BD17" s="319">
        <f t="shared" si="25"/>
        <v>17.687981676410992</v>
      </c>
      <c r="BE17" s="84">
        <f>IF(AND(ISNUMBER(Laboratorio!R19),ISNUMBER(Courier!R27)),Laboratorio!R19," ")</f>
        <v>7.0000000000000001E-3</v>
      </c>
      <c r="BF17" s="84">
        <f>IF(AND(ISNUMBER(Laboratorio!R19),ISNUMBER(Courier!R27)),Courier!R27," ")</f>
        <v>5.9555773623287678E-3</v>
      </c>
      <c r="BG17" s="84">
        <f t="shared" si="26"/>
        <v>1.0444226376712324E-3</v>
      </c>
      <c r="BH17" s="319">
        <f t="shared" si="27"/>
        <v>14.920323395303321</v>
      </c>
      <c r="BI17" s="84">
        <f>IF(AND(ISNUMBER(Laboratorio!T19),ISNUMBER(Courier!T27)),Laboratorio!T19," ")</f>
        <v>1.518</v>
      </c>
      <c r="BJ17" s="84">
        <f>IF(AND(ISNUMBER(Laboratorio!T19),ISNUMBER(Courier!T27)),Courier!T27," ")</f>
        <v>1.6725833415985107</v>
      </c>
      <c r="BK17" s="84">
        <f t="shared" si="28"/>
        <v>-0.15458334159851073</v>
      </c>
      <c r="BL17" s="84">
        <f t="shared" si="29"/>
        <v>10.183355836529033</v>
      </c>
      <c r="BM17" s="318">
        <f>IF(AND(ISNUMBER(Laboratorio!V19),ISNUMBER(Courier!X27)),Laboratorio!V19," ")</f>
        <v>26.913</v>
      </c>
      <c r="BN17">
        <f>IF(AND(ISNUMBER(Laboratorio!V19),ISNUMBER(Courier!X27)),Courier!X27," ")</f>
        <v>23.015262603759766</v>
      </c>
      <c r="BO17">
        <f t="shared" si="30"/>
        <v>3.8977373962402346</v>
      </c>
      <c r="BP17" s="317">
        <f t="shared" si="31"/>
        <v>14.482731008212516</v>
      </c>
      <c r="BQ17">
        <f>IF(AND(ISNUMBER(Laboratorio!X19),ISNUMBER(Courier!Z27)),Laboratorio!X19," ")</f>
        <v>2.29</v>
      </c>
      <c r="BR17">
        <f>IF(AND(ISNUMBER(Laboratorio!X19),ISNUMBER(Courier!Z27)),Courier!Z27," ")</f>
        <v>1.4501559734344482</v>
      </c>
      <c r="BS17">
        <f t="shared" si="32"/>
        <v>0.83984402656555179</v>
      </c>
      <c r="BT17" s="317">
        <f t="shared" si="33"/>
        <v>36.674411640417112</v>
      </c>
      <c r="BU17">
        <f>IF(AND(ISNUMBER(Laboratorio!Z19),ISNUMBER(Courier!AB27)),Laboratorio!Z19," ")</f>
        <v>28</v>
      </c>
      <c r="BV17">
        <f>IF(AND(ISNUMBER(Laboratorio!Z19),ISNUMBER(Courier!AB27)),Courier!AB27," ")</f>
        <v>27.289146423339844</v>
      </c>
      <c r="BW17">
        <f t="shared" si="34"/>
        <v>0.71085357666015625</v>
      </c>
      <c r="BX17" s="317">
        <f t="shared" si="35"/>
        <v>2.5387627737862721</v>
      </c>
    </row>
    <row r="18" spans="3:76" x14ac:dyDescent="0.2">
      <c r="C18" s="320">
        <f>IF(AND(ISNUMBER(Laboratorio!E20),ISNUMBER(Courier!E28)),Laboratorio!E20,"")</f>
        <v>0.54</v>
      </c>
      <c r="D18" s="157">
        <f>IF(AND(ISNUMBER(Laboratorio!E20),ISNUMBER(Courier!E28)),Courier!E28,"")</f>
        <v>0.51611995697021484</v>
      </c>
      <c r="E18" s="157">
        <f t="shared" si="0"/>
        <v>2.3880043029785192E-2</v>
      </c>
      <c r="F18" s="321">
        <f t="shared" si="1"/>
        <v>4.4222301907009616</v>
      </c>
      <c r="G18" s="320">
        <f>IF(AND(ISNUMBER(Laboratorio!G20),ISNUMBER(Courier!G28)),Laboratorio!G20," ")</f>
        <v>4.1000000000000002E-2</v>
      </c>
      <c r="H18" s="157">
        <f>IF(AND(ISNUMBER(Laboratorio!G20),ISNUMBER(Courier!G28)),Courier!G28," ")</f>
        <v>5.4881107062101364E-2</v>
      </c>
      <c r="I18" s="157">
        <f t="shared" si="2"/>
        <v>-1.3881107062101362E-2</v>
      </c>
      <c r="J18" s="321">
        <f t="shared" si="3"/>
        <v>33.856358688052104</v>
      </c>
      <c r="K18" s="157">
        <f>IF(AND(ISNUMBER(Laboratorio!I20),ISNUMBER(Courier!I28)),Laboratorio!I20," ")</f>
        <v>1.6930000000000001</v>
      </c>
      <c r="L18" s="157">
        <f>IF(AND(ISNUMBER(Laboratorio!I20),ISNUMBER(Courier!I28)),Courier!I28," ")</f>
        <v>1.7383064031600952</v>
      </c>
      <c r="M18" s="157">
        <f t="shared" si="4"/>
        <v>-4.5306403160095154E-2</v>
      </c>
      <c r="N18" s="321">
        <f t="shared" si="5"/>
        <v>2.6761017814586623</v>
      </c>
      <c r="O18" s="320">
        <f>IF(AND(ISNUMBER(Laboratorio!O20),ISNUMBER(Courier!O28)),Laboratorio!O20," ")</f>
        <v>4.9000000000000002E-2</v>
      </c>
      <c r="P18" s="156">
        <f>IF(AND(ISNUMBER(Laboratorio!O20),ISNUMBER(Courier!O28)),Courier!O28," ")</f>
        <v>4.3544553220272064E-2</v>
      </c>
      <c r="Q18" s="157">
        <f t="shared" si="6"/>
        <v>5.4554467797279377E-3</v>
      </c>
      <c r="R18" s="321">
        <f t="shared" si="7"/>
        <v>11.133564856587627</v>
      </c>
      <c r="S18" s="156">
        <f>IF(AND(ISNUMBER(Laboratorio!Q20),ISNUMBER(Courier!Q28)),Laboratorio!Q20," ")</f>
        <v>7.0000000000000001E-3</v>
      </c>
      <c r="T18" s="157">
        <v>3.1230952590703964E-3</v>
      </c>
      <c r="U18" s="157">
        <f t="shared" si="8"/>
        <v>3.8769047409296037E-3</v>
      </c>
      <c r="V18" s="157">
        <f t="shared" si="9"/>
        <v>55.384353441851488</v>
      </c>
      <c r="W18" s="320">
        <f>IF(AND(ISNUMBER(Laboratorio!S20),ISNUMBER(Courier!S28)),Laboratorio!S20,"")</f>
        <v>1.117</v>
      </c>
      <c r="X18" s="157">
        <f>IF(AND(ISNUMBER(Laboratorio!S20),ISNUMBER(Courier!S28)),Courier!S28,"")</f>
        <v>1.6725833415985107</v>
      </c>
      <c r="Y18" s="157">
        <f t="shared" si="10"/>
        <v>-0.55558334159851075</v>
      </c>
      <c r="Z18" s="157">
        <f t="shared" si="11"/>
        <v>49.738884655193445</v>
      </c>
      <c r="AA18" s="320">
        <f>IF(AND(ISNUMBER(Laboratorio!U20),ISNUMBER(Courier!W28)),Laboratorio!U20," ")</f>
        <v>21.335999999999999</v>
      </c>
      <c r="AB18" s="157">
        <f>IF(AND(ISNUMBER(Laboratorio!U20),ISNUMBER(Courier!W28)),Courier!W28," ")</f>
        <v>23.015262603759766</v>
      </c>
      <c r="AC18" s="157">
        <f t="shared" si="12"/>
        <v>-1.6792626037597671</v>
      </c>
      <c r="AD18" s="321">
        <f t="shared" si="13"/>
        <v>7.8705596351695117</v>
      </c>
      <c r="AE18" s="157">
        <f>IF(AND(ISNUMBER(Laboratorio!W20),ISNUMBER(Courier!Y28)),Laboratorio!W20," ")</f>
        <v>1.7749999999999999</v>
      </c>
      <c r="AF18" s="157">
        <f>IF(AND(ISNUMBER(Laboratorio!W20),ISNUMBER(Courier!Y28)),Courier!Y28," ")</f>
        <v>1.4501559734344482</v>
      </c>
      <c r="AG18" s="157">
        <f t="shared" si="14"/>
        <v>0.32484402656555167</v>
      </c>
      <c r="AH18" s="321">
        <f t="shared" si="15"/>
        <v>18.301071919186011</v>
      </c>
      <c r="AI18" s="157">
        <f>IF(AND(ISNUMBER(Laboratorio!Y20),ISNUMBER(Courier!AA28)),Laboratorio!Y20," ")</f>
        <v>32.68</v>
      </c>
      <c r="AJ18" s="157">
        <f>IF(AND(ISNUMBER(Laboratorio!Y20),ISNUMBER(Courier!AA28)),Courier!AA28," ")</f>
        <v>27.289146423339844</v>
      </c>
      <c r="AK18" s="157">
        <f t="shared" si="16"/>
        <v>5.390853576660156</v>
      </c>
      <c r="AL18" s="321">
        <f t="shared" si="17"/>
        <v>16.495879977540255</v>
      </c>
      <c r="AM18" s="314"/>
      <c r="AN18" s="331"/>
      <c r="AO18" s="320">
        <f>IF(AND(ISNUMBER(Laboratorio!F20),ISNUMBER(Courier!F28)),Laboratorio!F20," ")</f>
        <v>0.54500000000000004</v>
      </c>
      <c r="AP18" s="157">
        <f>IF(AND(ISNUMBER(Laboratorio!F20),ISNUMBER(Courier!F28)),Courier!F28," ")</f>
        <v>0.50301653146743774</v>
      </c>
      <c r="AQ18" s="84">
        <f t="shared" si="18"/>
        <v>4.1983468532562296E-2</v>
      </c>
      <c r="AR18" s="319">
        <f t="shared" si="19"/>
        <v>7.7033887215710628</v>
      </c>
      <c r="AS18" s="84">
        <f>IF(AND(ISNUMBER(Laboratorio!H20),ISNUMBER(Courier!H28)),Laboratorio!H20," ")</f>
        <v>0.05</v>
      </c>
      <c r="AT18" s="84">
        <f>IF(AND(ISNUMBER(Laboratorio!H20),ISNUMBER(Courier!H28)),Courier!H28," ")</f>
        <v>4.8253592103719711E-2</v>
      </c>
      <c r="AU18" s="84">
        <f t="shared" si="20"/>
        <v>1.7464078962802915E-3</v>
      </c>
      <c r="AV18" s="319">
        <f t="shared" si="21"/>
        <v>3.4928157925605827</v>
      </c>
      <c r="AW18" s="84">
        <f>IF(AND(ISNUMBER(Laboratorio!J20),ISNUMBER(Courier!J28)),Laboratorio!J20," ")</f>
        <v>1.802</v>
      </c>
      <c r="AX18" s="84">
        <f>IF(AND(ISNUMBER(Laboratorio!J20),ISNUMBER(Courier!J28)),Courier!J28," ")</f>
        <v>1.5686616897583008</v>
      </c>
      <c r="AY18" s="84">
        <f t="shared" si="22"/>
        <v>0.23333831024169926</v>
      </c>
      <c r="AZ18" s="319">
        <f t="shared" si="23"/>
        <v>12.94885184471139</v>
      </c>
      <c r="BA18" s="84">
        <f>IF(AND(ISNUMBER(Laboratorio!P20),ISNUMBER(Courier!P28)),Laboratorio!P20," ")</f>
        <v>4.9000000000000002E-2</v>
      </c>
      <c r="BB18" s="84">
        <f>IF(AND(ISNUMBER(Laboratorio!P20),ISNUMBER(Courier!P28)),Courier!P28," ")</f>
        <v>4.91303950548172E-2</v>
      </c>
      <c r="BC18" s="84">
        <f t="shared" si="24"/>
        <v>-1.3039505481719782E-4</v>
      </c>
      <c r="BD18" s="319">
        <f t="shared" si="25"/>
        <v>0.2661123567697915</v>
      </c>
      <c r="BE18" s="84">
        <f>IF(AND(ISNUMBER(Laboratorio!R20),ISNUMBER(Courier!R28)),Laboratorio!R20," ")</f>
        <v>7.0000000000000001E-3</v>
      </c>
      <c r="BF18" s="84">
        <f>IF(AND(ISNUMBER(Laboratorio!R20),ISNUMBER(Courier!R28)),Courier!R28," ")</f>
        <v>7.0704706013202667E-3</v>
      </c>
      <c r="BG18" s="84">
        <f t="shared" si="26"/>
        <v>-7.0470601320266578E-5</v>
      </c>
      <c r="BH18" s="319">
        <f t="shared" si="27"/>
        <v>1.0067228760038083</v>
      </c>
      <c r="BI18" s="84">
        <f>IF(AND(ISNUMBER(Laboratorio!T20),ISNUMBER(Courier!T28)),Laboratorio!T20," ")</f>
        <v>1.159</v>
      </c>
      <c r="BJ18" s="84">
        <f>IF(AND(ISNUMBER(Laboratorio!T20),ISNUMBER(Courier!T28)),Courier!T28," ")</f>
        <v>1.3824989795684814</v>
      </c>
      <c r="BK18" s="84">
        <f t="shared" si="28"/>
        <v>-0.22349897956848142</v>
      </c>
      <c r="BL18" s="84">
        <f t="shared" si="29"/>
        <v>19.283777357073461</v>
      </c>
      <c r="BM18" s="318">
        <f>IF(AND(ISNUMBER(Laboratorio!V20),ISNUMBER(Courier!X28)),Laboratorio!V20," ")</f>
        <v>26.716000000000001</v>
      </c>
      <c r="BN18">
        <f>IF(AND(ISNUMBER(Laboratorio!V20),ISNUMBER(Courier!X28)),Courier!X28," ")</f>
        <v>23.015262603759766</v>
      </c>
      <c r="BO18">
        <f t="shared" si="30"/>
        <v>3.7007373962402355</v>
      </c>
      <c r="BP18" s="317">
        <f t="shared" si="31"/>
        <v>13.852138779159437</v>
      </c>
      <c r="BQ18">
        <f>IF(AND(ISNUMBER(Laboratorio!X20),ISNUMBER(Courier!Z28)),Laboratorio!X20," ")</f>
        <v>1.6779999999999999</v>
      </c>
      <c r="BR18">
        <f>IF(AND(ISNUMBER(Laboratorio!X20),ISNUMBER(Courier!Z28)),Courier!Z28," ")</f>
        <v>1.4501559734344482</v>
      </c>
      <c r="BS18">
        <f t="shared" si="32"/>
        <v>0.22784402656555169</v>
      </c>
      <c r="BT18" s="317">
        <f t="shared" si="33"/>
        <v>13.578309092106778</v>
      </c>
      <c r="BU18">
        <f>IF(AND(ISNUMBER(Laboratorio!Z20),ISNUMBER(Courier!AB28)),Laboratorio!Z20," ")</f>
        <v>28.99</v>
      </c>
      <c r="BV18">
        <f>IF(AND(ISNUMBER(Laboratorio!Z20),ISNUMBER(Courier!AB28)),Courier!AB28," ")</f>
        <v>27.289146423339844</v>
      </c>
      <c r="BW18">
        <f t="shared" si="34"/>
        <v>1.7008535766601547</v>
      </c>
      <c r="BX18" s="317">
        <f t="shared" si="35"/>
        <v>5.867035448982941</v>
      </c>
    </row>
    <row r="19" spans="3:76" x14ac:dyDescent="0.2">
      <c r="C19" s="320">
        <f>IF(AND(ISNUMBER(Laboratorio!E21),ISNUMBER(Courier!E29)),Laboratorio!E21,"")</f>
        <v>0.52</v>
      </c>
      <c r="D19" s="157">
        <f>IF(AND(ISNUMBER(Laboratorio!E21),ISNUMBER(Courier!E29)),Courier!E29,"")</f>
        <v>0.52647554874420166</v>
      </c>
      <c r="E19" s="157">
        <f t="shared" si="0"/>
        <v>-6.4755487442016424E-3</v>
      </c>
      <c r="F19" s="321">
        <f t="shared" si="1"/>
        <v>1.2452978354233928</v>
      </c>
      <c r="G19" s="320">
        <f>IF(AND(ISNUMBER(Laboratorio!G21),ISNUMBER(Courier!G29)),Laboratorio!G21," ")</f>
        <v>4.5999999999999999E-2</v>
      </c>
      <c r="H19" s="157">
        <f>IF(AND(ISNUMBER(Laboratorio!G21),ISNUMBER(Courier!G29)),Courier!G29," ")</f>
        <v>4.111630842089653E-2</v>
      </c>
      <c r="I19" s="157">
        <f t="shared" si="2"/>
        <v>4.8836915791034691E-3</v>
      </c>
      <c r="J19" s="321">
        <f t="shared" si="3"/>
        <v>10.616720824137976</v>
      </c>
      <c r="K19" s="157">
        <f>IF(AND(ISNUMBER(Laboratorio!I21),ISNUMBER(Courier!I29)),Laboratorio!I21," ")</f>
        <v>2.0049999999999999</v>
      </c>
      <c r="L19" s="157">
        <f>IF(AND(ISNUMBER(Laboratorio!I21),ISNUMBER(Courier!I29)),Courier!I29," ")</f>
        <v>2.0942068099975586</v>
      </c>
      <c r="M19" s="157">
        <f t="shared" si="4"/>
        <v>-8.92068099975587E-2</v>
      </c>
      <c r="N19" s="321">
        <f t="shared" si="5"/>
        <v>4.4492174562373421</v>
      </c>
      <c r="O19" s="320">
        <f>IF(AND(ISNUMBER(Laboratorio!O21),ISNUMBER(Courier!O29)),Laboratorio!O21," ")</f>
        <v>3.9E-2</v>
      </c>
      <c r="P19" s="156">
        <f>IF(AND(ISNUMBER(Laboratorio!O21),ISNUMBER(Courier!O29)),Courier!O29," ")</f>
        <v>5.4201267659664154E-2</v>
      </c>
      <c r="Q19" s="157">
        <f t="shared" si="6"/>
        <v>-1.5201267659664154E-2</v>
      </c>
      <c r="R19" s="321">
        <f t="shared" si="7"/>
        <v>38.977609383754242</v>
      </c>
      <c r="S19" s="156">
        <f>IF(AND(ISNUMBER(Laboratorio!Q21),ISNUMBER(Courier!Q29)),Laboratorio!Q21," ")</f>
        <v>5.0000000000000001E-3</v>
      </c>
      <c r="T19" s="157">
        <v>2.9904965776950121E-3</v>
      </c>
      <c r="U19" s="157">
        <f t="shared" si="8"/>
        <v>2.009503422304988E-3</v>
      </c>
      <c r="V19" s="157">
        <f t="shared" si="9"/>
        <v>40.190068446099758</v>
      </c>
      <c r="W19" s="320">
        <f>IF(AND(ISNUMBER(Laboratorio!S21),ISNUMBER(Courier!S29)),Laboratorio!S21,"")</f>
        <v>1.619</v>
      </c>
      <c r="X19" s="157">
        <f>IF(AND(ISNUMBER(Laboratorio!S21),ISNUMBER(Courier!S29)),Courier!S29,"")</f>
        <v>1.4072225093841553</v>
      </c>
      <c r="Y19" s="157">
        <f t="shared" si="10"/>
        <v>0.21177749061584472</v>
      </c>
      <c r="Z19" s="157">
        <f t="shared" si="11"/>
        <v>13.080759148600663</v>
      </c>
      <c r="AA19" s="320">
        <f>IF(AND(ISNUMBER(Laboratorio!U21),ISNUMBER(Courier!W29)),Laboratorio!U21," ")</f>
        <v>21.856000000000002</v>
      </c>
      <c r="AB19" s="157">
        <f>IF(AND(ISNUMBER(Laboratorio!U21),ISNUMBER(Courier!W29)),Courier!W29," ")</f>
        <v>23.015262603759766</v>
      </c>
      <c r="AC19" s="157">
        <f t="shared" si="12"/>
        <v>-1.159262603759764</v>
      </c>
      <c r="AD19" s="321">
        <f t="shared" si="13"/>
        <v>5.3040931724000906</v>
      </c>
      <c r="AE19" s="157">
        <f>IF(AND(ISNUMBER(Laboratorio!W21),ISNUMBER(Courier!Y29)),Laboratorio!W21," ")</f>
        <v>2.3109999999999999</v>
      </c>
      <c r="AF19" s="157">
        <f>IF(AND(ISNUMBER(Laboratorio!W21),ISNUMBER(Courier!Y29)),Courier!Y29," ")</f>
        <v>1.4501559734344482</v>
      </c>
      <c r="AG19" s="157">
        <f t="shared" si="14"/>
        <v>0.8608440265655517</v>
      </c>
      <c r="AH19" s="321">
        <f t="shared" si="15"/>
        <v>37.249849699937329</v>
      </c>
      <c r="AI19" s="157">
        <f>IF(AND(ISNUMBER(Laboratorio!Y21),ISNUMBER(Courier!AA29)),Laboratorio!Y21," ")</f>
        <v>29.63</v>
      </c>
      <c r="AJ19" s="157">
        <f>IF(AND(ISNUMBER(Laboratorio!Y21),ISNUMBER(Courier!AA29)),Courier!AA29," ")</f>
        <v>27.289146423339844</v>
      </c>
      <c r="AK19" s="157">
        <f t="shared" si="16"/>
        <v>2.3408535766601553</v>
      </c>
      <c r="AL19" s="321">
        <f t="shared" si="17"/>
        <v>7.900282067702177</v>
      </c>
      <c r="AM19" s="314"/>
      <c r="AN19" s="331"/>
      <c r="AO19" s="320">
        <f>IF(AND(ISNUMBER(Laboratorio!F21),ISNUMBER(Courier!F29)),Laboratorio!F21," ")</f>
        <v>0.46200000000000002</v>
      </c>
      <c r="AP19" s="157">
        <f>IF(AND(ISNUMBER(Laboratorio!F21),ISNUMBER(Courier!F29)),Courier!F29," ")</f>
        <v>0.48370522260665894</v>
      </c>
      <c r="AQ19" s="84">
        <f t="shared" si="18"/>
        <v>-2.1705222606658914E-2</v>
      </c>
      <c r="AR19" s="319">
        <f t="shared" si="19"/>
        <v>4.6981001313114525</v>
      </c>
      <c r="AS19" s="84">
        <f>IF(AND(ISNUMBER(Laboratorio!H21),ISNUMBER(Courier!H29)),Laboratorio!H21," ")</f>
        <v>3.5999999999999997E-2</v>
      </c>
      <c r="AT19" s="84">
        <f>IF(AND(ISNUMBER(Laboratorio!H21),ISNUMBER(Courier!H29)),Courier!H29," ")</f>
        <v>4.466625303030014E-2</v>
      </c>
      <c r="AU19" s="84">
        <f t="shared" si="20"/>
        <v>-8.6662530303001431E-3</v>
      </c>
      <c r="AV19" s="319">
        <f t="shared" si="21"/>
        <v>24.072925084167064</v>
      </c>
      <c r="AW19" s="84">
        <f>IF(AND(ISNUMBER(Laboratorio!J21),ISNUMBER(Courier!J29)),Laboratorio!J21," ")</f>
        <v>2.266</v>
      </c>
      <c r="AX19" s="84">
        <f>IF(AND(ISNUMBER(Laboratorio!J21),ISNUMBER(Courier!J29)),Courier!J29," ")</f>
        <v>1.8899176120758057</v>
      </c>
      <c r="AY19" s="84">
        <f t="shared" si="22"/>
        <v>0.37608238792419435</v>
      </c>
      <c r="AZ19" s="319">
        <f t="shared" si="23"/>
        <v>16.596751452965329</v>
      </c>
      <c r="BA19" s="84">
        <f>IF(AND(ISNUMBER(Laboratorio!P21),ISNUMBER(Courier!P29)),Laboratorio!P21," ")</f>
        <v>2.7E-2</v>
      </c>
      <c r="BB19" s="84">
        <f>IF(AND(ISNUMBER(Laboratorio!P21),ISNUMBER(Courier!P29)),Courier!P29," ")</f>
        <v>4.2360253632068634E-2</v>
      </c>
      <c r="BC19" s="84">
        <f t="shared" si="24"/>
        <v>-1.5360253632068634E-2</v>
      </c>
      <c r="BD19" s="319">
        <f t="shared" si="25"/>
        <v>56.889828266920873</v>
      </c>
      <c r="BE19" s="84">
        <f>IF(AND(ISNUMBER(Laboratorio!R21),ISNUMBER(Courier!R29)),Laboratorio!R21," ")</f>
        <v>4.0000000000000001E-3</v>
      </c>
      <c r="BF19" s="84">
        <f>IF(AND(ISNUMBER(Laboratorio!R21),ISNUMBER(Courier!R29)),Courier!R29," ")</f>
        <v>5.8496575802564621E-3</v>
      </c>
      <c r="BG19" s="84">
        <f t="shared" si="26"/>
        <v>-1.849657580256462E-3</v>
      </c>
      <c r="BH19" s="319">
        <f t="shared" si="27"/>
        <v>46.241439506411545</v>
      </c>
      <c r="BI19" s="84">
        <f>IF(AND(ISNUMBER(Laboratorio!T21),ISNUMBER(Courier!T29)),Laboratorio!T21," ")</f>
        <v>1.6639999999999999</v>
      </c>
      <c r="BJ19" s="84">
        <f>IF(AND(ISNUMBER(Laboratorio!T21),ISNUMBER(Courier!T29)),Courier!T29," ")</f>
        <v>1.7435058355331421</v>
      </c>
      <c r="BK19" s="84">
        <f t="shared" si="28"/>
        <v>-7.9505835533142166E-2</v>
      </c>
      <c r="BL19" s="84">
        <f t="shared" si="29"/>
        <v>4.777994923866717</v>
      </c>
      <c r="BM19" s="318">
        <f>IF(AND(ISNUMBER(Laboratorio!V21),ISNUMBER(Courier!X29)),Laboratorio!V21," ")</f>
        <v>23.388000000000002</v>
      </c>
      <c r="BN19">
        <f>IF(AND(ISNUMBER(Laboratorio!V21),ISNUMBER(Courier!X29)),Courier!X29," ")</f>
        <v>23.015262603759766</v>
      </c>
      <c r="BO19">
        <f t="shared" si="30"/>
        <v>0.37273739624023605</v>
      </c>
      <c r="BP19" s="317">
        <f t="shared" si="31"/>
        <v>1.5937121440064821</v>
      </c>
      <c r="BQ19">
        <f>IF(AND(ISNUMBER(Laboratorio!X21),ISNUMBER(Courier!Z29)),Laboratorio!X21," ")</f>
        <v>1.841</v>
      </c>
      <c r="BR19">
        <f>IF(AND(ISNUMBER(Laboratorio!X21),ISNUMBER(Courier!Z29)),Courier!Z29," ")</f>
        <v>1.4501559734344482</v>
      </c>
      <c r="BS19">
        <f t="shared" si="32"/>
        <v>0.39084402656555173</v>
      </c>
      <c r="BT19" s="317">
        <f t="shared" si="33"/>
        <v>21.22998514750417</v>
      </c>
      <c r="BU19">
        <f>IF(AND(ISNUMBER(Laboratorio!Z21),ISNUMBER(Courier!AB29)),Laboratorio!Z21," ")</f>
        <v>28.85</v>
      </c>
      <c r="BV19">
        <f>IF(AND(ISNUMBER(Laboratorio!Z21),ISNUMBER(Courier!AB29)),Courier!AB29," ")</f>
        <v>27.289146423339844</v>
      </c>
      <c r="BW19">
        <f t="shared" si="34"/>
        <v>1.5608535766601577</v>
      </c>
      <c r="BX19" s="317">
        <f t="shared" si="35"/>
        <v>5.410237700728449</v>
      </c>
    </row>
    <row r="20" spans="3:76" x14ac:dyDescent="0.2">
      <c r="C20" s="320">
        <f>IF(AND(ISNUMBER(Laboratorio!E22),ISNUMBER(Courier!E30)),Laboratorio!E22,"")</f>
        <v>0.41799999999999998</v>
      </c>
      <c r="D20" s="157">
        <f>IF(AND(ISNUMBER(Laboratorio!E22),ISNUMBER(Courier!E30)),Courier!E30,"")</f>
        <v>0.4848606288433075</v>
      </c>
      <c r="E20" s="157">
        <f t="shared" si="0"/>
        <v>-6.6860628843307512E-2</v>
      </c>
      <c r="F20" s="321">
        <f t="shared" si="1"/>
        <v>15.995365751987444</v>
      </c>
      <c r="G20" s="320">
        <f>IF(AND(ISNUMBER(Laboratorio!G22),ISNUMBER(Courier!G30)),Laboratorio!G22," ")</f>
        <v>2.7E-2</v>
      </c>
      <c r="H20" s="157">
        <f>IF(AND(ISNUMBER(Laboratorio!G22),ISNUMBER(Courier!G30)),Courier!G30," ")</f>
        <v>3.0782792717218399E-2</v>
      </c>
      <c r="I20" s="157">
        <f t="shared" si="2"/>
        <v>-3.7827927172183994E-3</v>
      </c>
      <c r="J20" s="321">
        <f t="shared" si="3"/>
        <v>14.010343397105181</v>
      </c>
      <c r="K20" s="157">
        <f>IF(AND(ISNUMBER(Laboratorio!I22),ISNUMBER(Courier!I30)),Laboratorio!I22," ")</f>
        <v>2.5649999999999999</v>
      </c>
      <c r="L20" s="157">
        <f>IF(AND(ISNUMBER(Laboratorio!I22),ISNUMBER(Courier!I30)),Courier!I30," ")</f>
        <v>2.6859238147735596</v>
      </c>
      <c r="M20" s="157">
        <f t="shared" si="4"/>
        <v>-0.12092381477355962</v>
      </c>
      <c r="N20" s="321">
        <f t="shared" si="5"/>
        <v>4.7143787436085622</v>
      </c>
      <c r="O20" s="320">
        <f>IF(AND(ISNUMBER(Laboratorio!O22),ISNUMBER(Courier!O30)),Laboratorio!O22," ")</f>
        <v>2.3E-2</v>
      </c>
      <c r="P20" s="156">
        <f>IF(AND(ISNUMBER(Laboratorio!O22),ISNUMBER(Courier!O30)),Courier!O30," ")</f>
        <v>3.6531712859869003E-2</v>
      </c>
      <c r="Q20" s="157">
        <f t="shared" si="6"/>
        <v>-1.3531712859869004E-2</v>
      </c>
      <c r="R20" s="321">
        <f t="shared" si="7"/>
        <v>58.833534173343494</v>
      </c>
      <c r="S20" s="156">
        <f>IF(AND(ISNUMBER(Laboratorio!Q22),ISNUMBER(Courier!Q30)),Laboratorio!Q22," ")</f>
        <v>3.0000000000000001E-3</v>
      </c>
      <c r="T20" s="157">
        <v>3.8469485007226467E-3</v>
      </c>
      <c r="U20" s="157">
        <f t="shared" si="8"/>
        <v>-8.4694850072264665E-4</v>
      </c>
      <c r="V20" s="157">
        <f t="shared" si="9"/>
        <v>28.23161669075489</v>
      </c>
      <c r="W20" s="320">
        <f>IF(AND(ISNUMBER(Laboratorio!S22),ISNUMBER(Courier!S30)),Laboratorio!S22,"")</f>
        <v>2.133</v>
      </c>
      <c r="X20" s="157">
        <f>IF(AND(ISNUMBER(Laboratorio!S22),ISNUMBER(Courier!S30)),Courier!S30,"")</f>
        <v>2.2167539596557617</v>
      </c>
      <c r="Y20" s="157">
        <f t="shared" si="10"/>
        <v>-8.3753959655761712E-2</v>
      </c>
      <c r="Z20" s="157">
        <f t="shared" si="11"/>
        <v>3.9265803870493068</v>
      </c>
      <c r="AA20" s="320">
        <f>IF(AND(ISNUMBER(Laboratorio!U22),ISNUMBER(Courier!W30)),Laboratorio!U22," ")</f>
        <v>23.382999999999999</v>
      </c>
      <c r="AB20" s="157">
        <f>IF(AND(ISNUMBER(Laboratorio!U22),ISNUMBER(Courier!W30)),Courier!W30," ")</f>
        <v>23.015262603759766</v>
      </c>
      <c r="AC20" s="157">
        <f t="shared" si="12"/>
        <v>0.36773739624023349</v>
      </c>
      <c r="AD20" s="321">
        <f t="shared" si="13"/>
        <v>1.5726698723013879</v>
      </c>
      <c r="AE20" s="157">
        <f>IF(AND(ISNUMBER(Laboratorio!W22),ISNUMBER(Courier!Y30)),Laboratorio!W22," ")</f>
        <v>0.89400000000000002</v>
      </c>
      <c r="AF20" s="157">
        <f>IF(AND(ISNUMBER(Laboratorio!W22),ISNUMBER(Courier!Y30)),Courier!Y30," ")</f>
        <v>1.4501559734344482</v>
      </c>
      <c r="AG20" s="157">
        <f t="shared" si="14"/>
        <v>-0.55615597343444823</v>
      </c>
      <c r="AH20" s="321">
        <f t="shared" si="15"/>
        <v>62.209840428909189</v>
      </c>
      <c r="AI20" s="157">
        <f>IF(AND(ISNUMBER(Laboratorio!Y22),ISNUMBER(Courier!AA30)),Laboratorio!Y22," ")</f>
        <v>28.44</v>
      </c>
      <c r="AJ20" s="157">
        <f>IF(AND(ISNUMBER(Laboratorio!Y22),ISNUMBER(Courier!AA30)),Courier!AA30," ")</f>
        <v>27.289146423339844</v>
      </c>
      <c r="AK20" s="157">
        <f t="shared" si="16"/>
        <v>1.1508535766601575</v>
      </c>
      <c r="AL20" s="321">
        <f t="shared" si="17"/>
        <v>4.0466018869907083</v>
      </c>
      <c r="AM20" s="314"/>
      <c r="AN20" s="331"/>
      <c r="AO20" s="320">
        <f>IF(AND(ISNUMBER(Laboratorio!F22),ISNUMBER(Courier!F30)),Laboratorio!F22," ")</f>
        <v>0.45700000000000002</v>
      </c>
      <c r="AP20" s="157">
        <f>IF(AND(ISNUMBER(Laboratorio!F22),ISNUMBER(Courier!F30)),Courier!F30," ")</f>
        <v>0.54607230424880981</v>
      </c>
      <c r="AQ20" s="84">
        <f t="shared" si="18"/>
        <v>-8.9072304248809797E-2</v>
      </c>
      <c r="AR20" s="319">
        <f t="shared" si="19"/>
        <v>19.490657384859912</v>
      </c>
      <c r="AS20" s="84">
        <f>IF(AND(ISNUMBER(Laboratorio!H22),ISNUMBER(Courier!H30)),Laboratorio!H22," ")</f>
        <v>2.5999999999999999E-2</v>
      </c>
      <c r="AT20" s="84">
        <f>IF(AND(ISNUMBER(Laboratorio!H22),ISNUMBER(Courier!H30)),Courier!H30," ")</f>
        <v>2.9813330620527267E-2</v>
      </c>
      <c r="AU20" s="84">
        <f t="shared" si="20"/>
        <v>-3.8133306205272686E-3</v>
      </c>
      <c r="AV20" s="319">
        <f t="shared" si="21"/>
        <v>14.666656232797187</v>
      </c>
      <c r="AW20" s="84">
        <f>IF(AND(ISNUMBER(Laboratorio!J22),ISNUMBER(Courier!J30)),Laboratorio!J22," ")</f>
        <v>2.3540000000000001</v>
      </c>
      <c r="AX20" s="84">
        <f>IF(AND(ISNUMBER(Laboratorio!J22),ISNUMBER(Courier!J30)),Courier!J30," ")</f>
        <v>2.4497549533843994</v>
      </c>
      <c r="AY20" s="84">
        <f t="shared" si="22"/>
        <v>-9.5754953384399322E-2</v>
      </c>
      <c r="AZ20" s="319">
        <f t="shared" si="23"/>
        <v>4.0677550290738873</v>
      </c>
      <c r="BA20" s="84">
        <f>IF(AND(ISNUMBER(Laboratorio!P22),ISNUMBER(Courier!P30)),Laboratorio!P22," ")</f>
        <v>3.9E-2</v>
      </c>
      <c r="BB20" s="84">
        <f>IF(AND(ISNUMBER(Laboratorio!P22),ISNUMBER(Courier!P30)),Courier!P30," ")</f>
        <v>4.2536173015832901E-2</v>
      </c>
      <c r="BC20" s="84">
        <f t="shared" si="24"/>
        <v>-3.5361730158329011E-3</v>
      </c>
      <c r="BD20" s="319">
        <f t="shared" si="25"/>
        <v>9.0671102970074386</v>
      </c>
      <c r="BE20" s="84">
        <f>IF(AND(ISNUMBER(Laboratorio!R22),ISNUMBER(Courier!R30)),Laboratorio!R22," ")</f>
        <v>4.0000000000000001E-3</v>
      </c>
      <c r="BF20" s="84">
        <f>IF(AND(ISNUMBER(Laboratorio!R22),ISNUMBER(Courier!R30)),Courier!R30," ")</f>
        <v>4.3897973373532295E-3</v>
      </c>
      <c r="BG20" s="84">
        <f t="shared" si="26"/>
        <v>-3.8979733735322944E-4</v>
      </c>
      <c r="BH20" s="319">
        <f t="shared" si="27"/>
        <v>9.7449334338307345</v>
      </c>
      <c r="BI20" s="84">
        <f>IF(AND(ISNUMBER(Laboratorio!T22),ISNUMBER(Courier!T30)),Laboratorio!T22," ")</f>
        <v>2.028</v>
      </c>
      <c r="BJ20" s="84">
        <f>IF(AND(ISNUMBER(Laboratorio!T22),ISNUMBER(Courier!T30)),Courier!T30," ")</f>
        <v>1.8447232246398926</v>
      </c>
      <c r="BK20" s="84">
        <f t="shared" si="28"/>
        <v>0.18327677536010745</v>
      </c>
      <c r="BL20" s="84">
        <f t="shared" si="29"/>
        <v>9.0373163392557903</v>
      </c>
      <c r="BM20" s="318">
        <f>IF(AND(ISNUMBER(Laboratorio!V22),ISNUMBER(Courier!X30)),Laboratorio!V22," ")</f>
        <v>21.791</v>
      </c>
      <c r="BN20">
        <f>IF(AND(ISNUMBER(Laboratorio!V22),ISNUMBER(Courier!X30)),Courier!X30," ")</f>
        <v>23.015262603759766</v>
      </c>
      <c r="BO20">
        <f t="shared" si="30"/>
        <v>-1.2242626037597653</v>
      </c>
      <c r="BP20" s="317">
        <f t="shared" si="31"/>
        <v>5.6182029450679876</v>
      </c>
      <c r="BQ20">
        <f>IF(AND(ISNUMBER(Laboratorio!X22),ISNUMBER(Courier!Z30)),Laboratorio!X22," ")</f>
        <v>1.2869999999999999</v>
      </c>
      <c r="BR20">
        <f>IF(AND(ISNUMBER(Laboratorio!X22),ISNUMBER(Courier!Z30)),Courier!Z30," ")</f>
        <v>1.4501559734344482</v>
      </c>
      <c r="BS20">
        <f t="shared" si="32"/>
        <v>-0.16315597343444832</v>
      </c>
      <c r="BT20" s="317">
        <f t="shared" si="33"/>
        <v>12.677231813088449</v>
      </c>
      <c r="BU20">
        <f>IF(AND(ISNUMBER(Laboratorio!Z22),ISNUMBER(Courier!AB30)),Laboratorio!Z22," ")</f>
        <v>29.95</v>
      </c>
      <c r="BV20">
        <f>IF(AND(ISNUMBER(Laboratorio!Z22),ISNUMBER(Courier!AB30)),Courier!AB30," ")</f>
        <v>27.289146423339844</v>
      </c>
      <c r="BW20">
        <f t="shared" si="34"/>
        <v>2.6608535766601555</v>
      </c>
      <c r="BX20" s="317">
        <f t="shared" si="35"/>
        <v>8.8843191207350785</v>
      </c>
    </row>
    <row r="21" spans="3:76" x14ac:dyDescent="0.2">
      <c r="C21" s="320">
        <f>IF(AND(ISNUMBER(Laboratorio!E23),ISNUMBER(Courier!E31)),Laboratorio!E23,"")</f>
        <v>0.56200000000000006</v>
      </c>
      <c r="D21" s="157">
        <f>IF(AND(ISNUMBER(Laboratorio!E23),ISNUMBER(Courier!E31)),Courier!E31,"")</f>
        <v>0.59998983144760132</v>
      </c>
      <c r="E21" s="157">
        <f t="shared" si="0"/>
        <v>-3.7989831447601263E-2</v>
      </c>
      <c r="F21" s="321">
        <f t="shared" si="1"/>
        <v>6.7597564853383032</v>
      </c>
      <c r="G21" s="320">
        <f>IF(AND(ISNUMBER(Laboratorio!G23),ISNUMBER(Courier!G31)),Laboratorio!G23," ")</f>
        <v>3.2000000000000001E-2</v>
      </c>
      <c r="H21" s="157">
        <f>IF(AND(ISNUMBER(Laboratorio!G23),ISNUMBER(Courier!G31)),Courier!G31," ")</f>
        <v>3.8391932845115662E-2</v>
      </c>
      <c r="I21" s="157">
        <f t="shared" si="2"/>
        <v>-6.391932845115661E-3</v>
      </c>
      <c r="J21" s="321">
        <f t="shared" si="3"/>
        <v>19.974790140986439</v>
      </c>
      <c r="K21" s="157">
        <f>IF(AND(ISNUMBER(Laboratorio!I23),ISNUMBER(Courier!I31)),Laboratorio!I23," ")</f>
        <v>2.2050000000000001</v>
      </c>
      <c r="L21" s="157">
        <f>IF(AND(ISNUMBER(Laboratorio!I23),ISNUMBER(Courier!I31)),Courier!I31," ")</f>
        <v>2.0410492420196533</v>
      </c>
      <c r="M21" s="157">
        <f t="shared" si="4"/>
        <v>0.16395075798034675</v>
      </c>
      <c r="N21" s="321">
        <f t="shared" si="5"/>
        <v>7.4354085251857942</v>
      </c>
      <c r="O21" s="320">
        <f>IF(AND(ISNUMBER(Laboratorio!O23),ISNUMBER(Courier!O31)),Laboratorio!O23," ")</f>
        <v>4.4999999999999998E-2</v>
      </c>
      <c r="P21" s="156">
        <f>IF(AND(ISNUMBER(Laboratorio!O23),ISNUMBER(Courier!O31)),Courier!O31," ")</f>
        <v>5.7420451194047928E-2</v>
      </c>
      <c r="Q21" s="157">
        <f t="shared" si="6"/>
        <v>-1.242045119404793E-2</v>
      </c>
      <c r="R21" s="321">
        <f t="shared" si="7"/>
        <v>27.601002653439842</v>
      </c>
      <c r="S21" s="156">
        <f>IF(AND(ISNUMBER(Laboratorio!Q23),ISNUMBER(Courier!Q31)),Laboratorio!Q23," ")</f>
        <v>4.0000000000000001E-3</v>
      </c>
      <c r="T21" s="157">
        <v>3.4921534825116396E-3</v>
      </c>
      <c r="U21" s="157">
        <f t="shared" si="8"/>
        <v>5.0784651748836049E-4</v>
      </c>
      <c r="V21" s="157">
        <f t="shared" si="9"/>
        <v>12.696162937209014</v>
      </c>
      <c r="W21" s="320">
        <f>IF(AND(ISNUMBER(Laboratorio!S23),ISNUMBER(Courier!S31)),Laboratorio!S23,"")</f>
        <v>1.48</v>
      </c>
      <c r="X21" s="157">
        <f>IF(AND(ISNUMBER(Laboratorio!S23),ISNUMBER(Courier!S31)),Courier!S31,"")</f>
        <v>1.3106778860092163</v>
      </c>
      <c r="Y21" s="157">
        <f t="shared" si="10"/>
        <v>0.16932211399078367</v>
      </c>
      <c r="Z21" s="157">
        <f t="shared" si="11"/>
        <v>11.440683377755652</v>
      </c>
      <c r="AA21" s="320">
        <f>IF(AND(ISNUMBER(Laboratorio!U23),ISNUMBER(Courier!W31)),Laboratorio!U23," ")</f>
        <v>24.725999999999999</v>
      </c>
      <c r="AB21" s="157">
        <f>IF(AND(ISNUMBER(Laboratorio!U23),ISNUMBER(Courier!W31)),Courier!W31," ")</f>
        <v>23.015262603759766</v>
      </c>
      <c r="AC21" s="157">
        <f t="shared" si="12"/>
        <v>1.7107373962402335</v>
      </c>
      <c r="AD21" s="321">
        <f t="shared" si="13"/>
        <v>6.9187794072645543</v>
      </c>
      <c r="AE21" s="157">
        <f>IF(AND(ISNUMBER(Laboratorio!W23),ISNUMBER(Courier!Y31)),Laboratorio!W23," ")</f>
        <v>1.101</v>
      </c>
      <c r="AF21" s="157">
        <f>IF(AND(ISNUMBER(Laboratorio!W23),ISNUMBER(Courier!Y31)),Courier!Y31," ")</f>
        <v>1.4501559734344482</v>
      </c>
      <c r="AG21" s="157">
        <f t="shared" si="14"/>
        <v>-0.34915597343444826</v>
      </c>
      <c r="AH21" s="321">
        <f t="shared" si="15"/>
        <v>31.712622473610196</v>
      </c>
      <c r="AI21" s="157">
        <f>IF(AND(ISNUMBER(Laboratorio!Y23),ISNUMBER(Courier!AA31)),Laboratorio!Y23," ")</f>
        <v>29.75</v>
      </c>
      <c r="AJ21" s="157">
        <f>IF(AND(ISNUMBER(Laboratorio!Y23),ISNUMBER(Courier!AA31)),Courier!AA31," ")</f>
        <v>27.289146423339844</v>
      </c>
      <c r="AK21" s="157">
        <f t="shared" si="16"/>
        <v>2.4608535766601563</v>
      </c>
      <c r="AL21" s="321">
        <f t="shared" si="17"/>
        <v>8.2717767282694332</v>
      </c>
      <c r="AM21" s="314"/>
      <c r="AN21" s="331"/>
      <c r="AO21" s="320">
        <f>IF(AND(ISNUMBER(Laboratorio!F23),ISNUMBER(Courier!F31)),Laboratorio!F23," ")</f>
        <v>0.46200000000000002</v>
      </c>
      <c r="AP21" s="157">
        <f>IF(AND(ISNUMBER(Laboratorio!F23),ISNUMBER(Courier!F31)),Courier!F31," ")</f>
        <v>0.50283354520797729</v>
      </c>
      <c r="AQ21" s="84">
        <f t="shared" si="18"/>
        <v>-4.0833545207977273E-2</v>
      </c>
      <c r="AR21" s="319">
        <f t="shared" si="19"/>
        <v>8.8384296986963786</v>
      </c>
      <c r="AS21" s="84">
        <f>IF(AND(ISNUMBER(Laboratorio!H23),ISNUMBER(Courier!H31)),Laboratorio!H23," ")</f>
        <v>4.2000000000000003E-2</v>
      </c>
      <c r="AT21" s="84">
        <f>IF(AND(ISNUMBER(Laboratorio!H23),ISNUMBER(Courier!H31)),Courier!H31," ")</f>
        <v>3.5930391401052475E-2</v>
      </c>
      <c r="AU21" s="84">
        <f t="shared" si="20"/>
        <v>6.0696085989475276E-3</v>
      </c>
      <c r="AV21" s="319">
        <f t="shared" si="21"/>
        <v>14.45144904511316</v>
      </c>
      <c r="AW21" s="84">
        <f>IF(AND(ISNUMBER(Laboratorio!J23),ISNUMBER(Courier!J31)),Laboratorio!J23," ")</f>
        <v>1.863</v>
      </c>
      <c r="AX21" s="84">
        <f>IF(AND(ISNUMBER(Laboratorio!J23),ISNUMBER(Courier!J31)),Courier!J31," ")</f>
        <v>1.8280590772628784</v>
      </c>
      <c r="AY21" s="84">
        <f t="shared" si="22"/>
        <v>3.4940922737121571E-2</v>
      </c>
      <c r="AZ21" s="319">
        <f t="shared" si="23"/>
        <v>1.8755192022072771</v>
      </c>
      <c r="BA21" s="84">
        <f>IF(AND(ISNUMBER(Laboratorio!P23),ISNUMBER(Courier!P31)),Laboratorio!P23," ")</f>
        <v>4.9000000000000002E-2</v>
      </c>
      <c r="BB21" s="84">
        <f>IF(AND(ISNUMBER(Laboratorio!P23),ISNUMBER(Courier!P31)),Courier!P31," ")</f>
        <v>5.4978996515274048E-2</v>
      </c>
      <c r="BC21" s="84">
        <f t="shared" si="24"/>
        <v>-5.978996515274046E-3</v>
      </c>
      <c r="BD21" s="319">
        <f t="shared" si="25"/>
        <v>12.202033704640909</v>
      </c>
      <c r="BE21" s="84">
        <f>IF(AND(ISNUMBER(Laboratorio!R23),ISNUMBER(Courier!R31)),Laboratorio!R23," ")</f>
        <v>7.0000000000000001E-3</v>
      </c>
      <c r="BF21" s="84">
        <f>IF(AND(ISNUMBER(Laboratorio!R23),ISNUMBER(Courier!R31)),Courier!R31," ")</f>
        <v>5.4571120999753475E-3</v>
      </c>
      <c r="BG21" s="84">
        <f t="shared" si="26"/>
        <v>1.5428879000246526E-3</v>
      </c>
      <c r="BH21" s="319">
        <f t="shared" si="27"/>
        <v>22.041255714637895</v>
      </c>
      <c r="BI21" s="84">
        <f>IF(AND(ISNUMBER(Laboratorio!T23),ISNUMBER(Courier!T31)),Laboratorio!T23," ")</f>
        <v>1.321</v>
      </c>
      <c r="BJ21" s="84">
        <f>IF(AND(ISNUMBER(Laboratorio!T23),ISNUMBER(Courier!T31)),Courier!T31," ")</f>
        <v>1.2757508754730225</v>
      </c>
      <c r="BK21" s="84">
        <f t="shared" si="28"/>
        <v>4.5249124526977491E-2</v>
      </c>
      <c r="BL21" s="84">
        <f t="shared" si="29"/>
        <v>3.4253690027992043</v>
      </c>
      <c r="BM21" s="318">
        <f>IF(AND(ISNUMBER(Laboratorio!V23),ISNUMBER(Courier!X31)),Laboratorio!V23," ")</f>
        <v>23.681000000000001</v>
      </c>
      <c r="BN21">
        <f>IF(AND(ISNUMBER(Laboratorio!V23),ISNUMBER(Courier!X31)),Courier!X31," ")</f>
        <v>26.153593063354492</v>
      </c>
      <c r="BO21">
        <f t="shared" si="30"/>
        <v>-2.4725930633544912</v>
      </c>
      <c r="BP21" s="317">
        <f t="shared" si="31"/>
        <v>10.44125274842486</v>
      </c>
      <c r="BQ21">
        <f>IF(AND(ISNUMBER(Laboratorio!X23),ISNUMBER(Courier!Z31)),Laboratorio!X23," ")</f>
        <v>1.9059999999999999</v>
      </c>
      <c r="BR21">
        <f>IF(AND(ISNUMBER(Laboratorio!X23),ISNUMBER(Courier!Z31)),Courier!Z31," ")</f>
        <v>1.8572525978088379</v>
      </c>
      <c r="BS21">
        <f t="shared" si="32"/>
        <v>4.8747402191162026E-2</v>
      </c>
      <c r="BT21" s="317">
        <f t="shared" si="33"/>
        <v>2.5575761905121737</v>
      </c>
      <c r="BU21">
        <f>IF(AND(ISNUMBER(Laboratorio!Z23),ISNUMBER(Courier!AB31)),Laboratorio!Z23," ")</f>
        <v>29.28</v>
      </c>
      <c r="BV21">
        <f>IF(AND(ISNUMBER(Laboratorio!Z23),ISNUMBER(Courier!AB31)),Courier!AB31," ")</f>
        <v>27.661218643188477</v>
      </c>
      <c r="BW21">
        <f t="shared" si="34"/>
        <v>1.6187813568115246</v>
      </c>
      <c r="BX21" s="317">
        <f t="shared" si="35"/>
        <v>5.5286248524983765</v>
      </c>
    </row>
    <row r="22" spans="3:76" x14ac:dyDescent="0.2">
      <c r="C22" s="320">
        <f>IF(AND(ISNUMBER(Laboratorio!E24),ISNUMBER(Courier!E32)),Laboratorio!E24,"")</f>
        <v>0.55000000000000004</v>
      </c>
      <c r="D22" s="157">
        <f>IF(AND(ISNUMBER(Laboratorio!E24),ISNUMBER(Courier!E32)),Courier!E32,"")</f>
        <v>0.50231575965881348</v>
      </c>
      <c r="E22" s="157">
        <f t="shared" si="0"/>
        <v>4.7684240341186568E-2</v>
      </c>
      <c r="F22" s="321">
        <f t="shared" si="1"/>
        <v>8.6698618802157394</v>
      </c>
      <c r="G22" s="320">
        <f>IF(AND(ISNUMBER(Laboratorio!G24),ISNUMBER(Courier!G32)),Laboratorio!G24," ")</f>
        <v>3.5999999999999997E-2</v>
      </c>
      <c r="H22" s="157">
        <f>IF(AND(ISNUMBER(Laboratorio!G24),ISNUMBER(Courier!G32)),Courier!G32," ")</f>
        <v>3.7116792052984238E-2</v>
      </c>
      <c r="I22" s="157">
        <f t="shared" si="2"/>
        <v>-1.1167920529842404E-3</v>
      </c>
      <c r="J22" s="321">
        <f t="shared" si="3"/>
        <v>3.1022001471784457</v>
      </c>
      <c r="K22" s="157">
        <f>IF(AND(ISNUMBER(Laboratorio!I24),ISNUMBER(Courier!I32)),Laboratorio!I24," ")</f>
        <v>2.4929999999999999</v>
      </c>
      <c r="L22" s="157">
        <f>IF(AND(ISNUMBER(Laboratorio!I24),ISNUMBER(Courier!I32)),Courier!I32," ")</f>
        <v>1.9858081340789795</v>
      </c>
      <c r="M22" s="157">
        <f t="shared" si="4"/>
        <v>0.50719186592102039</v>
      </c>
      <c r="N22" s="321">
        <f t="shared" si="5"/>
        <v>20.344639627798653</v>
      </c>
      <c r="O22" s="320">
        <f>IF(AND(ISNUMBER(Laboratorio!O24),ISNUMBER(Courier!O32)),Laboratorio!O24," ")</f>
        <v>0.04</v>
      </c>
      <c r="P22" s="156">
        <f>IF(AND(ISNUMBER(Laboratorio!O24),ISNUMBER(Courier!O32)),Courier!O32," ")</f>
        <v>5.5254612118005753E-2</v>
      </c>
      <c r="Q22" s="157">
        <f t="shared" si="6"/>
        <v>-1.5254612118005752E-2</v>
      </c>
      <c r="R22" s="321">
        <f t="shared" si="7"/>
        <v>38.136530295014374</v>
      </c>
      <c r="S22" s="156">
        <f>IF(AND(ISNUMBER(Laboratorio!Q24),ISNUMBER(Courier!Q32)),Laboratorio!Q24," ")</f>
        <v>6.0000000000000001E-3</v>
      </c>
      <c r="T22" s="157">
        <v>3.2805185765028E-3</v>
      </c>
      <c r="U22" s="157">
        <f t="shared" si="8"/>
        <v>2.7194814234972001E-3</v>
      </c>
      <c r="V22" s="157">
        <f t="shared" si="9"/>
        <v>45.324690391620003</v>
      </c>
      <c r="W22" s="320">
        <f>IF(AND(ISNUMBER(Laboratorio!S24),ISNUMBER(Courier!S32)),Laboratorio!S24,"")</f>
        <v>1.99</v>
      </c>
      <c r="X22" s="157">
        <f>IF(AND(ISNUMBER(Laboratorio!S24),ISNUMBER(Courier!S32)),Courier!S32,"")</f>
        <v>1.3762176036834717</v>
      </c>
      <c r="Y22" s="157">
        <f t="shared" si="10"/>
        <v>0.61378239631652831</v>
      </c>
      <c r="Z22" s="157">
        <f t="shared" si="11"/>
        <v>30.84333649831801</v>
      </c>
      <c r="AA22" s="320">
        <f>IF(AND(ISNUMBER(Laboratorio!U24),ISNUMBER(Courier!W32)),Laboratorio!U24," ")</f>
        <v>23.864000000000001</v>
      </c>
      <c r="AB22" s="157">
        <f>IF(AND(ISNUMBER(Laboratorio!U24),ISNUMBER(Courier!W32)),Courier!W32," ")</f>
        <v>25.166622161865234</v>
      </c>
      <c r="AC22" s="157">
        <f t="shared" si="12"/>
        <v>-1.3026221618652336</v>
      </c>
      <c r="AD22" s="321">
        <f t="shared" si="13"/>
        <v>5.4585239769746625</v>
      </c>
      <c r="AE22" s="157">
        <f>IF(AND(ISNUMBER(Laboratorio!W24),ISNUMBER(Courier!Y32)),Laboratorio!W24," ")</f>
        <v>1.8069999999999999</v>
      </c>
      <c r="AF22" s="157">
        <f>IF(AND(ISNUMBER(Laboratorio!W24),ISNUMBER(Courier!Y32)),Courier!Y32," ")</f>
        <v>1.893884539604187</v>
      </c>
      <c r="AG22" s="157">
        <f t="shared" si="14"/>
        <v>-8.6884539604187072E-2</v>
      </c>
      <c r="AH22" s="321">
        <f t="shared" si="15"/>
        <v>4.8082202326611556</v>
      </c>
      <c r="AI22" s="157">
        <f>IF(AND(ISNUMBER(Laboratorio!Y24),ISNUMBER(Courier!AA32)),Laboratorio!Y24," ")</f>
        <v>27.82</v>
      </c>
      <c r="AJ22" s="157">
        <f>IF(AND(ISNUMBER(Laboratorio!Y24),ISNUMBER(Courier!AA32)),Courier!AA32," ")</f>
        <v>26.856437683105469</v>
      </c>
      <c r="AK22" s="157">
        <f t="shared" si="16"/>
        <v>0.96356231689453153</v>
      </c>
      <c r="AL22" s="321">
        <f t="shared" si="17"/>
        <v>3.4635597300306666</v>
      </c>
      <c r="AM22" s="314"/>
      <c r="AN22" s="331"/>
      <c r="AO22" s="320" t="str">
        <f>IF(AND(ISNUMBER(Laboratorio!F24),ISNUMBER(Courier!F32)),Laboratorio!F24," ")</f>
        <v xml:space="preserve"> </v>
      </c>
      <c r="AP22" s="157" t="str">
        <f>IF(AND(ISNUMBER(Laboratorio!F24),ISNUMBER(Courier!F32)),Courier!F32," ")</f>
        <v xml:space="preserve"> </v>
      </c>
      <c r="AQ22" s="84" t="str">
        <f t="shared" si="18"/>
        <v xml:space="preserve"> </v>
      </c>
      <c r="AR22" s="319" t="str">
        <f t="shared" si="19"/>
        <v xml:space="preserve"> </v>
      </c>
      <c r="AS22" s="84" t="str">
        <f>IF(AND(ISNUMBER(Laboratorio!H24),ISNUMBER(Courier!H32)),Laboratorio!H24," ")</f>
        <v xml:space="preserve"> </v>
      </c>
      <c r="AT22" s="84" t="str">
        <f>IF(AND(ISNUMBER(Laboratorio!H24),ISNUMBER(Courier!H32)),Courier!H32," ")</f>
        <v xml:space="preserve"> </v>
      </c>
      <c r="AU22" s="84" t="str">
        <f t="shared" si="20"/>
        <v xml:space="preserve"> </v>
      </c>
      <c r="AV22" s="319" t="str">
        <f t="shared" si="21"/>
        <v xml:space="preserve"> </v>
      </c>
      <c r="AW22" s="84" t="str">
        <f>IF(AND(ISNUMBER(Laboratorio!J24),ISNUMBER(Courier!J32)),Laboratorio!J24," ")</f>
        <v xml:space="preserve"> </v>
      </c>
      <c r="AX22" s="84" t="str">
        <f>IF(AND(ISNUMBER(Laboratorio!J24),ISNUMBER(Courier!J32)),Courier!J32," ")</f>
        <v xml:space="preserve"> </v>
      </c>
      <c r="AY22" s="84" t="str">
        <f t="shared" si="22"/>
        <v xml:space="preserve"> </v>
      </c>
      <c r="AZ22" s="319" t="str">
        <f t="shared" si="23"/>
        <v xml:space="preserve"> </v>
      </c>
      <c r="BA22" s="84" t="str">
        <f>IF(AND(ISNUMBER(Laboratorio!P24),ISNUMBER(Courier!P32)),Laboratorio!P24," ")</f>
        <v xml:space="preserve"> </v>
      </c>
      <c r="BB22" s="84" t="str">
        <f>IF(AND(ISNUMBER(Laboratorio!P24),ISNUMBER(Courier!P32)),Courier!P32," ")</f>
        <v xml:space="preserve"> </v>
      </c>
      <c r="BC22" s="84" t="str">
        <f t="shared" si="24"/>
        <v xml:space="preserve"> </v>
      </c>
      <c r="BD22" s="319" t="str">
        <f t="shared" si="25"/>
        <v xml:space="preserve"> </v>
      </c>
      <c r="BE22" s="84" t="str">
        <f>IF(AND(ISNUMBER(Laboratorio!R24),ISNUMBER(Courier!R32)),Laboratorio!R24," ")</f>
        <v xml:space="preserve"> </v>
      </c>
      <c r="BF22" s="84" t="str">
        <f>IF(AND(ISNUMBER(Laboratorio!R24),ISNUMBER(Courier!R32)),Courier!R32," ")</f>
        <v xml:space="preserve"> </v>
      </c>
      <c r="BG22" s="84" t="str">
        <f t="shared" si="26"/>
        <v xml:space="preserve"> </v>
      </c>
      <c r="BH22" s="319" t="str">
        <f t="shared" si="27"/>
        <v xml:space="preserve"> </v>
      </c>
      <c r="BI22" s="84" t="str">
        <f>IF(AND(ISNUMBER(Laboratorio!T24),ISNUMBER(Courier!T32)),Laboratorio!T24," ")</f>
        <v xml:space="preserve"> </v>
      </c>
      <c r="BJ22" s="84" t="str">
        <f>IF(AND(ISNUMBER(Laboratorio!T24),ISNUMBER(Courier!T32)),Courier!T32," ")</f>
        <v xml:space="preserve"> </v>
      </c>
      <c r="BK22" s="84" t="str">
        <f t="shared" si="28"/>
        <v xml:space="preserve"> </v>
      </c>
      <c r="BL22" s="84" t="str">
        <f t="shared" si="29"/>
        <v xml:space="preserve"> </v>
      </c>
      <c r="BM22" s="318" t="str">
        <f>IF(AND(ISNUMBER(Laboratorio!V24),ISNUMBER(Courier!X32)),Laboratorio!V24," ")</f>
        <v xml:space="preserve"> </v>
      </c>
      <c r="BN22" t="str">
        <f>IF(AND(ISNUMBER(Laboratorio!V24),ISNUMBER(Courier!X32)),Courier!X32," ")</f>
        <v xml:space="preserve"> </v>
      </c>
      <c r="BO22" t="str">
        <f t="shared" si="30"/>
        <v xml:space="preserve"> </v>
      </c>
      <c r="BP22" s="317" t="str">
        <f t="shared" si="31"/>
        <v xml:space="preserve"> </v>
      </c>
      <c r="BQ22" t="str">
        <f>IF(AND(ISNUMBER(Laboratorio!X24),ISNUMBER(Courier!Z32)),Laboratorio!X24," ")</f>
        <v xml:space="preserve"> </v>
      </c>
      <c r="BR22" t="str">
        <f>IF(AND(ISNUMBER(Laboratorio!X24),ISNUMBER(Courier!Z32)),Courier!Z32," ")</f>
        <v xml:space="preserve"> </v>
      </c>
      <c r="BS22" t="str">
        <f t="shared" si="32"/>
        <v xml:space="preserve"> </v>
      </c>
      <c r="BT22" s="317" t="str">
        <f t="shared" si="33"/>
        <v xml:space="preserve"> </v>
      </c>
      <c r="BU22" t="str">
        <f>IF(AND(ISNUMBER(Laboratorio!Z24),ISNUMBER(Courier!AB32)),Laboratorio!Z24," ")</f>
        <v xml:space="preserve"> </v>
      </c>
      <c r="BV22" t="str">
        <f>IF(AND(ISNUMBER(Laboratorio!Z24),ISNUMBER(Courier!AB32)),Courier!AB32," ")</f>
        <v xml:space="preserve"> </v>
      </c>
      <c r="BW22" t="str">
        <f t="shared" si="34"/>
        <v xml:space="preserve"> </v>
      </c>
      <c r="BX22" s="317" t="str">
        <f t="shared" si="35"/>
        <v xml:space="preserve"> </v>
      </c>
    </row>
    <row r="23" spans="3:76" x14ac:dyDescent="0.2">
      <c r="C23" s="320">
        <f>IF(AND(ISNUMBER(Laboratorio!E25),ISNUMBER(Courier!E33)),Laboratorio!E25,"")</f>
        <v>0.441</v>
      </c>
      <c r="D23" s="157">
        <f>IF(AND(ISNUMBER(Laboratorio!E25),ISNUMBER(Courier!E33)),Courier!E33,"")</f>
        <v>0.3736254870891571</v>
      </c>
      <c r="E23" s="157">
        <f t="shared" si="0"/>
        <v>6.7374512910842899E-2</v>
      </c>
      <c r="F23" s="321">
        <f t="shared" si="1"/>
        <v>15.277667326721744</v>
      </c>
      <c r="G23" s="320">
        <f>IF(AND(ISNUMBER(Laboratorio!G25),ISNUMBER(Courier!G33)),Laboratorio!G25," ")</f>
        <v>0.05</v>
      </c>
      <c r="H23" s="157">
        <f>IF(AND(ISNUMBER(Laboratorio!G25),ISNUMBER(Courier!G33)),Courier!G33," ")</f>
        <v>4.6092774718999863E-2</v>
      </c>
      <c r="I23" s="157">
        <f t="shared" si="2"/>
        <v>3.9072252810001401E-3</v>
      </c>
      <c r="J23" s="321">
        <f t="shared" si="3"/>
        <v>7.81445056200028</v>
      </c>
      <c r="K23" s="157">
        <f>IF(AND(ISNUMBER(Laboratorio!I25),ISNUMBER(Courier!I33)),Laboratorio!I25," ")</f>
        <v>2.6320000000000001</v>
      </c>
      <c r="L23" s="157">
        <f>IF(AND(ISNUMBER(Laboratorio!I25),ISNUMBER(Courier!I33)),Courier!I33," ")</f>
        <v>2.6145422458648682</v>
      </c>
      <c r="M23" s="157">
        <f t="shared" si="4"/>
        <v>1.7457754135131953E-2</v>
      </c>
      <c r="N23" s="321">
        <f t="shared" si="5"/>
        <v>0.66328853097005891</v>
      </c>
      <c r="O23" s="320">
        <f>IF(AND(ISNUMBER(Laboratorio!O25),ISNUMBER(Courier!O33)),Laboratorio!O25," ")</f>
        <v>5.5E-2</v>
      </c>
      <c r="P23" s="156">
        <f>IF(AND(ISNUMBER(Laboratorio!O25),ISNUMBER(Courier!O33)),Courier!O33," ")</f>
        <v>4.000009223818779E-2</v>
      </c>
      <c r="Q23" s="157">
        <f t="shared" si="6"/>
        <v>1.499990776181221E-2</v>
      </c>
      <c r="R23" s="321">
        <f t="shared" si="7"/>
        <v>27.272559566931292</v>
      </c>
      <c r="S23" s="156">
        <f>IF(AND(ISNUMBER(Laboratorio!Q25),ISNUMBER(Courier!Q33)),Laboratorio!Q25," ")</f>
        <v>8.0000000000000002E-3</v>
      </c>
      <c r="T23" s="157">
        <v>3.2588178291916847E-3</v>
      </c>
      <c r="U23" s="157">
        <f t="shared" si="8"/>
        <v>4.7411821708083154E-3</v>
      </c>
      <c r="V23" s="157">
        <f t="shared" si="9"/>
        <v>59.264777135103941</v>
      </c>
      <c r="W23" s="320">
        <f>IF(AND(ISNUMBER(Laboratorio!S25),ISNUMBER(Courier!S33)),Laboratorio!S25,"")</f>
        <v>2.5619999999999998</v>
      </c>
      <c r="X23" s="157">
        <f>IF(AND(ISNUMBER(Laboratorio!S25),ISNUMBER(Courier!S33)),Courier!S33,"")</f>
        <v>2.1051921844482422</v>
      </c>
      <c r="Y23" s="157">
        <f t="shared" si="10"/>
        <v>0.45680781555175765</v>
      </c>
      <c r="Z23" s="157">
        <f t="shared" si="11"/>
        <v>17.830125509436286</v>
      </c>
      <c r="AA23" s="320">
        <f>IF(AND(ISNUMBER(Laboratorio!U25),ISNUMBER(Courier!W33)),Laboratorio!U25," ")</f>
        <v>23.084</v>
      </c>
      <c r="AB23" s="157">
        <f>IF(AND(ISNUMBER(Laboratorio!U25),ISNUMBER(Courier!W33)),Courier!W33," ")</f>
        <v>23.102602005004883</v>
      </c>
      <c r="AC23" s="157">
        <f t="shared" si="12"/>
        <v>-1.8602005004883182E-2</v>
      </c>
      <c r="AD23" s="321">
        <f t="shared" si="13"/>
        <v>8.0583975935206997E-2</v>
      </c>
      <c r="AE23" s="157">
        <f>IF(AND(ISNUMBER(Laboratorio!W25),ISNUMBER(Courier!Y33)),Laboratorio!W25," ")</f>
        <v>1.97</v>
      </c>
      <c r="AF23" s="157">
        <f>IF(AND(ISNUMBER(Laboratorio!W25),ISNUMBER(Courier!Y33)),Courier!Y33," ")</f>
        <v>2.3694190979003906</v>
      </c>
      <c r="AG23" s="157">
        <f t="shared" si="14"/>
        <v>-0.39941909790039065</v>
      </c>
      <c r="AH23" s="321">
        <f t="shared" si="15"/>
        <v>20.275081111694956</v>
      </c>
      <c r="AI23" s="157">
        <f>IF(AND(ISNUMBER(Laboratorio!Y25),ISNUMBER(Courier!AA33)),Laboratorio!Y25," ")</f>
        <v>26.2</v>
      </c>
      <c r="AJ23" s="157">
        <f>IF(AND(ISNUMBER(Laboratorio!Y25),ISNUMBER(Courier!AA33)),Courier!AA33," ")</f>
        <v>27.367341995239258</v>
      </c>
      <c r="AK23" s="157">
        <f t="shared" si="16"/>
        <v>-1.1673419952392585</v>
      </c>
      <c r="AL23" s="321">
        <f t="shared" si="17"/>
        <v>4.4555037986231243</v>
      </c>
      <c r="AM23" s="314"/>
      <c r="AN23" s="331"/>
      <c r="AO23" s="320">
        <f>IF(AND(ISNUMBER(Laboratorio!F25),ISNUMBER(Courier!F33)),Laboratorio!F25," ")</f>
        <v>0.48299999999999998</v>
      </c>
      <c r="AP23" s="157">
        <f>IF(AND(ISNUMBER(Laboratorio!F25),ISNUMBER(Courier!F33)),Courier!F33," ")</f>
        <v>0.44212466478347778</v>
      </c>
      <c r="AQ23" s="84">
        <f t="shared" si="18"/>
        <v>4.0875335216522202E-2</v>
      </c>
      <c r="AR23" s="319">
        <f t="shared" si="19"/>
        <v>8.4628023222613251</v>
      </c>
      <c r="AS23" s="84">
        <f>IF(AND(ISNUMBER(Laboratorio!H25),ISNUMBER(Courier!H33)),Laboratorio!H25," ")</f>
        <v>5.7000000000000002E-2</v>
      </c>
      <c r="AT23" s="84">
        <f>IF(AND(ISNUMBER(Laboratorio!H25),ISNUMBER(Courier!H33)),Courier!H33," ")</f>
        <v>5.0596009939908981E-2</v>
      </c>
      <c r="AU23" s="84">
        <f t="shared" si="20"/>
        <v>6.4039900600910207E-3</v>
      </c>
      <c r="AV23" s="319">
        <f t="shared" si="21"/>
        <v>11.235070280861439</v>
      </c>
      <c r="AW23" s="84">
        <f>IF(AND(ISNUMBER(Laboratorio!J25),ISNUMBER(Courier!J33)),Laboratorio!J25," ")</f>
        <v>3.0009999999999999</v>
      </c>
      <c r="AX23" s="84">
        <f>IF(AND(ISNUMBER(Laboratorio!J25),ISNUMBER(Courier!J33)),Courier!J33," ")</f>
        <v>2.7508416175842285</v>
      </c>
      <c r="AY23" s="84">
        <f t="shared" si="22"/>
        <v>0.25015838241577137</v>
      </c>
      <c r="AZ23" s="319">
        <f t="shared" si="23"/>
        <v>8.3358341358137746</v>
      </c>
      <c r="BA23" s="84">
        <f>IF(AND(ISNUMBER(Laboratorio!P25),ISNUMBER(Courier!P33)),Laboratorio!P25," ")</f>
        <v>5.8999999999999997E-2</v>
      </c>
      <c r="BB23" s="84">
        <f>IF(AND(ISNUMBER(Laboratorio!P25),ISNUMBER(Courier!P33)),Courier!P33," ")</f>
        <v>4.8696577548980713E-2</v>
      </c>
      <c r="BC23" s="84">
        <f t="shared" si="24"/>
        <v>1.0303422451019284E-2</v>
      </c>
      <c r="BD23" s="319">
        <f t="shared" si="25"/>
        <v>17.463427883083533</v>
      </c>
      <c r="BE23" s="84">
        <f>IF(AND(ISNUMBER(Laboratorio!R25),ISNUMBER(Courier!R33)),Laboratorio!R25," ")</f>
        <v>1.2E-2</v>
      </c>
      <c r="BF23" s="84">
        <f>IF(AND(ISNUMBER(Laboratorio!R25),ISNUMBER(Courier!R33)),Courier!R33," ")</f>
        <v>5.2151018753647804E-3</v>
      </c>
      <c r="BG23" s="84">
        <f t="shared" si="26"/>
        <v>6.7848981246352198E-3</v>
      </c>
      <c r="BH23" s="319">
        <f t="shared" si="27"/>
        <v>56.540817705293499</v>
      </c>
      <c r="BI23" s="84">
        <f>IF(AND(ISNUMBER(Laboratorio!T25),ISNUMBER(Courier!T33)),Laboratorio!T25," ")</f>
        <v>2.6139999999999999</v>
      </c>
      <c r="BJ23" s="84">
        <f>IF(AND(ISNUMBER(Laboratorio!T25),ISNUMBER(Courier!T33)),Courier!T33," ")</f>
        <v>1.8737521171569824</v>
      </c>
      <c r="BK23" s="84">
        <f t="shared" si="28"/>
        <v>0.74024788284301746</v>
      </c>
      <c r="BL23" s="84">
        <f t="shared" si="29"/>
        <v>28.318587713963943</v>
      </c>
      <c r="BM23" s="318">
        <f>IF(AND(ISNUMBER(Laboratorio!V25),ISNUMBER(Courier!X33)),Laboratorio!V25," ")</f>
        <v>24.762</v>
      </c>
      <c r="BN23">
        <f>IF(AND(ISNUMBER(Laboratorio!V25),ISNUMBER(Courier!X33)),Courier!X33," ")</f>
        <v>24.377904891967773</v>
      </c>
      <c r="BO23">
        <f t="shared" si="30"/>
        <v>0.38409510803222702</v>
      </c>
      <c r="BP23" s="317">
        <f t="shared" si="31"/>
        <v>1.551147354948013</v>
      </c>
      <c r="BQ23">
        <f>IF(AND(ISNUMBER(Laboratorio!X25),ISNUMBER(Courier!Z33)),Laboratorio!X25," ")</f>
        <v>2.9470000000000001</v>
      </c>
      <c r="BR23">
        <f>IF(AND(ISNUMBER(Laboratorio!X25),ISNUMBER(Courier!Z33)),Courier!Z33," ")</f>
        <v>2.65802001953125</v>
      </c>
      <c r="BS23">
        <f t="shared" si="32"/>
        <v>0.28897998046875006</v>
      </c>
      <c r="BT23" s="317">
        <f t="shared" si="33"/>
        <v>9.8059036467170024</v>
      </c>
      <c r="BU23">
        <f>IF(AND(ISNUMBER(Laboratorio!Z25),ISNUMBER(Courier!AB33)),Laboratorio!Z25," ")</f>
        <v>28.28</v>
      </c>
      <c r="BV23">
        <f>IF(AND(ISNUMBER(Laboratorio!Z25),ISNUMBER(Courier!AB33)),Courier!AB33," ")</f>
        <v>26.602724075317383</v>
      </c>
      <c r="BW23">
        <f t="shared" si="34"/>
        <v>1.6772759246826183</v>
      </c>
      <c r="BX23" s="317">
        <f t="shared" si="35"/>
        <v>5.9309615441393859</v>
      </c>
    </row>
    <row r="24" spans="3:76" x14ac:dyDescent="0.2">
      <c r="C24" s="320">
        <f>IF(AND(ISNUMBER(Laboratorio!E26),ISNUMBER(Courier!E34)),Laboratorio!E26,"")</f>
        <v>0.47599999999999998</v>
      </c>
      <c r="D24" s="157">
        <f>IF(AND(ISNUMBER(Laboratorio!E26),ISNUMBER(Courier!E34)),Courier!E34,"")</f>
        <v>0.39033800363540649</v>
      </c>
      <c r="E24" s="320" t="s">
        <v>269</v>
      </c>
      <c r="F24" s="320">
        <v>1.4E-2</v>
      </c>
      <c r="G24" s="320">
        <f>IF(AND(ISNUMBER(Laboratorio!G26),ISNUMBER(Courier!G34)),Laboratorio!G26," ")</f>
        <v>4.3999999999999997E-2</v>
      </c>
      <c r="H24" s="157">
        <f>IF(AND(ISNUMBER(Laboratorio!G26),ISNUMBER(Courier!G34)),Courier!G34," ")</f>
        <v>3.931552916765213E-2</v>
      </c>
      <c r="I24" s="320" t="s">
        <v>269</v>
      </c>
      <c r="J24" s="333">
        <v>5.0000000000000001E-3</v>
      </c>
      <c r="K24" s="157">
        <f>IF(AND(ISNUMBER(Laboratorio!I26),ISNUMBER(Courier!I34)),Laboratorio!I26," ")</f>
        <v>2.4169999999999998</v>
      </c>
      <c r="L24" s="157">
        <f>IF(AND(ISNUMBER(Laboratorio!I26),ISNUMBER(Courier!I34)),Courier!I34," ")</f>
        <v>2.567657470703125</v>
      </c>
      <c r="M24" s="320" t="s">
        <v>269</v>
      </c>
      <c r="N24" s="320">
        <v>4.1000000000000002E-2</v>
      </c>
      <c r="O24" s="320">
        <f>IF(AND(ISNUMBER(Laboratorio!O26),ISNUMBER(Courier!O34)),Laboratorio!O26," ")</f>
        <v>5.0999999999999997E-2</v>
      </c>
      <c r="P24" s="156">
        <f>IF(AND(ISNUMBER(Laboratorio!O26),ISNUMBER(Courier!O34)),Courier!O34," ")</f>
        <v>4.5061357319355011E-2</v>
      </c>
      <c r="Q24" s="320" t="s">
        <v>269</v>
      </c>
      <c r="R24" s="320">
        <v>2.9420000000000002</v>
      </c>
      <c r="S24" s="156">
        <f>IF(AND(ISNUMBER(Laboratorio!Q26),ISNUMBER(Courier!Q34)),Laboratorio!Q26," ")</f>
        <v>8.0000000000000002E-3</v>
      </c>
      <c r="T24" s="157" t="s">
        <v>18</v>
      </c>
      <c r="U24" s="320" t="s">
        <v>269</v>
      </c>
      <c r="V24" s="320">
        <v>0.72799999999999998</v>
      </c>
      <c r="W24" s="320">
        <f>IF(AND(ISNUMBER(Laboratorio!S26),ISNUMBER(Courier!S34)),Laboratorio!S26,"")</f>
        <v>2.17</v>
      </c>
      <c r="X24" s="157">
        <f>IF(AND(ISNUMBER(Laboratorio!S26),ISNUMBER(Courier!S34)),Courier!S34,"")</f>
        <v>1.8178185224533081</v>
      </c>
      <c r="Y24" s="320" t="s">
        <v>269</v>
      </c>
      <c r="Z24" s="320" t="s">
        <v>269</v>
      </c>
      <c r="AA24" s="320">
        <f>IF(AND(ISNUMBER(Laboratorio!U26),ISNUMBER(Courier!W34)),Laboratorio!U26," ")</f>
        <v>24.184999999999999</v>
      </c>
      <c r="AB24" s="157">
        <f>IF(AND(ISNUMBER(Laboratorio!U26),ISNUMBER(Courier!W34)),Courier!W34," ")</f>
        <v>25.557792663574219</v>
      </c>
      <c r="AC24" s="320" t="s">
        <v>269</v>
      </c>
      <c r="AD24" s="333" t="s">
        <v>269</v>
      </c>
      <c r="AE24" s="157">
        <f>IF(AND(ISNUMBER(Laboratorio!W26),ISNUMBER(Courier!Y34)),Laboratorio!W26," ")</f>
        <v>2.61</v>
      </c>
      <c r="AF24" s="157">
        <f>IF(AND(ISNUMBER(Laboratorio!W26),ISNUMBER(Courier!Y34)),Courier!Y34," ")</f>
        <v>2.3231534957885742</v>
      </c>
      <c r="AG24" s="320" t="s">
        <v>269</v>
      </c>
      <c r="AH24" s="333" t="s">
        <v>269</v>
      </c>
      <c r="AI24" s="157">
        <f>IF(AND(ISNUMBER(Laboratorio!Y26),ISNUMBER(Courier!AA34)),Laboratorio!Y26," ")</f>
        <v>27.42</v>
      </c>
      <c r="AJ24" s="157">
        <f>IF(AND(ISNUMBER(Laboratorio!Y26),ISNUMBER(Courier!AA34)),Courier!AA34," ")</f>
        <v>26.955389022827148</v>
      </c>
      <c r="AK24" s="157" t="s">
        <v>269</v>
      </c>
      <c r="AL24" s="333" t="s">
        <v>269</v>
      </c>
      <c r="AM24" s="314"/>
      <c r="AN24" s="331"/>
      <c r="AO24" s="320">
        <f>IF(AND(ISNUMBER(Laboratorio!F26),ISNUMBER(Courier!F34)),Laboratorio!F26," ")</f>
        <v>0.46500000000000002</v>
      </c>
      <c r="AP24" s="157">
        <f>IF(AND(ISNUMBER(Laboratorio!F26),ISNUMBER(Courier!F34)),Courier!F34," ")</f>
        <v>0.40830069780349731</v>
      </c>
      <c r="AQ24" s="84">
        <f t="shared" si="18"/>
        <v>5.669930219650271E-2</v>
      </c>
      <c r="AR24" s="319">
        <f t="shared" si="19"/>
        <v>12.193398321828539</v>
      </c>
      <c r="AS24" s="84">
        <f>IF(AND(ISNUMBER(Laboratorio!H26),ISNUMBER(Courier!H34)),Laboratorio!H26," ")</f>
        <v>3.6999999999999998E-2</v>
      </c>
      <c r="AT24" s="84">
        <f>IF(AND(ISNUMBER(Laboratorio!H26),ISNUMBER(Courier!H34)),Courier!H34," ")</f>
        <v>3.9904758334159851E-2</v>
      </c>
      <c r="AU24" s="84">
        <f t="shared" si="20"/>
        <v>-2.9047583341598529E-3</v>
      </c>
      <c r="AV24" s="319">
        <f t="shared" si="21"/>
        <v>7.8506982004320349</v>
      </c>
      <c r="AW24" s="84">
        <f>IF(AND(ISNUMBER(Laboratorio!J26),ISNUMBER(Courier!J34)),Laboratorio!J26," ")</f>
        <v>3.1869999999999998</v>
      </c>
      <c r="AX24" s="84">
        <f>IF(AND(ISNUMBER(Laboratorio!J26),ISNUMBER(Courier!J34)),Courier!J34," ")</f>
        <v>2.6255476474761963</v>
      </c>
      <c r="AY24" s="84">
        <f t="shared" si="22"/>
        <v>0.56145235252380354</v>
      </c>
      <c r="AZ24" s="319">
        <f t="shared" si="23"/>
        <v>17.616954895632368</v>
      </c>
      <c r="BA24" s="84">
        <f>IF(AND(ISNUMBER(Laboratorio!P26),ISNUMBER(Courier!P34)),Laboratorio!P26," ")</f>
        <v>3.1E-2</v>
      </c>
      <c r="BB24" s="84">
        <f>IF(AND(ISNUMBER(Laboratorio!P26),ISNUMBER(Courier!P34)),Courier!P34," ")</f>
        <v>3.5695921629667282E-2</v>
      </c>
      <c r="BC24" s="84">
        <f t="shared" si="24"/>
        <v>-4.6959216296672823E-3</v>
      </c>
      <c r="BD24" s="319">
        <f t="shared" si="25"/>
        <v>15.148134289249299</v>
      </c>
      <c r="BE24" s="84">
        <f>IF(AND(ISNUMBER(Laboratorio!R26),ISNUMBER(Courier!R34)),Laboratorio!R26," ")</f>
        <v>5.0000000000000001E-3</v>
      </c>
      <c r="BF24" s="84">
        <f>IF(AND(ISNUMBER(Laboratorio!R26),ISNUMBER(Courier!R34)),Courier!R34," ")</f>
        <v>4.6232151798903942E-3</v>
      </c>
      <c r="BG24" s="84">
        <f t="shared" si="26"/>
        <v>3.7678482010960589E-4</v>
      </c>
      <c r="BH24" s="319">
        <f t="shared" si="27"/>
        <v>7.5356964021921176</v>
      </c>
      <c r="BI24" s="84">
        <f>IF(AND(ISNUMBER(Laboratorio!T26),ISNUMBER(Courier!T34)),Laboratorio!T26," ")</f>
        <v>2.1040000000000001</v>
      </c>
      <c r="BJ24" s="84">
        <f>IF(AND(ISNUMBER(Laboratorio!T26),ISNUMBER(Courier!T34)),Courier!T34," ")</f>
        <v>2.1222233772277832</v>
      </c>
      <c r="BK24" s="84">
        <f t="shared" si="28"/>
        <v>-1.8223377227783111E-2</v>
      </c>
      <c r="BL24" s="84">
        <f t="shared" si="29"/>
        <v>0.86613009637752425</v>
      </c>
      <c r="BM24" s="318">
        <f>IF(AND(ISNUMBER(Laboratorio!V26),ISNUMBER(Courier!X34)),Laboratorio!V26," ")</f>
        <v>25.35</v>
      </c>
      <c r="BN24">
        <f>IF(AND(ISNUMBER(Laboratorio!V26),ISNUMBER(Courier!X34)),Courier!X34," ")</f>
        <v>23.321441650390625</v>
      </c>
      <c r="BO24">
        <f t="shared" si="30"/>
        <v>2.0285583496093764</v>
      </c>
      <c r="BP24" s="317">
        <f t="shared" si="31"/>
        <v>8.0022025625616422</v>
      </c>
      <c r="BQ24">
        <f>IF(AND(ISNUMBER(Laboratorio!X26),ISNUMBER(Courier!Z34)),Laboratorio!X26," ")</f>
        <v>1.585</v>
      </c>
      <c r="BR24">
        <f>IF(AND(ISNUMBER(Laboratorio!X26),ISNUMBER(Courier!Z34)),Courier!Z34," ")</f>
        <v>1.7807154655456543</v>
      </c>
      <c r="BS24">
        <f t="shared" si="32"/>
        <v>-0.19571546554565433</v>
      </c>
      <c r="BT24" s="317">
        <f t="shared" si="33"/>
        <v>12.347978898779454</v>
      </c>
      <c r="BU24">
        <f>IF(AND(ISNUMBER(Laboratorio!Z26),ISNUMBER(Courier!AB34)),Laboratorio!Z26," ")</f>
        <v>31.25</v>
      </c>
      <c r="BV24">
        <f>IF(AND(ISNUMBER(Laboratorio!Z26),ISNUMBER(Courier!AB34)),Courier!AB34," ")</f>
        <v>28.53587532043457</v>
      </c>
      <c r="BW24">
        <f t="shared" si="34"/>
        <v>2.7141246795654297</v>
      </c>
      <c r="BX24" s="317">
        <f t="shared" si="35"/>
        <v>8.6851989746093743</v>
      </c>
    </row>
    <row r="25" spans="3:76" x14ac:dyDescent="0.2">
      <c r="C25" s="320">
        <f>IF(AND(ISNUMBER(Laboratorio!E27),ISNUMBER(Courier!E35)),Laboratorio!E27,"")</f>
        <v>0.44400000000000001</v>
      </c>
      <c r="D25" s="157">
        <f>IF(AND(ISNUMBER(Laboratorio!E27),ISNUMBER(Courier!E35)),Courier!E35,"")</f>
        <v>0.31929829716682434</v>
      </c>
      <c r="E25" s="157">
        <f t="shared" ref="E25:E35" si="36">IF(ISNUMBER(C25-D25),IF(D25&lt;0.2,"",C25-D25)," ")</f>
        <v>0.12470170283317566</v>
      </c>
      <c r="F25" s="321">
        <f t="shared" ref="F25:F35" si="37">IF(ISNUMBER(ABS(E25)/C25*100),ABS(E25)/C25*100," ")</f>
        <v>28.085969106571095</v>
      </c>
      <c r="G25" s="320">
        <f>IF(AND(ISNUMBER(Laboratorio!G27),ISNUMBER(Courier!G35)),Laboratorio!G27," ")</f>
        <v>3.5999999999999997E-2</v>
      </c>
      <c r="H25" s="157">
        <f>IF(AND(ISNUMBER(Laboratorio!G27),ISNUMBER(Courier!G35)),Courier!G35," ")</f>
        <v>4.4588696211576462E-2</v>
      </c>
      <c r="I25" s="157">
        <f t="shared" ref="I25:I35" si="38">IF(ISNUMBER(G25-H25),IF(H25&lt;0.004,"",G25-H25)," ")</f>
        <v>-8.5886962115764645E-3</v>
      </c>
      <c r="J25" s="321">
        <f t="shared" ref="J25:J35" si="39">IF(ISNUMBER(ABS(I25)/G25*100),ABS(I25)/G25*100," ")</f>
        <v>23.857489476601295</v>
      </c>
      <c r="K25" s="157">
        <f>IF(AND(ISNUMBER(Laboratorio!I27),ISNUMBER(Courier!I35)),Laboratorio!I27," ")</f>
        <v>2.9660000000000002</v>
      </c>
      <c r="L25" s="157">
        <f>IF(AND(ISNUMBER(Laboratorio!I27),ISNUMBER(Courier!I35)),Courier!I35," ")</f>
        <v>2.2746589183807373</v>
      </c>
      <c r="M25" s="157">
        <f t="shared" ref="M25:M35" si="40">IF(ISNUMBER(K25-L25),IF(L25&lt;1,"",K25-L25)," ")</f>
        <v>0.69134108161926289</v>
      </c>
      <c r="N25" s="321">
        <f t="shared" ref="N25:N35" si="41">IF(ISNUMBER(ABS(M25)/K25*100),ABS(M25)/K25*100," ")</f>
        <v>23.308869912989309</v>
      </c>
      <c r="O25" s="320">
        <f>IF(AND(ISNUMBER(Laboratorio!O27),ISNUMBER(Courier!O35)),Laboratorio!O27," ")</f>
        <v>0.05</v>
      </c>
      <c r="P25" s="156">
        <f>IF(AND(ISNUMBER(Laboratorio!O27),ISNUMBER(Courier!O35)),Courier!O35," ")</f>
        <v>4.8773180693387985E-2</v>
      </c>
      <c r="Q25" s="157">
        <f t="shared" ref="Q25:Q35" si="42">IF(ISNUMBER(O25-P25),IF(P25&lt;0.02,"",O25-P25)," ")</f>
        <v>1.2268193066120175E-3</v>
      </c>
      <c r="R25" s="321">
        <f t="shared" ref="R25:R35" si="43">IF(ISNUMBER(ABS(Q25)/O25*100),ABS(Q25)/O25*100," ")</f>
        <v>2.4536386132240349</v>
      </c>
      <c r="S25" s="156">
        <f>IF(AND(ISNUMBER(Laboratorio!Q27),ISNUMBER(Courier!Q35)),Laboratorio!Q27," ")</f>
        <v>6.0000000000000001E-3</v>
      </c>
      <c r="T25" s="157">
        <v>3.9025722071528435E-3</v>
      </c>
      <c r="U25" s="157">
        <f t="shared" ref="U25:U35" si="44">IF(ISNUMBER(S25-T25),IF(T25&lt;0.001,"",S25-T25)," ")</f>
        <v>2.0974277928471566E-3</v>
      </c>
      <c r="V25" s="157">
        <f t="shared" ref="V25:V35" si="45">IF(ISNUMBER(ABS(U25)/S25*100),ABS(U25)/S25*100," ")</f>
        <v>34.957129880785942</v>
      </c>
      <c r="W25" s="320">
        <f>IF(AND(ISNUMBER(Laboratorio!S27),ISNUMBER(Courier!S35)),Laboratorio!S27,"")</f>
        <v>2.6819999999999999</v>
      </c>
      <c r="X25" s="157">
        <f>IF(AND(ISNUMBER(Laboratorio!S27),ISNUMBER(Courier!S35)),Courier!S35,"")</f>
        <v>2.018911600112915</v>
      </c>
      <c r="Y25" s="157">
        <f t="shared" ref="Y25:Y34" si="46">IF(ISNUMBER(W25-X25),IF(X25&lt;0.9,"",W25-X25)," ")</f>
        <v>0.6630883998870849</v>
      </c>
      <c r="Z25" s="157">
        <f t="shared" ref="Z25:Z34" si="47">IF(ISNUMBER(ABS(Y25)/W25*100),ABS(Y25)/W25*100," ")</f>
        <v>24.723653985349923</v>
      </c>
      <c r="AA25" s="320">
        <f>IF(AND(ISNUMBER(Laboratorio!U27),ISNUMBER(Courier!W35)),Laboratorio!U27," ")</f>
        <v>25.373000000000001</v>
      </c>
      <c r="AB25" s="157">
        <f>IF(AND(ISNUMBER(Laboratorio!U27),ISNUMBER(Courier!W35)),Courier!W35," ")</f>
        <v>21.977792739868164</v>
      </c>
      <c r="AC25" s="157">
        <f t="shared" ref="AC25:AC35" si="48">IF(ISNUMBER(AA25-AB25),IF(AB25&lt;18,"",AA25-AB25)," ")</f>
        <v>3.395207260131837</v>
      </c>
      <c r="AD25" s="321">
        <f t="shared" ref="AD25:AD35" si="49">IF(ISNUMBER(ABS(AC25)/AA25*100),ABS(AC25)/AA25*100," ")</f>
        <v>13.381181807952695</v>
      </c>
      <c r="AE25" s="157">
        <f>IF(AND(ISNUMBER(Laboratorio!W27),ISNUMBER(Courier!Y35)),Laboratorio!W27," ")</f>
        <v>1.788</v>
      </c>
      <c r="AF25" s="157">
        <f>IF(AND(ISNUMBER(Laboratorio!W27),ISNUMBER(Courier!Y35)),Courier!Y35," ")</f>
        <v>1.8171306848526001</v>
      </c>
      <c r="AG25" s="157">
        <f t="shared" ref="AG25:AG35" si="50">IF(ISNUMBER(AE25-AF25),IF(AF25&lt;0.3,"",AE25-AF25)," ")</f>
        <v>-2.9130684852600064E-2</v>
      </c>
      <c r="AH25" s="321">
        <f t="shared" ref="AH25:AH35" si="51">IF(ISNUMBER(ABS(AG25)/AE25*100),ABS(AG25)/AE25*100," ")</f>
        <v>1.6292329335906075</v>
      </c>
      <c r="AI25" s="157">
        <f>IF(AND(ISNUMBER(Laboratorio!Y27),ISNUMBER(Courier!AA35)),Laboratorio!Y27," ")</f>
        <v>29.95</v>
      </c>
      <c r="AJ25" s="157">
        <f>IF(AND(ISNUMBER(Laboratorio!Y27),ISNUMBER(Courier!AA35)),Courier!AA35," ")</f>
        <v>25.195009231567383</v>
      </c>
      <c r="AK25" s="157">
        <f t="shared" ref="AK25:AK35" si="52">IF(ISNUMBER(AI25-AJ25),IF(AJ25&lt;22,"",AI25-AJ25)," ")</f>
        <v>4.7549907684326165</v>
      </c>
      <c r="AL25" s="321">
        <f t="shared" ref="AL25:AL35" si="53">IF(ISNUMBER(ABS(AK25)/AI25*100),ABS(AK25)/AI25*100," ")</f>
        <v>15.876429944683194</v>
      </c>
      <c r="AM25" s="314"/>
      <c r="AN25" s="331"/>
      <c r="AO25" s="320">
        <f>IF(AND(ISNUMBER(Laboratorio!F27),ISNUMBER(Courier!F35)),Laboratorio!F27," ")</f>
        <v>0.48099999999999998</v>
      </c>
      <c r="AP25" s="157">
        <f>IF(AND(ISNUMBER(Laboratorio!F27),ISNUMBER(Courier!F35)),Courier!F35," ")</f>
        <v>0.43038392066955566</v>
      </c>
      <c r="AQ25" s="84">
        <f t="shared" si="18"/>
        <v>5.0616079330444319E-2</v>
      </c>
      <c r="AR25" s="319">
        <f t="shared" si="19"/>
        <v>10.52309341589279</v>
      </c>
      <c r="AS25" s="84">
        <f>IF(AND(ISNUMBER(Laboratorio!H27),ISNUMBER(Courier!H35)),Laboratorio!H27," ")</f>
        <v>3.5000000000000003E-2</v>
      </c>
      <c r="AT25" s="84">
        <f>IF(AND(ISNUMBER(Laboratorio!H27),ISNUMBER(Courier!H35)),Courier!H35," ")</f>
        <v>2.9418226331472397E-2</v>
      </c>
      <c r="AU25" s="84">
        <f t="shared" si="20"/>
        <v>5.5817736685276065E-3</v>
      </c>
      <c r="AV25" s="319">
        <f t="shared" si="21"/>
        <v>15.94792476722173</v>
      </c>
      <c r="AW25" s="84">
        <f>IF(AND(ISNUMBER(Laboratorio!J27),ISNUMBER(Courier!J35)),Laboratorio!J27," ")</f>
        <v>3.2549999999999999</v>
      </c>
      <c r="AX25" s="84">
        <f>IF(AND(ISNUMBER(Laboratorio!J27),ISNUMBER(Courier!J35)),Courier!J35," ")</f>
        <v>2.8858299255371094</v>
      </c>
      <c r="AY25" s="84">
        <f t="shared" si="22"/>
        <v>0.36917007446289052</v>
      </c>
      <c r="AZ25" s="319">
        <f t="shared" si="23"/>
        <v>11.341630551855316</v>
      </c>
      <c r="BA25" s="84">
        <f>IF(AND(ISNUMBER(Laboratorio!P27),ISNUMBER(Courier!P35)),Laboratorio!P27," ")</f>
        <v>5.5E-2</v>
      </c>
      <c r="BB25" s="84">
        <f>IF(AND(ISNUMBER(Laboratorio!P27),ISNUMBER(Courier!P35)),Courier!P35," ")</f>
        <v>5.5096399039030075E-2</v>
      </c>
      <c r="BC25" s="84">
        <f t="shared" si="24"/>
        <v>-9.6399039030074796E-5</v>
      </c>
      <c r="BD25" s="319">
        <f t="shared" si="25"/>
        <v>0.17527098005468145</v>
      </c>
      <c r="BE25" s="84">
        <f>IF(AND(ISNUMBER(Laboratorio!R27),ISNUMBER(Courier!R35)),Laboratorio!R27," ")</f>
        <v>7.0000000000000001E-3</v>
      </c>
      <c r="BF25" s="84">
        <f>IF(AND(ISNUMBER(Laboratorio!R27),ISNUMBER(Courier!R35)),Courier!R35," ")</f>
        <v>4.7700437717139721E-3</v>
      </c>
      <c r="BG25" s="84">
        <f t="shared" si="26"/>
        <v>2.2299562282860281E-3</v>
      </c>
      <c r="BH25" s="319">
        <f t="shared" si="27"/>
        <v>31.856517546943259</v>
      </c>
      <c r="BI25" s="84">
        <f>IF(AND(ISNUMBER(Laboratorio!T27),ISNUMBER(Courier!T35)),Laboratorio!T27," ")</f>
        <v>2.6440000000000001</v>
      </c>
      <c r="BJ25" s="84">
        <f>IF(AND(ISNUMBER(Laboratorio!T27),ISNUMBER(Courier!T35)),Courier!T35," ")</f>
        <v>1.786179780960083</v>
      </c>
      <c r="BK25" s="84">
        <f t="shared" si="28"/>
        <v>0.85782021903991712</v>
      </c>
      <c r="BL25" s="84">
        <f t="shared" si="29"/>
        <v>32.444032490163281</v>
      </c>
      <c r="BM25" s="318">
        <f>IF(AND(ISNUMBER(Laboratorio!V27),ISNUMBER(Courier!X35)),Laboratorio!V27," ")</f>
        <v>19.899999999999999</v>
      </c>
      <c r="BN25">
        <f>IF(AND(ISNUMBER(Laboratorio!V27),ISNUMBER(Courier!X35)),Courier!X35," ")</f>
        <v>23.486249923706055</v>
      </c>
      <c r="BO25">
        <f t="shared" si="30"/>
        <v>-3.5862499237060561</v>
      </c>
      <c r="BP25" s="317">
        <f t="shared" si="31"/>
        <v>18.021356400532945</v>
      </c>
      <c r="BQ25">
        <f>IF(AND(ISNUMBER(Laboratorio!X27),ISNUMBER(Courier!Z35)),Laboratorio!X27," ")</f>
        <v>1.83</v>
      </c>
      <c r="BR25">
        <f>IF(AND(ISNUMBER(Laboratorio!X27),ISNUMBER(Courier!Z35)),Courier!Z35," ")</f>
        <v>1.6388206481933594</v>
      </c>
      <c r="BS25">
        <f t="shared" si="32"/>
        <v>0.1911793518066407</v>
      </c>
      <c r="BT25" s="317">
        <f t="shared" si="33"/>
        <v>10.446959115116977</v>
      </c>
      <c r="BU25">
        <f>IF(AND(ISNUMBER(Laboratorio!Z27),ISNUMBER(Courier!AB35)),Laboratorio!Z27," ")</f>
        <v>29.25</v>
      </c>
      <c r="BV25">
        <f>IF(AND(ISNUMBER(Laboratorio!Z27),ISNUMBER(Courier!AB35)),Courier!AB35," ")</f>
        <v>28.608669281005859</v>
      </c>
      <c r="BW25">
        <f t="shared" si="34"/>
        <v>0.64133071899414063</v>
      </c>
      <c r="BX25" s="317">
        <f t="shared" si="35"/>
        <v>2.1925836546808228</v>
      </c>
    </row>
    <row r="26" spans="3:76" x14ac:dyDescent="0.2">
      <c r="C26" s="320">
        <f>IF(AND(ISNUMBER(Laboratorio!E28),ISNUMBER(Courier!E36)),Laboratorio!E28,"")</f>
        <v>0.44600000000000001</v>
      </c>
      <c r="D26" s="157">
        <f>IF(AND(ISNUMBER(Laboratorio!E28),ISNUMBER(Courier!E36)),Courier!E36,"")</f>
        <v>0.37649604678153992</v>
      </c>
      <c r="E26" s="157">
        <f t="shared" si="36"/>
        <v>6.9503953218460091E-2</v>
      </c>
      <c r="F26" s="321">
        <f t="shared" si="37"/>
        <v>15.583846013107644</v>
      </c>
      <c r="G26" s="320">
        <f>IF(AND(ISNUMBER(Laboratorio!G28),ISNUMBER(Courier!G36)),Laboratorio!G28," ")</f>
        <v>2.7E-2</v>
      </c>
      <c r="H26" s="157">
        <f>IF(AND(ISNUMBER(Laboratorio!G28),ISNUMBER(Courier!G36)),Courier!G36," ")</f>
        <v>2.215956337749958E-2</v>
      </c>
      <c r="I26" s="157">
        <f t="shared" si="38"/>
        <v>4.8404366225004193E-3</v>
      </c>
      <c r="J26" s="321">
        <f t="shared" si="39"/>
        <v>17.927543046297849</v>
      </c>
      <c r="K26" s="157">
        <f>IF(AND(ISNUMBER(Laboratorio!I28),ISNUMBER(Courier!I36)),Laboratorio!I28," ")</f>
        <v>3.7250000000000001</v>
      </c>
      <c r="L26" s="157">
        <f>IF(AND(ISNUMBER(Laboratorio!I28),ISNUMBER(Courier!I36)),Courier!I36," ")</f>
        <v>3.2246012687683105</v>
      </c>
      <c r="M26" s="157">
        <f t="shared" si="40"/>
        <v>0.50039873123168954</v>
      </c>
      <c r="N26" s="321">
        <f t="shared" si="41"/>
        <v>13.433522986085626</v>
      </c>
      <c r="O26" s="320">
        <f>IF(AND(ISNUMBER(Laboratorio!O28),ISNUMBER(Courier!O36)),Laboratorio!O28," ")</f>
        <v>4.5999999999999999E-2</v>
      </c>
      <c r="P26" s="156">
        <f>IF(AND(ISNUMBER(Laboratorio!O28),ISNUMBER(Courier!O36)),Courier!O36," ")</f>
        <v>4.8279803246259689E-2</v>
      </c>
      <c r="Q26" s="157">
        <f t="shared" si="42"/>
        <v>-2.2798032462596901E-3</v>
      </c>
      <c r="R26" s="321">
        <f t="shared" si="43"/>
        <v>4.9560940136080225</v>
      </c>
      <c r="S26" s="156">
        <f>IF(AND(ISNUMBER(Laboratorio!Q28),ISNUMBER(Courier!Q36)),Laboratorio!Q28," ")</f>
        <v>5.0000000000000001E-3</v>
      </c>
      <c r="T26" s="157">
        <v>3.3976354170590639E-3</v>
      </c>
      <c r="U26" s="157">
        <f t="shared" si="44"/>
        <v>1.6023645829409362E-3</v>
      </c>
      <c r="V26" s="157">
        <f t="shared" si="45"/>
        <v>32.047291658818722</v>
      </c>
      <c r="W26" s="320">
        <f>IF(AND(ISNUMBER(Laboratorio!S28),ISNUMBER(Courier!S36)),Laboratorio!S28,"")</f>
        <v>3.1059999999999999</v>
      </c>
      <c r="X26" s="157">
        <f>IF(AND(ISNUMBER(Laboratorio!S28),ISNUMBER(Courier!S36)),Courier!S36,"")</f>
        <v>2.1955306529998779</v>
      </c>
      <c r="Y26" s="157">
        <f t="shared" si="46"/>
        <v>0.91046934700012194</v>
      </c>
      <c r="Z26" s="157">
        <f t="shared" si="47"/>
        <v>29.313243625245395</v>
      </c>
      <c r="AA26" s="320">
        <f>IF(AND(ISNUMBER(Laboratorio!U28),ISNUMBER(Courier!W36)),Laboratorio!U28," ")</f>
        <v>20.795999999999999</v>
      </c>
      <c r="AB26" s="157">
        <f>IF(AND(ISNUMBER(Laboratorio!U28),ISNUMBER(Courier!W36)),Courier!W36," ")</f>
        <v>20.749732971191406</v>
      </c>
      <c r="AC26" s="157">
        <f t="shared" si="48"/>
        <v>4.6267028808593125E-2</v>
      </c>
      <c r="AD26" s="321">
        <f t="shared" si="49"/>
        <v>0.22248042319962075</v>
      </c>
      <c r="AE26" s="157">
        <f>IF(AND(ISNUMBER(Laboratorio!W28),ISNUMBER(Courier!Y36)),Laboratorio!W28," ")</f>
        <v>1.59</v>
      </c>
      <c r="AF26" s="157">
        <f>IF(AND(ISNUMBER(Laboratorio!W28),ISNUMBER(Courier!Y36)),Courier!Y36," ")</f>
        <v>1.2933531999588013</v>
      </c>
      <c r="AG26" s="157">
        <f t="shared" si="50"/>
        <v>0.29664680004119881</v>
      </c>
      <c r="AH26" s="321">
        <f t="shared" si="51"/>
        <v>18.657031449131999</v>
      </c>
      <c r="AI26" s="157">
        <f>IF(AND(ISNUMBER(Laboratorio!Y28),ISNUMBER(Courier!AA36)),Laboratorio!Y28," ")</f>
        <v>29.53</v>
      </c>
      <c r="AJ26" s="157">
        <f>IF(AND(ISNUMBER(Laboratorio!Y28),ISNUMBER(Courier!AA36)),Courier!AA36," ")</f>
        <v>28.197538375854492</v>
      </c>
      <c r="AK26" s="157">
        <f t="shared" si="52"/>
        <v>1.3324616241455089</v>
      </c>
      <c r="AL26" s="321">
        <f t="shared" si="53"/>
        <v>4.5122303560633554</v>
      </c>
      <c r="AM26" s="314"/>
      <c r="AN26" s="331"/>
      <c r="AO26" s="320">
        <f>IF(AND(ISNUMBER(Laboratorio!F28),ISNUMBER(Courier!F36)),Laboratorio!F28," ")</f>
        <v>0.40699999999999997</v>
      </c>
      <c r="AP26" s="157">
        <f>IF(AND(ISNUMBER(Laboratorio!F28),ISNUMBER(Courier!F36)),Courier!F36," ")</f>
        <v>0.37649604678153992</v>
      </c>
      <c r="AQ26" s="84">
        <f t="shared" si="18"/>
        <v>3.0503953218460056E-2</v>
      </c>
      <c r="AR26" s="319">
        <f t="shared" si="19"/>
        <v>7.4948288006044379</v>
      </c>
      <c r="AS26" s="84">
        <f>IF(AND(ISNUMBER(Laboratorio!H28),ISNUMBER(Courier!H36)),Laboratorio!H28," ")</f>
        <v>3.5999999999999997E-2</v>
      </c>
      <c r="AT26" s="84">
        <f>IF(AND(ISNUMBER(Laboratorio!H28),ISNUMBER(Courier!H36)),Courier!H36," ")</f>
        <v>2.215956337749958E-2</v>
      </c>
      <c r="AU26" s="84">
        <f t="shared" si="20"/>
        <v>1.3840436622500417E-2</v>
      </c>
      <c r="AV26" s="319">
        <f t="shared" si="21"/>
        <v>38.445657284723382</v>
      </c>
      <c r="AW26" s="84">
        <f>IF(AND(ISNUMBER(Laboratorio!J28),ISNUMBER(Courier!J36)),Laboratorio!J28," ")</f>
        <v>3.2170000000000001</v>
      </c>
      <c r="AX26" s="84">
        <f>IF(AND(ISNUMBER(Laboratorio!J28),ISNUMBER(Courier!J36)),Courier!J36," ")</f>
        <v>3.2246012687683105</v>
      </c>
      <c r="AY26" s="84">
        <f t="shared" si="22"/>
        <v>-7.6012687683104652E-3</v>
      </c>
      <c r="AZ26" s="319">
        <f t="shared" si="23"/>
        <v>0.23628438819740333</v>
      </c>
      <c r="BA26" s="84">
        <f>IF(AND(ISNUMBER(Laboratorio!P28),ISNUMBER(Courier!P36)),Laboratorio!P28," ")</f>
        <v>3.9E-2</v>
      </c>
      <c r="BB26" s="84">
        <f>IF(AND(ISNUMBER(Laboratorio!P28),ISNUMBER(Courier!P36)),Courier!P36," ")</f>
        <v>4.8279803246259689E-2</v>
      </c>
      <c r="BC26" s="84">
        <f t="shared" si="24"/>
        <v>-9.2798032462596894E-3</v>
      </c>
      <c r="BD26" s="319">
        <f t="shared" si="25"/>
        <v>23.794367298101768</v>
      </c>
      <c r="BE26" s="84">
        <f>IF(AND(ISNUMBER(Laboratorio!R28),ISNUMBER(Courier!R36)),Laboratorio!R28," ")</f>
        <v>7.0000000000000001E-3</v>
      </c>
      <c r="BF26" s="84">
        <f>IF(AND(ISNUMBER(Laboratorio!R28),ISNUMBER(Courier!R36)),Courier!R36," ")</f>
        <v>3.8191855419427156E-3</v>
      </c>
      <c r="BG26" s="84">
        <f t="shared" si="26"/>
        <v>3.1808144580572845E-3</v>
      </c>
      <c r="BH26" s="319">
        <f t="shared" si="27"/>
        <v>45.440206543675494</v>
      </c>
      <c r="BI26" s="84">
        <f>IF(AND(ISNUMBER(Laboratorio!T28),ISNUMBER(Courier!T36)),Laboratorio!T28," ")</f>
        <v>2.758</v>
      </c>
      <c r="BJ26" s="84">
        <f>IF(AND(ISNUMBER(Laboratorio!T28),ISNUMBER(Courier!T36)),Courier!T36," ")</f>
        <v>2.1955306529998779</v>
      </c>
      <c r="BK26" s="84">
        <f t="shared" si="28"/>
        <v>0.56246934700012208</v>
      </c>
      <c r="BL26" s="84">
        <f t="shared" si="29"/>
        <v>20.394102501817336</v>
      </c>
      <c r="BM26" s="318">
        <f>IF(AND(ISNUMBER(Laboratorio!V28),ISNUMBER(Courier!X36)),Laboratorio!V28," ")</f>
        <v>20.297999999999998</v>
      </c>
      <c r="BN26">
        <f>IF(AND(ISNUMBER(Laboratorio!V28),ISNUMBER(Courier!X36)),Courier!X36," ")</f>
        <v>20.749732971191406</v>
      </c>
      <c r="BO26">
        <f t="shared" si="30"/>
        <v>-0.45173297119140798</v>
      </c>
      <c r="BP26" s="317">
        <f t="shared" si="31"/>
        <v>2.2255048339314616</v>
      </c>
      <c r="BQ26">
        <f>IF(AND(ISNUMBER(Laboratorio!X28),ISNUMBER(Courier!Z36)),Laboratorio!X28," ")</f>
        <v>1.8759999999999999</v>
      </c>
      <c r="BR26">
        <f>IF(AND(ISNUMBER(Laboratorio!X28),ISNUMBER(Courier!Z36)),Courier!Z36," ")</f>
        <v>1.2933531999588013</v>
      </c>
      <c r="BS26">
        <f t="shared" si="32"/>
        <v>0.58264680004119862</v>
      </c>
      <c r="BT26" s="317">
        <f t="shared" si="33"/>
        <v>31.057931771918906</v>
      </c>
      <c r="BU26">
        <f>IF(AND(ISNUMBER(Laboratorio!Z28),ISNUMBER(Courier!AB36)),Laboratorio!Z28," ")</f>
        <v>29.3</v>
      </c>
      <c r="BV26">
        <f>IF(AND(ISNUMBER(Laboratorio!Z28),ISNUMBER(Courier!AB36)),Courier!AB36," ")</f>
        <v>28.197538375854492</v>
      </c>
      <c r="BW26">
        <f t="shared" si="34"/>
        <v>1.1024616241455085</v>
      </c>
      <c r="BX26" s="317">
        <f t="shared" si="35"/>
        <v>3.7626676591996882</v>
      </c>
    </row>
    <row r="27" spans="3:76" x14ac:dyDescent="0.2">
      <c r="C27" s="320">
        <f>IF(AND(ISNUMBER(Laboratorio!E29),ISNUMBER(Courier!E37)),Laboratorio!E29,"")</f>
        <v>0.40600000000000003</v>
      </c>
      <c r="D27" s="157">
        <f>IF(AND(ISNUMBER(Laboratorio!E29),ISNUMBER(Courier!E37)),Courier!E37,"")</f>
        <v>0.39491033554077148</v>
      </c>
      <c r="E27" s="157">
        <f t="shared" si="36"/>
        <v>1.1089664459228543E-2</v>
      </c>
      <c r="F27" s="321">
        <f t="shared" si="37"/>
        <v>2.7314444480858477</v>
      </c>
      <c r="G27" s="320">
        <f>IF(AND(ISNUMBER(Laboratorio!G29),ISNUMBER(Courier!G37)),Laboratorio!G29," ")</f>
        <v>3.3000000000000002E-2</v>
      </c>
      <c r="H27" s="157">
        <f>IF(AND(ISNUMBER(Laboratorio!G29),ISNUMBER(Courier!G37)),Courier!G37," ")</f>
        <v>2.992715872824192E-2</v>
      </c>
      <c r="I27" s="157">
        <f t="shared" si="38"/>
        <v>3.0728412717580811E-3</v>
      </c>
      <c r="J27" s="321">
        <f t="shared" si="39"/>
        <v>9.3116402174487298</v>
      </c>
      <c r="K27" s="157">
        <f>IF(AND(ISNUMBER(Laboratorio!I29),ISNUMBER(Courier!I37)),Laboratorio!I29," ")</f>
        <v>3.31</v>
      </c>
      <c r="L27" s="157">
        <f>IF(AND(ISNUMBER(Laboratorio!I29),ISNUMBER(Courier!I37)),Courier!I37," ")</f>
        <v>2.9478087425231934</v>
      </c>
      <c r="M27" s="157">
        <f t="shared" si="40"/>
        <v>0.36219125747680669</v>
      </c>
      <c r="N27" s="321">
        <f t="shared" si="41"/>
        <v>10.942334062743404</v>
      </c>
      <c r="O27" s="320">
        <f>IF(AND(ISNUMBER(Laboratorio!O29),ISNUMBER(Courier!O37)),Laboratorio!O29," ")</f>
        <v>3.6999999999999998E-2</v>
      </c>
      <c r="P27" s="156">
        <f>IF(AND(ISNUMBER(Laboratorio!O29),ISNUMBER(Courier!O37)),Courier!O37," ")</f>
        <v>4.9260232597589493E-2</v>
      </c>
      <c r="Q27" s="157">
        <f t="shared" si="42"/>
        <v>-1.2260232597589495E-2</v>
      </c>
      <c r="R27" s="321">
        <f t="shared" si="43"/>
        <v>33.135763777268906</v>
      </c>
      <c r="S27" s="156">
        <f>IF(AND(ISNUMBER(Laboratorio!Q29),ISNUMBER(Courier!Q37)),Laboratorio!Q29," ")</f>
        <v>4.0000000000000001E-3</v>
      </c>
      <c r="T27" s="157">
        <v>3.5874180030077696E-3</v>
      </c>
      <c r="U27" s="157">
        <f t="shared" si="44"/>
        <v>4.125819969922305E-4</v>
      </c>
      <c r="V27" s="157">
        <f t="shared" si="45"/>
        <v>10.314549924805762</v>
      </c>
      <c r="W27" s="320">
        <f>IF(AND(ISNUMBER(Laboratorio!S29),ISNUMBER(Courier!S37)),Laboratorio!S29,"")</f>
        <v>3.202</v>
      </c>
      <c r="X27" s="157">
        <f>IF(AND(ISNUMBER(Laboratorio!S29),ISNUMBER(Courier!S37)),Courier!S37,"")</f>
        <v>2.0325229167938232</v>
      </c>
      <c r="Y27" s="157">
        <f t="shared" si="46"/>
        <v>1.1694770832061767</v>
      </c>
      <c r="Z27" s="157">
        <f t="shared" si="47"/>
        <v>36.523331767838123</v>
      </c>
      <c r="AA27" s="320">
        <f>IF(AND(ISNUMBER(Laboratorio!U29),ISNUMBER(Courier!W37)),Laboratorio!U29," ")</f>
        <v>22.686</v>
      </c>
      <c r="AB27" s="157">
        <f>IF(AND(ISNUMBER(Laboratorio!U29),ISNUMBER(Courier!W37)),Courier!W37," ")</f>
        <v>19.81092643737793</v>
      </c>
      <c r="AC27" s="157">
        <f t="shared" si="48"/>
        <v>2.8750735626220703</v>
      </c>
      <c r="AD27" s="321">
        <f t="shared" si="49"/>
        <v>12.673338458177158</v>
      </c>
      <c r="AE27" s="157">
        <f>IF(AND(ISNUMBER(Laboratorio!W29),ISNUMBER(Courier!Y37)),Laboratorio!W29," ")</f>
        <v>1.7490000000000001</v>
      </c>
      <c r="AF27" s="157">
        <f>IF(AND(ISNUMBER(Laboratorio!W29),ISNUMBER(Courier!Y37)),Courier!Y37," ")</f>
        <v>1.9880478382110596</v>
      </c>
      <c r="AG27" s="157">
        <f t="shared" si="50"/>
        <v>-0.23904783821105946</v>
      </c>
      <c r="AH27" s="321">
        <f t="shared" si="51"/>
        <v>13.66768657581815</v>
      </c>
      <c r="AI27" s="157">
        <f>IF(AND(ISNUMBER(Laboratorio!Y29),ISNUMBER(Courier!AA37)),Laboratorio!Y29," ")</f>
        <v>29.94</v>
      </c>
      <c r="AJ27" s="157">
        <f>IF(AND(ISNUMBER(Laboratorio!Y29),ISNUMBER(Courier!AA37)),Courier!AA37," ")</f>
        <v>27.451713562011719</v>
      </c>
      <c r="AK27" s="157">
        <f t="shared" si="52"/>
        <v>2.4882864379882825</v>
      </c>
      <c r="AL27" s="321">
        <f t="shared" si="53"/>
        <v>8.3109099465206491</v>
      </c>
      <c r="AM27" s="314"/>
      <c r="AN27" s="331"/>
      <c r="AO27" s="320">
        <f>IF(AND(ISNUMBER(Laboratorio!F29),ISNUMBER(Courier!F37)),Laboratorio!F29," ")</f>
        <v>0.441</v>
      </c>
      <c r="AP27" s="157">
        <f>IF(AND(ISNUMBER(Laboratorio!F29),ISNUMBER(Courier!F37)),Courier!F37," ")</f>
        <v>0.39302888512611389</v>
      </c>
      <c r="AQ27" s="84">
        <f t="shared" si="18"/>
        <v>4.7971114873886112E-2</v>
      </c>
      <c r="AR27" s="319">
        <f t="shared" si="19"/>
        <v>10.877803826278029</v>
      </c>
      <c r="AS27" s="84">
        <f>IF(AND(ISNUMBER(Laboratorio!H29),ISNUMBER(Courier!H37)),Laboratorio!H29," ")</f>
        <v>4.2000000000000003E-2</v>
      </c>
      <c r="AT27" s="84">
        <f>IF(AND(ISNUMBER(Laboratorio!H29),ISNUMBER(Courier!H37)),Courier!H37," ")</f>
        <v>2.2792842239141464E-2</v>
      </c>
      <c r="AU27" s="84">
        <f t="shared" si="20"/>
        <v>1.9207157760858538E-2</v>
      </c>
      <c r="AV27" s="319">
        <f t="shared" si="21"/>
        <v>45.731328002044137</v>
      </c>
      <c r="AW27" s="84">
        <f>IF(AND(ISNUMBER(Laboratorio!J29),ISNUMBER(Courier!J37)),Laboratorio!J29," ")</f>
        <v>2.99</v>
      </c>
      <c r="AX27" s="84">
        <f>IF(AND(ISNUMBER(Laboratorio!J29),ISNUMBER(Courier!J37)),Courier!J37," ")</f>
        <v>3.1660964488983154</v>
      </c>
      <c r="AY27" s="84">
        <f t="shared" si="22"/>
        <v>-0.17609644889831522</v>
      </c>
      <c r="AZ27" s="319">
        <f t="shared" si="23"/>
        <v>5.8895133410807761</v>
      </c>
      <c r="BA27" s="84">
        <f>IF(AND(ISNUMBER(Laboratorio!P29),ISNUMBER(Courier!P37)),Laboratorio!P29," ")</f>
        <v>5.3999999999999999E-2</v>
      </c>
      <c r="BB27" s="84">
        <f>IF(AND(ISNUMBER(Laboratorio!P29),ISNUMBER(Courier!P37)),Courier!P37," ")</f>
        <v>4.7958869487047195E-2</v>
      </c>
      <c r="BC27" s="84">
        <f t="shared" si="24"/>
        <v>6.041130512952804E-3</v>
      </c>
      <c r="BD27" s="319">
        <f t="shared" si="25"/>
        <v>11.187278727690378</v>
      </c>
      <c r="BE27" s="84">
        <f>IF(AND(ISNUMBER(Laboratorio!R29),ISNUMBER(Courier!R37)),Laboratorio!R29," ")</f>
        <v>1.0999999999999999E-2</v>
      </c>
      <c r="BF27" s="84">
        <f>IF(AND(ISNUMBER(Laboratorio!R29),ISNUMBER(Courier!R37)),Courier!R37," ")</f>
        <v>6.5962597727775574E-3</v>
      </c>
      <c r="BG27" s="84">
        <f t="shared" si="26"/>
        <v>4.403740227222442E-3</v>
      </c>
      <c r="BH27" s="319">
        <f t="shared" si="27"/>
        <v>40.034002065658562</v>
      </c>
      <c r="BI27" s="84">
        <f>IF(AND(ISNUMBER(Laboratorio!T29),ISNUMBER(Courier!T37)),Laboratorio!T29," ")</f>
        <v>2.5859999999999999</v>
      </c>
      <c r="BJ27" s="84">
        <f>IF(AND(ISNUMBER(Laboratorio!T29),ISNUMBER(Courier!T37)),Courier!T37," ")</f>
        <v>2.4309391975402832</v>
      </c>
      <c r="BK27" s="84">
        <f t="shared" si="28"/>
        <v>0.15506080245971665</v>
      </c>
      <c r="BL27" s="84">
        <f t="shared" si="29"/>
        <v>5.9961640549001025</v>
      </c>
      <c r="BM27" s="318">
        <f>IF(AND(ISNUMBER(Laboratorio!V29),ISNUMBER(Courier!X37)),Laboratorio!V29," ")</f>
        <v>21.774000000000001</v>
      </c>
      <c r="BN27">
        <f>IF(AND(ISNUMBER(Laboratorio!V29),ISNUMBER(Courier!X37)),Courier!X37," ")</f>
        <v>22.557380676269531</v>
      </c>
      <c r="BO27">
        <f t="shared" si="30"/>
        <v>-0.78338067626953034</v>
      </c>
      <c r="BP27" s="317">
        <f t="shared" si="31"/>
        <v>3.5977802712846985</v>
      </c>
      <c r="BQ27">
        <f>IF(AND(ISNUMBER(Laboratorio!X29),ISNUMBER(Courier!Z37)),Laboratorio!X29," ")</f>
        <v>2.16</v>
      </c>
      <c r="BR27">
        <f>IF(AND(ISNUMBER(Laboratorio!X29),ISNUMBER(Courier!Z37)),Courier!Z37," ")</f>
        <v>1.7497682571411133</v>
      </c>
      <c r="BS27">
        <f t="shared" si="32"/>
        <v>0.41023174285888686</v>
      </c>
      <c r="BT27" s="317">
        <f t="shared" si="33"/>
        <v>18.992210317541058</v>
      </c>
      <c r="BU27">
        <f>IF(AND(ISNUMBER(Laboratorio!Z29),ISNUMBER(Courier!AB37)),Laboratorio!Z29," ")</f>
        <v>29.49</v>
      </c>
      <c r="BV27">
        <f>IF(AND(ISNUMBER(Laboratorio!Z29),ISNUMBER(Courier!AB37)),Courier!AB37," ")</f>
        <v>27.47108268737793</v>
      </c>
      <c r="BW27">
        <f t="shared" si="34"/>
        <v>2.0189173126220687</v>
      </c>
      <c r="BX27" s="317">
        <f t="shared" si="35"/>
        <v>6.8461082150629666</v>
      </c>
    </row>
    <row r="28" spans="3:76" x14ac:dyDescent="0.2">
      <c r="C28" s="320">
        <f>IF(AND(ISNUMBER(Laboratorio!E30),ISNUMBER(Courier!E38)),Laboratorio!E30,"")</f>
        <v>0.505</v>
      </c>
      <c r="D28" s="157">
        <f>IF(AND(ISNUMBER(Laboratorio!E30),ISNUMBER(Courier!E38)),Courier!E38,"")</f>
        <v>0.47926869988441467</v>
      </c>
      <c r="E28" s="157">
        <f t="shared" si="36"/>
        <v>2.5731300115585332E-2</v>
      </c>
      <c r="F28" s="321">
        <f t="shared" si="37"/>
        <v>5.0953069535812539</v>
      </c>
      <c r="G28" s="320">
        <f>IF(AND(ISNUMBER(Laboratorio!G30),ISNUMBER(Courier!G38)),Laboratorio!G30," ")</f>
        <v>6.3E-2</v>
      </c>
      <c r="H28" s="157">
        <f>IF(AND(ISNUMBER(Laboratorio!G30),ISNUMBER(Courier!G38)),Courier!G38," ")</f>
        <v>5.4245349019765854E-2</v>
      </c>
      <c r="I28" s="157">
        <f t="shared" si="38"/>
        <v>8.7546509802341466E-3</v>
      </c>
      <c r="J28" s="321">
        <f t="shared" si="39"/>
        <v>13.896271397197058</v>
      </c>
      <c r="K28" s="157">
        <f>IF(AND(ISNUMBER(Laboratorio!I30),ISNUMBER(Courier!I38)),Laboratorio!I30," ")</f>
        <v>2.8050000000000002</v>
      </c>
      <c r="L28" s="157">
        <f>IF(AND(ISNUMBER(Laboratorio!I30),ISNUMBER(Courier!I38)),Courier!I38," ")</f>
        <v>2.6882262229919434</v>
      </c>
      <c r="M28" s="157">
        <f t="shared" si="40"/>
        <v>0.1167737770080568</v>
      </c>
      <c r="N28" s="321">
        <f t="shared" si="41"/>
        <v>4.1630580038522922</v>
      </c>
      <c r="O28" s="320">
        <f>IF(AND(ISNUMBER(Laboratorio!O30),ISNUMBER(Courier!O38)),Laboratorio!O30," ")</f>
        <v>4.8000000000000001E-2</v>
      </c>
      <c r="P28" s="156">
        <f>IF(AND(ISNUMBER(Laboratorio!O30),ISNUMBER(Courier!O38)),Courier!O38," ")</f>
        <v>5.2695110440254211E-2</v>
      </c>
      <c r="Q28" s="157">
        <f t="shared" si="42"/>
        <v>-4.6951104402542104E-3</v>
      </c>
      <c r="R28" s="321">
        <f t="shared" si="43"/>
        <v>9.7814800838629381</v>
      </c>
      <c r="S28" s="156">
        <f>IF(AND(ISNUMBER(Laboratorio!Q30),ISNUMBER(Courier!Q38)),Laboratorio!Q30," ")</f>
        <v>1.2E-2</v>
      </c>
      <c r="T28" s="157">
        <v>2.4916692636907101E-3</v>
      </c>
      <c r="U28" s="157">
        <f t="shared" si="44"/>
        <v>9.5083307363092902E-3</v>
      </c>
      <c r="V28" s="157">
        <f t="shared" si="45"/>
        <v>79.236089469244092</v>
      </c>
      <c r="W28" s="320">
        <f>IF(AND(ISNUMBER(Laboratorio!S30),ISNUMBER(Courier!S38)),Laboratorio!S30,"")</f>
        <v>2.5310000000000001</v>
      </c>
      <c r="X28" s="157">
        <f>IF(AND(ISNUMBER(Laboratorio!S30),ISNUMBER(Courier!S38)),Courier!S38,"")</f>
        <v>2.057365894317627</v>
      </c>
      <c r="Y28" s="157">
        <f t="shared" si="46"/>
        <v>0.47363410568237319</v>
      </c>
      <c r="Z28" s="157">
        <f t="shared" si="47"/>
        <v>18.713319070816798</v>
      </c>
      <c r="AA28" s="320">
        <f>IF(AND(ISNUMBER(Laboratorio!U30),ISNUMBER(Courier!W38)),Laboratorio!U30," ")</f>
        <v>22.885000000000002</v>
      </c>
      <c r="AB28" s="157">
        <f>IF(AND(ISNUMBER(Laboratorio!U30),ISNUMBER(Courier!W38)),Courier!W38," ")</f>
        <v>20.495904922485352</v>
      </c>
      <c r="AC28" s="157">
        <f t="shared" si="48"/>
        <v>2.38909507751465</v>
      </c>
      <c r="AD28" s="321">
        <f t="shared" si="49"/>
        <v>10.439567740942319</v>
      </c>
      <c r="AE28" s="157">
        <f>IF(AND(ISNUMBER(Laboratorio!W30),ISNUMBER(Courier!Y38)),Laboratorio!W30," ")</f>
        <v>2.927</v>
      </c>
      <c r="AF28" s="157">
        <f>IF(AND(ISNUMBER(Laboratorio!W30),ISNUMBER(Courier!Y38)),Courier!Y38," ")</f>
        <v>3.0950853824615479</v>
      </c>
      <c r="AG28" s="157">
        <f t="shared" si="50"/>
        <v>-0.16808538246154781</v>
      </c>
      <c r="AH28" s="321">
        <f t="shared" si="51"/>
        <v>5.7425822501382919</v>
      </c>
      <c r="AI28" s="157">
        <f>IF(AND(ISNUMBER(Laboratorio!Y30),ISNUMBER(Courier!AA38)),Laboratorio!Y30," ")</f>
        <v>27.3</v>
      </c>
      <c r="AJ28" s="157">
        <f>IF(AND(ISNUMBER(Laboratorio!Y30),ISNUMBER(Courier!AA38)),Courier!AA38," ")</f>
        <v>27.083105087280273</v>
      </c>
      <c r="AK28" s="157">
        <f t="shared" si="52"/>
        <v>0.21689491271972727</v>
      </c>
      <c r="AL28" s="321">
        <f t="shared" si="53"/>
        <v>0.79448685977922073</v>
      </c>
      <c r="AM28" s="314"/>
      <c r="AN28" s="331"/>
      <c r="AO28" s="320">
        <f>IF(AND(ISNUMBER(Laboratorio!F30),ISNUMBER(Courier!F38)),Laboratorio!F30," ")</f>
        <v>0.47799999999999998</v>
      </c>
      <c r="AP28" s="157">
        <f>IF(AND(ISNUMBER(Laboratorio!F30),ISNUMBER(Courier!F38)),Courier!F38," ")</f>
        <v>0.44328445196151733</v>
      </c>
      <c r="AQ28" s="84">
        <f t="shared" si="18"/>
        <v>3.4715548038482646E-2</v>
      </c>
      <c r="AR28" s="319">
        <f t="shared" si="19"/>
        <v>7.2626669536574582</v>
      </c>
      <c r="AS28" s="84">
        <f>IF(AND(ISNUMBER(Laboratorio!H30),ISNUMBER(Courier!H38)),Laboratorio!H30," ")</f>
        <v>5.0999999999999997E-2</v>
      </c>
      <c r="AT28" s="84">
        <f>IF(AND(ISNUMBER(Laboratorio!H30),ISNUMBER(Courier!H38)),Courier!H38," ")</f>
        <v>4.9659151583909988E-2</v>
      </c>
      <c r="AU28" s="84">
        <f t="shared" si="20"/>
        <v>1.3408484160900083E-3</v>
      </c>
      <c r="AV28" s="319">
        <f t="shared" si="21"/>
        <v>2.6291145413529575</v>
      </c>
      <c r="AW28" s="84">
        <f>IF(AND(ISNUMBER(Laboratorio!J30),ISNUMBER(Courier!J38)),Laboratorio!J30," ")</f>
        <v>2.214</v>
      </c>
      <c r="AX28" s="84">
        <f>IF(AND(ISNUMBER(Laboratorio!J30),ISNUMBER(Courier!J38)),Courier!J38," ")</f>
        <v>2.5827183723449707</v>
      </c>
      <c r="AY28" s="84">
        <f t="shared" si="22"/>
        <v>-0.36871837234497074</v>
      </c>
      <c r="AZ28" s="319">
        <f t="shared" si="23"/>
        <v>16.653946357044749</v>
      </c>
      <c r="BA28" s="84">
        <f>IF(AND(ISNUMBER(Laboratorio!P30),ISNUMBER(Courier!P38)),Laboratorio!P30," ")</f>
        <v>5.1999999999999998E-2</v>
      </c>
      <c r="BB28" s="84">
        <f>IF(AND(ISNUMBER(Laboratorio!P30),ISNUMBER(Courier!P38)),Courier!P38," ")</f>
        <v>5.2739962935447693E-2</v>
      </c>
      <c r="BC28" s="84">
        <f t="shared" si="24"/>
        <v>-7.3996293544769526E-4</v>
      </c>
      <c r="BD28" s="319">
        <f t="shared" si="25"/>
        <v>1.4230056450917217</v>
      </c>
      <c r="BE28" s="84">
        <f>IF(AND(ISNUMBER(Laboratorio!R30),ISNUMBER(Courier!R38)),Laboratorio!R30," ")</f>
        <v>1.0999999999999999E-2</v>
      </c>
      <c r="BF28" s="84">
        <f>IF(AND(ISNUMBER(Laboratorio!R30),ISNUMBER(Courier!R38)),Courier!R38," ")</f>
        <v>7.6515157707035542E-3</v>
      </c>
      <c r="BG28" s="84">
        <f t="shared" si="26"/>
        <v>3.3484842292964452E-3</v>
      </c>
      <c r="BH28" s="319">
        <f t="shared" si="27"/>
        <v>30.440765720876779</v>
      </c>
      <c r="BI28" s="84">
        <f>IF(AND(ISNUMBER(Laboratorio!T30),ISNUMBER(Courier!T38)),Laboratorio!T30," ")</f>
        <v>1.9550000000000001</v>
      </c>
      <c r="BJ28" s="84">
        <f>IF(AND(ISNUMBER(Laboratorio!T30),ISNUMBER(Courier!T38)),Courier!T38," ")</f>
        <v>2.0642762184143066</v>
      </c>
      <c r="BK28" s="84">
        <f t="shared" si="28"/>
        <v>-0.10927621841430657</v>
      </c>
      <c r="BL28" s="84">
        <f t="shared" si="29"/>
        <v>5.589576389478597</v>
      </c>
      <c r="BM28" s="318">
        <f>IF(AND(ISNUMBER(Laboratorio!V30),ISNUMBER(Courier!X38)),Laboratorio!V30," ")</f>
        <v>22.972000000000001</v>
      </c>
      <c r="BN28">
        <f>IF(AND(ISNUMBER(Laboratorio!V30),ISNUMBER(Courier!X38)),Courier!X38," ")</f>
        <v>21.923906326293945</v>
      </c>
      <c r="BO28">
        <f t="shared" si="30"/>
        <v>1.048093673706056</v>
      </c>
      <c r="BP28" s="317">
        <f t="shared" si="31"/>
        <v>4.5624833436620928</v>
      </c>
      <c r="BQ28">
        <f>IF(AND(ISNUMBER(Laboratorio!X30),ISNUMBER(Courier!Z38)),Laboratorio!X30," ")</f>
        <v>2.488</v>
      </c>
      <c r="BR28">
        <f>IF(AND(ISNUMBER(Laboratorio!X30),ISNUMBER(Courier!Z38)),Courier!Z38," ")</f>
        <v>2.9916768074035645</v>
      </c>
      <c r="BS28">
        <f t="shared" si="32"/>
        <v>-0.50367680740356446</v>
      </c>
      <c r="BT28" s="317">
        <f t="shared" si="33"/>
        <v>20.244244670561272</v>
      </c>
      <c r="BU28">
        <f>IF(AND(ISNUMBER(Laboratorio!Z30),ISNUMBER(Courier!AB38)),Laboratorio!Z30," ")</f>
        <v>27.19</v>
      </c>
      <c r="BV28">
        <f>IF(AND(ISNUMBER(Laboratorio!Z30),ISNUMBER(Courier!AB38)),Courier!AB38," ")</f>
        <v>27.242895126342773</v>
      </c>
      <c r="BW28">
        <f t="shared" si="34"/>
        <v>-5.2895126342772159E-2</v>
      </c>
      <c r="BX28" s="317">
        <f t="shared" si="35"/>
        <v>0.19453889791383655</v>
      </c>
    </row>
    <row r="29" spans="3:76" x14ac:dyDescent="0.2">
      <c r="C29" s="320">
        <f>IF(AND(ISNUMBER(Laboratorio!E31),ISNUMBER(Courier!E39)),Laboratorio!E31,"")</f>
        <v>0.60599999999999998</v>
      </c>
      <c r="D29" s="157">
        <f>IF(AND(ISNUMBER(Laboratorio!E31),ISNUMBER(Courier!E39)),Courier!E39,"")</f>
        <v>0.58981031179428101</v>
      </c>
      <c r="E29" s="157">
        <f t="shared" si="36"/>
        <v>1.6189688205718977E-2</v>
      </c>
      <c r="F29" s="321">
        <f t="shared" si="37"/>
        <v>2.6715657105146828</v>
      </c>
      <c r="G29" s="320">
        <f>IF(AND(ISNUMBER(Laboratorio!G31),ISNUMBER(Courier!G39)),Laboratorio!G31," ")</f>
        <v>6.3E-2</v>
      </c>
      <c r="H29" s="157">
        <f>IF(AND(ISNUMBER(Laboratorio!G31),ISNUMBER(Courier!G39)),Courier!G39," ")</f>
        <v>6.5878219902515411E-2</v>
      </c>
      <c r="I29" s="157">
        <f t="shared" si="38"/>
        <v>-2.8782199025154109E-3</v>
      </c>
      <c r="J29" s="321">
        <f t="shared" si="39"/>
        <v>4.5686030198657317</v>
      </c>
      <c r="K29" s="157">
        <f>IF(AND(ISNUMBER(Laboratorio!I31),ISNUMBER(Courier!I39)),Laboratorio!I31," ")</f>
        <v>2.3239999999999998</v>
      </c>
      <c r="L29" s="157">
        <f>IF(AND(ISNUMBER(Laboratorio!I31),ISNUMBER(Courier!I39)),Courier!I39," ")</f>
        <v>2.1223628520965576</v>
      </c>
      <c r="M29" s="157">
        <f t="shared" si="40"/>
        <v>0.20163714790344223</v>
      </c>
      <c r="N29" s="321">
        <f t="shared" si="41"/>
        <v>8.6762972419725575</v>
      </c>
      <c r="O29" s="320">
        <f>IF(AND(ISNUMBER(Laboratorio!O31),ISNUMBER(Courier!O39)),Laboratorio!O31," ")</f>
        <v>5.8999999999999997E-2</v>
      </c>
      <c r="P29" s="156">
        <f>IF(AND(ISNUMBER(Laboratorio!O31),ISNUMBER(Courier!O39)),Courier!O39," ")</f>
        <v>5.8412514626979828E-2</v>
      </c>
      <c r="Q29" s="157">
        <f t="shared" si="42"/>
        <v>5.8748537302016901E-4</v>
      </c>
      <c r="R29" s="321">
        <f t="shared" si="43"/>
        <v>0.99573792037316777</v>
      </c>
      <c r="S29" s="156">
        <f>IF(AND(ISNUMBER(Laboratorio!Q31),ISNUMBER(Courier!Q39)),Laboratorio!Q31," ")</f>
        <v>1.9E-2</v>
      </c>
      <c r="T29" s="157">
        <v>3.1233406625688076E-3</v>
      </c>
      <c r="U29" s="157">
        <f t="shared" si="44"/>
        <v>1.5876659337431192E-2</v>
      </c>
      <c r="V29" s="157">
        <f t="shared" si="45"/>
        <v>83.561364933848381</v>
      </c>
      <c r="W29" s="320">
        <f>IF(AND(ISNUMBER(Laboratorio!S31),ISNUMBER(Courier!S39)),Laboratorio!S31,"")</f>
        <v>1.766</v>
      </c>
      <c r="X29" s="157">
        <f>IF(AND(ISNUMBER(Laboratorio!S31),ISNUMBER(Courier!S39)),Courier!S39,"")</f>
        <v>1.6705179214477539</v>
      </c>
      <c r="Y29" s="157">
        <f t="shared" si="46"/>
        <v>9.5482078552246108E-2</v>
      </c>
      <c r="Z29" s="157">
        <f t="shared" si="47"/>
        <v>5.4066862147364727</v>
      </c>
      <c r="AA29" s="320">
        <f>IF(AND(ISNUMBER(Laboratorio!U31),ISNUMBER(Courier!W39)),Laboratorio!U31," ")</f>
        <v>24.975000000000001</v>
      </c>
      <c r="AB29" s="157">
        <f>IF(AND(ISNUMBER(Laboratorio!U31),ISNUMBER(Courier!W39)),Courier!W39," ")</f>
        <v>25.237625122070313</v>
      </c>
      <c r="AC29" s="157">
        <f t="shared" si="48"/>
        <v>-0.26262512207031108</v>
      </c>
      <c r="AD29" s="321">
        <f t="shared" si="49"/>
        <v>1.0515520403215657</v>
      </c>
      <c r="AE29" s="157">
        <f>IF(AND(ISNUMBER(Laboratorio!W31),ISNUMBER(Courier!Y39)),Laboratorio!W31," ")</f>
        <v>2.383</v>
      </c>
      <c r="AF29" s="157">
        <f>IF(AND(ISNUMBER(Laboratorio!W31),ISNUMBER(Courier!Y39)),Courier!Y39," ")</f>
        <v>3.0219612121582031</v>
      </c>
      <c r="AG29" s="157">
        <f t="shared" si="50"/>
        <v>-0.63896121215820312</v>
      </c>
      <c r="AH29" s="321">
        <f t="shared" si="51"/>
        <v>26.813311462786533</v>
      </c>
      <c r="AI29" s="157">
        <f>IF(AND(ISNUMBER(Laboratorio!Y31),ISNUMBER(Courier!AA39)),Laboratorio!Y31," ")</f>
        <v>27.28</v>
      </c>
      <c r="AJ29" s="157">
        <f>IF(AND(ISNUMBER(Laboratorio!Y31),ISNUMBER(Courier!AA39)),Courier!AA39," ")</f>
        <v>27.622539520263672</v>
      </c>
      <c r="AK29" s="157">
        <f t="shared" si="52"/>
        <v>-0.34253952026367074</v>
      </c>
      <c r="AL29" s="321">
        <f t="shared" si="53"/>
        <v>1.2556434027260657</v>
      </c>
      <c r="AM29" s="314"/>
      <c r="AN29" s="331"/>
      <c r="AO29" s="320">
        <f>IF(AND(ISNUMBER(Laboratorio!F31),ISNUMBER(Courier!F39)),Laboratorio!F31," ")</f>
        <v>0.52500000000000002</v>
      </c>
      <c r="AP29" s="157">
        <f>IF(AND(ISNUMBER(Laboratorio!F31),ISNUMBER(Courier!F39)),Courier!F39," ")</f>
        <v>0.49795740842819214</v>
      </c>
      <c r="AQ29" s="84">
        <f t="shared" si="18"/>
        <v>2.7042591571807884E-2</v>
      </c>
      <c r="AR29" s="319">
        <f t="shared" si="19"/>
        <v>5.1509698232015015</v>
      </c>
      <c r="AS29" s="84">
        <f>IF(AND(ISNUMBER(Laboratorio!H31),ISNUMBER(Courier!H39)),Laboratorio!H31," ")</f>
        <v>3.9E-2</v>
      </c>
      <c r="AT29" s="84">
        <f>IF(AND(ISNUMBER(Laboratorio!H31),ISNUMBER(Courier!H39)),Courier!H39," ")</f>
        <v>4.901445284485817E-2</v>
      </c>
      <c r="AU29" s="84">
        <f t="shared" si="20"/>
        <v>-1.001445284485817E-2</v>
      </c>
      <c r="AV29" s="319">
        <f t="shared" si="21"/>
        <v>25.678084217585052</v>
      </c>
      <c r="AW29" s="84">
        <f>IF(AND(ISNUMBER(Laboratorio!J31),ISNUMBER(Courier!J39)),Laboratorio!J31," ")</f>
        <v>1.982</v>
      </c>
      <c r="AX29" s="84">
        <f>IF(AND(ISNUMBER(Laboratorio!J31),ISNUMBER(Courier!J39)),Courier!J39," ")</f>
        <v>2.074695348739624</v>
      </c>
      <c r="AY29" s="84">
        <f t="shared" si="22"/>
        <v>-9.2695348739624039E-2</v>
      </c>
      <c r="AZ29" s="319">
        <f t="shared" si="23"/>
        <v>4.6768591695067627</v>
      </c>
      <c r="BA29" s="84">
        <f>IF(AND(ISNUMBER(Laboratorio!P31),ISNUMBER(Courier!P39)),Laboratorio!P31," ")</f>
        <v>5.0999999999999997E-2</v>
      </c>
      <c r="BB29" s="84">
        <f>IF(AND(ISNUMBER(Laboratorio!P31),ISNUMBER(Courier!P39)),Courier!P39," ")</f>
        <v>6.5444730222225189E-2</v>
      </c>
      <c r="BC29" s="84">
        <f t="shared" si="24"/>
        <v>-1.4444730222225192E-2</v>
      </c>
      <c r="BD29" s="319">
        <f t="shared" si="25"/>
        <v>28.323000435735672</v>
      </c>
      <c r="BE29" s="84">
        <f>IF(AND(ISNUMBER(Laboratorio!R31),ISNUMBER(Courier!R39)),Laboratorio!R31," ")</f>
        <v>8.9999999999999993E-3</v>
      </c>
      <c r="BF29" s="84">
        <f>IF(AND(ISNUMBER(Laboratorio!R31),ISNUMBER(Courier!R39)),Courier!R39," ")</f>
        <v>1.1116042733192444E-2</v>
      </c>
      <c r="BG29" s="84">
        <f t="shared" si="26"/>
        <v>-2.1160427331924445E-3</v>
      </c>
      <c r="BH29" s="319">
        <f t="shared" si="27"/>
        <v>23.511585924360496</v>
      </c>
      <c r="BI29" s="84">
        <f>IF(AND(ISNUMBER(Laboratorio!T31),ISNUMBER(Courier!T39)),Laboratorio!T31," ")</f>
        <v>1.573</v>
      </c>
      <c r="BJ29" s="84">
        <f>IF(AND(ISNUMBER(Laboratorio!T31),ISNUMBER(Courier!T39)),Courier!T39," ")</f>
        <v>1.3353372812271118</v>
      </c>
      <c r="BK29" s="84">
        <f t="shared" si="28"/>
        <v>0.23766271877288814</v>
      </c>
      <c r="BL29" s="84">
        <f t="shared" si="29"/>
        <v>15.10888231232601</v>
      </c>
      <c r="BM29" s="318">
        <f>IF(AND(ISNUMBER(Laboratorio!V31),ISNUMBER(Courier!X39)),Laboratorio!V31," ")</f>
        <v>25.276</v>
      </c>
      <c r="BN29">
        <f>IF(AND(ISNUMBER(Laboratorio!V31),ISNUMBER(Courier!X39)),Courier!X39," ")</f>
        <v>24.58636474609375</v>
      </c>
      <c r="BO29">
        <f t="shared" si="30"/>
        <v>0.6896352539062498</v>
      </c>
      <c r="BP29" s="317">
        <f t="shared" si="31"/>
        <v>2.7284192669182219</v>
      </c>
      <c r="BQ29">
        <f>IF(AND(ISNUMBER(Laboratorio!X31),ISNUMBER(Courier!Z39)),Laboratorio!X31," ")</f>
        <v>2.198</v>
      </c>
      <c r="BR29">
        <f>IF(AND(ISNUMBER(Laboratorio!X31),ISNUMBER(Courier!Z39)),Courier!Z39," ")</f>
        <v>2.3146829605102539</v>
      </c>
      <c r="BS29">
        <f t="shared" si="32"/>
        <v>-0.11668296051025395</v>
      </c>
      <c r="BT29" s="317">
        <f t="shared" si="33"/>
        <v>5.308596929492901</v>
      </c>
      <c r="BU29">
        <f>IF(AND(ISNUMBER(Laboratorio!Z31),ISNUMBER(Courier!AB39)),Laboratorio!Z31," ")</f>
        <v>27.72</v>
      </c>
      <c r="BV29">
        <f>IF(AND(ISNUMBER(Laboratorio!Z31),ISNUMBER(Courier!AB39)),Courier!AB39," ")</f>
        <v>26.88499641418457</v>
      </c>
      <c r="BW29">
        <f t="shared" si="34"/>
        <v>0.83500358581542855</v>
      </c>
      <c r="BX29" s="317">
        <f t="shared" si="35"/>
        <v>3.0122784481076068</v>
      </c>
    </row>
    <row r="30" spans="3:76" x14ac:dyDescent="0.2">
      <c r="C30" s="320">
        <f>IF(AND(ISNUMBER(Laboratorio!E32),ISNUMBER(Courier!E40)),Laboratorio!E32,"")</f>
        <v>0.55600000000000005</v>
      </c>
      <c r="D30" s="157">
        <f>IF(AND(ISNUMBER(Laboratorio!E32),ISNUMBER(Courier!E40)),Courier!E40,"")</f>
        <v>0.49200034141540527</v>
      </c>
      <c r="E30" s="157">
        <f t="shared" si="36"/>
        <v>6.3999658584594776E-2</v>
      </c>
      <c r="F30" s="321">
        <f t="shared" si="37"/>
        <v>11.510729961258052</v>
      </c>
      <c r="G30" s="320">
        <f>IF(AND(ISNUMBER(Laboratorio!G32),ISNUMBER(Courier!G40)),Laboratorio!G32," ")</f>
        <v>7.6999999999999999E-2</v>
      </c>
      <c r="H30" s="157">
        <f>IF(AND(ISNUMBER(Laboratorio!G32),ISNUMBER(Courier!G40)),Courier!G40," ")</f>
        <v>6.7074969410896301E-2</v>
      </c>
      <c r="I30" s="157">
        <f t="shared" si="38"/>
        <v>9.9250305891036977E-3</v>
      </c>
      <c r="J30" s="321">
        <f t="shared" si="39"/>
        <v>12.889650115719087</v>
      </c>
      <c r="K30" s="157">
        <f>IF(AND(ISNUMBER(Laboratorio!I32),ISNUMBER(Courier!I40)),Laboratorio!I32," ")</f>
        <v>2.2010000000000001</v>
      </c>
      <c r="L30" s="157">
        <f>IF(AND(ISNUMBER(Laboratorio!I32),ISNUMBER(Courier!I40)),Courier!I40," ")</f>
        <v>2.061875581741333</v>
      </c>
      <c r="M30" s="157">
        <f t="shared" si="40"/>
        <v>0.13912441825866706</v>
      </c>
      <c r="N30" s="321">
        <f t="shared" si="41"/>
        <v>6.3209640281084525</v>
      </c>
      <c r="O30" s="320">
        <f>IF(AND(ISNUMBER(Laboratorio!O32),ISNUMBER(Courier!O40)),Laboratorio!O32," ")</f>
        <v>5.3999999999999999E-2</v>
      </c>
      <c r="P30" s="156">
        <f>IF(AND(ISNUMBER(Laboratorio!O32),ISNUMBER(Courier!O40)),Courier!O40," ")</f>
        <v>6.17174431681633E-2</v>
      </c>
      <c r="Q30" s="157">
        <f t="shared" si="42"/>
        <v>-7.7174431681633002E-3</v>
      </c>
      <c r="R30" s="321">
        <f t="shared" si="43"/>
        <v>14.291561422524628</v>
      </c>
      <c r="S30" s="156">
        <f>IF(AND(ISNUMBER(Laboratorio!Q32),ISNUMBER(Courier!Q40)),Laboratorio!Q32," ")</f>
        <v>1.4E-2</v>
      </c>
      <c r="T30" s="157">
        <v>3.4416078124195337E-3</v>
      </c>
      <c r="U30" s="157">
        <f t="shared" si="44"/>
        <v>1.0558392187580467E-2</v>
      </c>
      <c r="V30" s="157">
        <f t="shared" si="45"/>
        <v>75.417087054146194</v>
      </c>
      <c r="W30" s="320">
        <f>IF(AND(ISNUMBER(Laboratorio!S32),ISNUMBER(Courier!S40)),Laboratorio!S32,"")</f>
        <v>1.7270000000000001</v>
      </c>
      <c r="X30" s="157">
        <f>IF(AND(ISNUMBER(Laboratorio!S32),ISNUMBER(Courier!S40)),Courier!S40,"")</f>
        <v>1.4547910690307617</v>
      </c>
      <c r="Y30" s="157">
        <f t="shared" si="46"/>
        <v>0.27220893096923837</v>
      </c>
      <c r="Z30" s="157">
        <f t="shared" si="47"/>
        <v>15.761953153980219</v>
      </c>
      <c r="AA30" s="320">
        <f>IF(AND(ISNUMBER(Laboratorio!U32),ISNUMBER(Courier!W40)),Laboratorio!U32," ")</f>
        <v>23.321999999999999</v>
      </c>
      <c r="AB30" s="157">
        <f>IF(AND(ISNUMBER(Laboratorio!U32),ISNUMBER(Courier!W40)),Courier!W40," ")</f>
        <v>22.322566986083984</v>
      </c>
      <c r="AC30" s="157">
        <f t="shared" si="48"/>
        <v>0.9994330139160148</v>
      </c>
      <c r="AD30" s="321">
        <f t="shared" si="49"/>
        <v>4.2853658087471693</v>
      </c>
      <c r="AE30" s="157">
        <f>IF(AND(ISNUMBER(Laboratorio!W32),ISNUMBER(Courier!Y40)),Laboratorio!W32," ")</f>
        <v>3.17</v>
      </c>
      <c r="AF30" s="157">
        <f>IF(AND(ISNUMBER(Laboratorio!W32),ISNUMBER(Courier!Y40)),Courier!Y40," ")</f>
        <v>3.0827581882476807</v>
      </c>
      <c r="AG30" s="157">
        <f t="shared" si="50"/>
        <v>8.7241811752319265E-2</v>
      </c>
      <c r="AH30" s="321">
        <f t="shared" si="51"/>
        <v>2.7521076262561284</v>
      </c>
      <c r="AI30" s="157">
        <f>IF(AND(ISNUMBER(Laboratorio!Y32),ISNUMBER(Courier!AA40)),Laboratorio!Y32," ")</f>
        <v>26.88</v>
      </c>
      <c r="AJ30" s="157">
        <f>IF(AND(ISNUMBER(Laboratorio!Y32),ISNUMBER(Courier!AA40)),Courier!AA40," ")</f>
        <v>27.057113647460938</v>
      </c>
      <c r="AK30" s="157">
        <f t="shared" si="52"/>
        <v>-0.17711364746093849</v>
      </c>
      <c r="AL30" s="321">
        <f t="shared" si="53"/>
        <v>0.65890493847075338</v>
      </c>
      <c r="AM30" s="314"/>
      <c r="AN30" s="331"/>
      <c r="AO30" s="320">
        <f>IF(AND(ISNUMBER(Laboratorio!F32),ISNUMBER(Courier!F40)),Laboratorio!F32," ")</f>
        <v>0.54500000000000004</v>
      </c>
      <c r="AP30" s="157">
        <f>IF(AND(ISNUMBER(Laboratorio!F32),ISNUMBER(Courier!F40)),Courier!F40," ")</f>
        <v>0.49363160133361816</v>
      </c>
      <c r="AQ30" s="84">
        <f t="shared" si="18"/>
        <v>5.1368398666381876E-2</v>
      </c>
      <c r="AR30" s="319">
        <f t="shared" si="19"/>
        <v>9.4253942507122694</v>
      </c>
      <c r="AS30" s="84">
        <f>IF(AND(ISNUMBER(Laboratorio!H32),ISNUMBER(Courier!H40)),Laboratorio!H32," ")</f>
        <v>6.9000000000000006E-2</v>
      </c>
      <c r="AT30" s="84">
        <f>IF(AND(ISNUMBER(Laboratorio!H32),ISNUMBER(Courier!H40)),Courier!H40," ")</f>
        <v>6.4989484846591949E-2</v>
      </c>
      <c r="AU30" s="84">
        <f t="shared" si="20"/>
        <v>4.0105151534080563E-3</v>
      </c>
      <c r="AV30" s="319">
        <f t="shared" si="21"/>
        <v>5.8123408020406604</v>
      </c>
      <c r="AW30" s="84">
        <f>IF(AND(ISNUMBER(Laboratorio!J32),ISNUMBER(Courier!J40)),Laboratorio!J32," ")</f>
        <v>2.093</v>
      </c>
      <c r="AX30" s="84">
        <f>IF(AND(ISNUMBER(Laboratorio!J32),ISNUMBER(Courier!J40)),Courier!J40," ")</f>
        <v>1.8942028284072876</v>
      </c>
      <c r="AY30" s="84">
        <f t="shared" si="22"/>
        <v>0.19879717159271237</v>
      </c>
      <c r="AZ30" s="319">
        <f t="shared" si="23"/>
        <v>9.4981926226809534</v>
      </c>
      <c r="BA30" s="84">
        <f>IF(AND(ISNUMBER(Laboratorio!P32),ISNUMBER(Courier!P40)),Laboratorio!P32," ")</f>
        <v>5.1999999999999998E-2</v>
      </c>
      <c r="BB30" s="84">
        <f>IF(AND(ISNUMBER(Laboratorio!P32),ISNUMBER(Courier!P40)),Courier!P40," ")</f>
        <v>6.17174431681633E-2</v>
      </c>
      <c r="BC30" s="84">
        <f t="shared" si="24"/>
        <v>-9.7174431681633019E-3</v>
      </c>
      <c r="BD30" s="319">
        <f t="shared" si="25"/>
        <v>18.687390708006351</v>
      </c>
      <c r="BE30" s="84">
        <f>IF(AND(ISNUMBER(Laboratorio!R32),ISNUMBER(Courier!R40)),Laboratorio!R32," ")</f>
        <v>1.4E-2</v>
      </c>
      <c r="BF30" s="84">
        <f>IF(AND(ISNUMBER(Laboratorio!R32),ISNUMBER(Courier!R40)),Courier!R40," ")</f>
        <v>1.0092724114656448E-2</v>
      </c>
      <c r="BG30" s="84">
        <f t="shared" si="26"/>
        <v>3.9072758853435519E-3</v>
      </c>
      <c r="BH30" s="319">
        <f t="shared" si="27"/>
        <v>27.909113466739655</v>
      </c>
      <c r="BI30" s="84">
        <f>IF(AND(ISNUMBER(Laboratorio!T32),ISNUMBER(Courier!T40)),Laboratorio!T32," ")</f>
        <v>1.7230000000000001</v>
      </c>
      <c r="BJ30" s="84">
        <f>IF(AND(ISNUMBER(Laboratorio!T32),ISNUMBER(Courier!T40)),Courier!T40," ")</f>
        <v>1.4547910690307617</v>
      </c>
      <c r="BK30" s="84">
        <f t="shared" si="28"/>
        <v>0.26820893096923837</v>
      </c>
      <c r="BL30" s="84">
        <f t="shared" si="29"/>
        <v>15.566391814813601</v>
      </c>
      <c r="BM30" s="318">
        <f>IF(AND(ISNUMBER(Laboratorio!V32),ISNUMBER(Courier!X40)),Laboratorio!V32," ")</f>
        <v>26.672000000000001</v>
      </c>
      <c r="BN30">
        <f>IF(AND(ISNUMBER(Laboratorio!V32),ISNUMBER(Courier!X40)),Courier!X40," ")</f>
        <v>23.369316101074219</v>
      </c>
      <c r="BO30">
        <f t="shared" si="30"/>
        <v>3.3026838989257818</v>
      </c>
      <c r="BP30" s="317">
        <f t="shared" si="31"/>
        <v>12.382588103351011</v>
      </c>
      <c r="BQ30">
        <f>IF(AND(ISNUMBER(Laboratorio!X32),ISNUMBER(Courier!Z40)),Laboratorio!X32," ")</f>
        <v>2.8050000000000002</v>
      </c>
      <c r="BR30">
        <f>IF(AND(ISNUMBER(Laboratorio!X32),ISNUMBER(Courier!Z40)),Courier!Z40," ")</f>
        <v>3.2293510437011719</v>
      </c>
      <c r="BS30">
        <f t="shared" si="32"/>
        <v>-0.42435104370117172</v>
      </c>
      <c r="BT30" s="317">
        <f t="shared" si="33"/>
        <v>15.128379454587225</v>
      </c>
      <c r="BU30">
        <f>IF(AND(ISNUMBER(Laboratorio!Z32),ISNUMBER(Courier!AB40)),Laboratorio!Z32," ")</f>
        <v>26.64</v>
      </c>
      <c r="BV30">
        <f>IF(AND(ISNUMBER(Laboratorio!Z32),ISNUMBER(Courier!AB40)),Courier!AB40," ")</f>
        <v>26.96209716796875</v>
      </c>
      <c r="BW30">
        <f t="shared" si="34"/>
        <v>-0.32209716796874943</v>
      </c>
      <c r="BX30" s="317">
        <f t="shared" si="35"/>
        <v>1.2090734533361465</v>
      </c>
    </row>
    <row r="31" spans="3:76" x14ac:dyDescent="0.2">
      <c r="C31" s="320">
        <f>IF(AND(ISNUMBER(Laboratorio!E33),ISNUMBER(Courier!E41)),Laboratorio!E33,"")</f>
        <v>0.48</v>
      </c>
      <c r="D31" s="157">
        <f>IF(AND(ISNUMBER(Laboratorio!E33),ISNUMBER(Courier!E41)),Courier!E41,"")</f>
        <v>0.50143665075302124</v>
      </c>
      <c r="E31" s="157">
        <f t="shared" si="36"/>
        <v>-2.1436650753021258E-2</v>
      </c>
      <c r="F31" s="321">
        <f t="shared" si="37"/>
        <v>4.4659689068794295</v>
      </c>
      <c r="G31" s="320">
        <f>IF(AND(ISNUMBER(Laboratorio!G33),ISNUMBER(Courier!G41)),Laboratorio!G33," ")</f>
        <v>0.08</v>
      </c>
      <c r="H31" s="157">
        <f>IF(AND(ISNUMBER(Laboratorio!G33),ISNUMBER(Courier!G41)),Courier!G41," ")</f>
        <v>8.5331402719020844E-2</v>
      </c>
      <c r="I31" s="157">
        <f t="shared" si="38"/>
        <v>-5.3314027190208418E-3</v>
      </c>
      <c r="J31" s="321">
        <f t="shared" si="39"/>
        <v>6.6642533987760517</v>
      </c>
      <c r="K31" s="157">
        <f>IF(AND(ISNUMBER(Laboratorio!I33),ISNUMBER(Courier!I41)),Laboratorio!I33," ")</f>
        <v>2.1339999999999999</v>
      </c>
      <c r="L31" s="157">
        <f>IF(AND(ISNUMBER(Laboratorio!I33),ISNUMBER(Courier!I41)),Courier!I41," ")</f>
        <v>1.671797513961792</v>
      </c>
      <c r="M31" s="157">
        <f t="shared" si="40"/>
        <v>0.4622024860382079</v>
      </c>
      <c r="N31" s="321">
        <f t="shared" si="41"/>
        <v>21.658973103946014</v>
      </c>
      <c r="O31" s="320">
        <f>IF(AND(ISNUMBER(Laboratorio!O33),ISNUMBER(Courier!O41)),Laboratorio!O33," ")</f>
        <v>3.5999999999999997E-2</v>
      </c>
      <c r="P31" s="156">
        <f>IF(AND(ISNUMBER(Laboratorio!O33),ISNUMBER(Courier!O41)),Courier!O41," ")</f>
        <v>6.17174431681633E-2</v>
      </c>
      <c r="Q31" s="157">
        <f t="shared" si="42"/>
        <v>-2.5717443168163302E-2</v>
      </c>
      <c r="R31" s="321">
        <f t="shared" si="43"/>
        <v>71.437342133786956</v>
      </c>
      <c r="S31" s="156">
        <f>IF(AND(ISNUMBER(Laboratorio!Q33),ISNUMBER(Courier!Q41)),Laboratorio!Q33," ")</f>
        <v>1.4999999999999999E-2</v>
      </c>
      <c r="T31" s="157">
        <v>4.2345346882939339E-3</v>
      </c>
      <c r="U31" s="157">
        <f t="shared" si="44"/>
        <v>1.0765465311706066E-2</v>
      </c>
      <c r="V31" s="157">
        <f t="shared" si="45"/>
        <v>71.769768744707108</v>
      </c>
      <c r="W31" s="320">
        <f>IF(AND(ISNUMBER(Laboratorio!S33),ISNUMBER(Courier!S41)),Laboratorio!S33,"")</f>
        <v>1.3420000000000001</v>
      </c>
      <c r="X31" s="157">
        <f>IF(AND(ISNUMBER(Laboratorio!S33),ISNUMBER(Courier!S41)),Courier!S41,"")</f>
        <v>1.4547910690307617</v>
      </c>
      <c r="Y31" s="157">
        <f t="shared" si="46"/>
        <v>-0.11279106903076164</v>
      </c>
      <c r="Z31" s="157">
        <f t="shared" si="47"/>
        <v>8.4046996297139813</v>
      </c>
      <c r="AA31" s="320">
        <f>IF(AND(ISNUMBER(Laboratorio!U33),ISNUMBER(Courier!W41)),Laboratorio!U33," ")</f>
        <v>23.248999999999999</v>
      </c>
      <c r="AB31" s="157">
        <f>IF(AND(ISNUMBER(Laboratorio!U33),ISNUMBER(Courier!W41)),Courier!W41," ")</f>
        <v>23.859102249145508</v>
      </c>
      <c r="AC31" s="157">
        <f t="shared" si="48"/>
        <v>-0.61010224914550903</v>
      </c>
      <c r="AD31" s="321">
        <f t="shared" si="49"/>
        <v>2.6242085644350688</v>
      </c>
      <c r="AE31" s="157">
        <f>IF(AND(ISNUMBER(Laboratorio!W33),ISNUMBER(Courier!Y41)),Laboratorio!W33," ")</f>
        <v>4.569</v>
      </c>
      <c r="AF31" s="157">
        <f>IF(AND(ISNUMBER(Laboratorio!W33),ISNUMBER(Courier!Y41)),Courier!Y41," ")</f>
        <v>4.3261613845825195</v>
      </c>
      <c r="AG31" s="157">
        <f t="shared" si="50"/>
        <v>0.24283861541748042</v>
      </c>
      <c r="AH31" s="321">
        <f t="shared" si="51"/>
        <v>5.3149182625843823</v>
      </c>
      <c r="AI31" s="157">
        <f>IF(AND(ISNUMBER(Laboratorio!Y33),ISNUMBER(Courier!AA41)),Laboratorio!Y33," ")</f>
        <v>25.94</v>
      </c>
      <c r="AJ31" s="157">
        <f>IF(AND(ISNUMBER(Laboratorio!Y33),ISNUMBER(Courier!AA41)),Courier!AA41," ")</f>
        <v>27.119331359863281</v>
      </c>
      <c r="AK31" s="157">
        <f t="shared" si="52"/>
        <v>-1.17933135986328</v>
      </c>
      <c r="AL31" s="321">
        <f t="shared" si="53"/>
        <v>4.5463814952323824</v>
      </c>
      <c r="AM31" s="314"/>
      <c r="AN31" s="331"/>
      <c r="AO31" s="320">
        <f>IF(AND(ISNUMBER(Laboratorio!F33),ISNUMBER(Courier!F41)),Laboratorio!F33," ")</f>
        <v>0.501</v>
      </c>
      <c r="AP31" s="157">
        <f>IF(AND(ISNUMBER(Laboratorio!F33),ISNUMBER(Courier!F41)),Courier!F41," ")</f>
        <v>0.48742231726646423</v>
      </c>
      <c r="AQ31" s="84">
        <f t="shared" si="18"/>
        <v>1.3577682733535767E-2</v>
      </c>
      <c r="AR31" s="319">
        <f t="shared" si="19"/>
        <v>2.7101163140789954</v>
      </c>
      <c r="AS31" s="84">
        <f>IF(AND(ISNUMBER(Laboratorio!H33),ISNUMBER(Courier!H41)),Laboratorio!H33," ")</f>
        <v>5.3999999999999999E-2</v>
      </c>
      <c r="AT31" s="84">
        <f>IF(AND(ISNUMBER(Laboratorio!H33),ISNUMBER(Courier!H41)),Courier!H41," ")</f>
        <v>6.0495689511299133E-2</v>
      </c>
      <c r="AU31" s="84">
        <f t="shared" si="20"/>
        <v>-6.4956895112991339E-3</v>
      </c>
      <c r="AV31" s="319">
        <f t="shared" si="21"/>
        <v>12.029054650553952</v>
      </c>
      <c r="AW31" s="84">
        <f>IF(AND(ISNUMBER(Laboratorio!J33),ISNUMBER(Courier!J41)),Laboratorio!J33," ")</f>
        <v>1.869</v>
      </c>
      <c r="AX31" s="84">
        <f>IF(AND(ISNUMBER(Laboratorio!J33),ISNUMBER(Courier!J41)),Courier!J41," ")</f>
        <v>1.6115454435348511</v>
      </c>
      <c r="AY31" s="84">
        <f t="shared" si="22"/>
        <v>0.25745455646514892</v>
      </c>
      <c r="AZ31" s="319">
        <f t="shared" si="23"/>
        <v>13.774989645005292</v>
      </c>
      <c r="BA31" s="84">
        <f>IF(AND(ISNUMBER(Laboratorio!P33),ISNUMBER(Courier!P41)),Laboratorio!P33," ")</f>
        <v>5.2999999999999999E-2</v>
      </c>
      <c r="BB31" s="84">
        <f>IF(AND(ISNUMBER(Laboratorio!P33),ISNUMBER(Courier!P41)),Courier!P41," ")</f>
        <v>6.17174431681633E-2</v>
      </c>
      <c r="BC31" s="84">
        <f t="shared" si="24"/>
        <v>-8.7174431681633011E-3</v>
      </c>
      <c r="BD31" s="319">
        <f t="shared" si="25"/>
        <v>16.448005977666604</v>
      </c>
      <c r="BE31" s="84">
        <f>IF(AND(ISNUMBER(Laboratorio!R33),ISNUMBER(Courier!R41)),Laboratorio!R33," ")</f>
        <v>8.9999999999999993E-3</v>
      </c>
      <c r="BF31" s="84">
        <f>IF(AND(ISNUMBER(Laboratorio!R33),ISNUMBER(Courier!R41)),Courier!R41," ")</f>
        <v>1.0092724114656448E-2</v>
      </c>
      <c r="BG31" s="84">
        <f t="shared" si="26"/>
        <v>-1.092724114656449E-3</v>
      </c>
      <c r="BH31" s="319">
        <f t="shared" si="27"/>
        <v>12.141379051738324</v>
      </c>
      <c r="BI31" s="84">
        <f>IF(AND(ISNUMBER(Laboratorio!T33),ISNUMBER(Courier!T41)),Laboratorio!T33," ")</f>
        <v>1.5529999999999999</v>
      </c>
      <c r="BJ31" s="84">
        <f>IF(AND(ISNUMBER(Laboratorio!T33),ISNUMBER(Courier!T41)),Courier!T41," ")</f>
        <v>1.4547910690307617</v>
      </c>
      <c r="BK31" s="84">
        <f t="shared" si="28"/>
        <v>9.8208930969238217E-2</v>
      </c>
      <c r="BL31" s="84">
        <f t="shared" si="29"/>
        <v>6.3238204101248048</v>
      </c>
      <c r="BM31" s="318">
        <f>IF(AND(ISNUMBER(Laboratorio!V33),ISNUMBER(Courier!X41)),Laboratorio!V33," ")</f>
        <v>26.018999999999998</v>
      </c>
      <c r="BN31">
        <f>IF(AND(ISNUMBER(Laboratorio!V33),ISNUMBER(Courier!X41)),Courier!X41," ")</f>
        <v>24.94134521484375</v>
      </c>
      <c r="BO31">
        <f t="shared" si="30"/>
        <v>1.0776547851562484</v>
      </c>
      <c r="BP31" s="317">
        <f t="shared" si="31"/>
        <v>4.1417993971953129</v>
      </c>
      <c r="BQ31">
        <f>IF(AND(ISNUMBER(Laboratorio!X33),ISNUMBER(Courier!Z41)),Laboratorio!X33," ")</f>
        <v>2.3180000000000001</v>
      </c>
      <c r="BR31">
        <f>IF(AND(ISNUMBER(Laboratorio!X33),ISNUMBER(Courier!Z41)),Courier!Z41," ")</f>
        <v>2.7876472473144531</v>
      </c>
      <c r="BS31">
        <f t="shared" si="32"/>
        <v>-0.46964724731445306</v>
      </c>
      <c r="BT31" s="317">
        <f t="shared" si="33"/>
        <v>20.260882110200736</v>
      </c>
      <c r="BU31">
        <f>IF(AND(ISNUMBER(Laboratorio!Z33),ISNUMBER(Courier!AB41)),Laboratorio!Z33," ")</f>
        <v>26.53</v>
      </c>
      <c r="BV31">
        <f>IF(AND(ISNUMBER(Laboratorio!Z33),ISNUMBER(Courier!AB41)),Courier!AB41," ")</f>
        <v>26.521215438842773</v>
      </c>
      <c r="BW31">
        <f t="shared" si="34"/>
        <v>8.7845611572276994E-3</v>
      </c>
      <c r="BX31" s="317">
        <f t="shared" si="35"/>
        <v>3.3111802326527329E-2</v>
      </c>
    </row>
    <row r="32" spans="3:76" x14ac:dyDescent="0.2">
      <c r="C32" s="320">
        <f>IF(AND(ISNUMBER(Laboratorio!E34),ISNUMBER(Courier!E42)),Laboratorio!E34,"")</f>
        <v>0.48299999999999998</v>
      </c>
      <c r="D32" s="157">
        <f>IF(AND(ISNUMBER(Laboratorio!E34),ISNUMBER(Courier!E42)),Courier!E42,"")</f>
        <v>0.52187442779541016</v>
      </c>
      <c r="E32" s="157">
        <f t="shared" si="36"/>
        <v>-3.8874427795410171E-2</v>
      </c>
      <c r="F32" s="321">
        <f t="shared" si="37"/>
        <v>8.0485357754472417</v>
      </c>
      <c r="G32" s="320">
        <f>IF(AND(ISNUMBER(Laboratorio!G34),ISNUMBER(Courier!G42)),Laboratorio!G34," ")</f>
        <v>5.7000000000000002E-2</v>
      </c>
      <c r="H32" s="157">
        <f>IF(AND(ISNUMBER(Laboratorio!G34),ISNUMBER(Courier!G42)),Courier!G42," ")</f>
        <v>4.7902833670377731E-2</v>
      </c>
      <c r="I32" s="157">
        <f t="shared" si="38"/>
        <v>9.0971663296222707E-3</v>
      </c>
      <c r="J32" s="321">
        <f t="shared" si="39"/>
        <v>15.959940929161878</v>
      </c>
      <c r="K32" s="157">
        <f>IF(AND(ISNUMBER(Laboratorio!I34),ISNUMBER(Courier!I42)),Laboratorio!I34," ")</f>
        <v>1.966</v>
      </c>
      <c r="L32" s="157">
        <f>IF(AND(ISNUMBER(Laboratorio!I34),ISNUMBER(Courier!I42)),Courier!I42," ")</f>
        <v>2.0212831497192383</v>
      </c>
      <c r="M32" s="157">
        <f t="shared" si="40"/>
        <v>-5.5283149719238311E-2</v>
      </c>
      <c r="N32" s="321">
        <f t="shared" si="41"/>
        <v>2.8119608199002193</v>
      </c>
      <c r="O32" s="320">
        <f>IF(AND(ISNUMBER(Laboratorio!O34),ISNUMBER(Courier!O42)),Laboratorio!O34," ")</f>
        <v>4.4999999999999998E-2</v>
      </c>
      <c r="P32" s="156">
        <f>IF(AND(ISNUMBER(Laboratorio!O34),ISNUMBER(Courier!O42)),Courier!O42," ")</f>
        <v>6.17174431681633E-2</v>
      </c>
      <c r="Q32" s="157">
        <f t="shared" si="42"/>
        <v>-1.6717443168163301E-2</v>
      </c>
      <c r="R32" s="321">
        <f t="shared" si="43"/>
        <v>37.149873707029556</v>
      </c>
      <c r="S32" s="156">
        <f>IF(AND(ISNUMBER(Laboratorio!Q34),ISNUMBER(Courier!Q42)),Laboratorio!Q34," ")</f>
        <v>1.2E-2</v>
      </c>
      <c r="T32" s="157">
        <v>5.2227340638637543E-3</v>
      </c>
      <c r="U32" s="157">
        <f t="shared" si="44"/>
        <v>6.777265936136246E-3</v>
      </c>
      <c r="V32" s="157">
        <f t="shared" si="45"/>
        <v>56.477216134468712</v>
      </c>
      <c r="W32" s="320">
        <f>IF(AND(ISNUMBER(Laboratorio!S34),ISNUMBER(Courier!S42)),Laboratorio!S34,"")</f>
        <v>1.2390000000000001</v>
      </c>
      <c r="X32" s="157">
        <f>IF(AND(ISNUMBER(Laboratorio!S34),ISNUMBER(Courier!S42)),Courier!S42,"")</f>
        <v>1.4547910690307617</v>
      </c>
      <c r="Y32" s="157">
        <f t="shared" si="46"/>
        <v>-0.21579106903076162</v>
      </c>
      <c r="Z32" s="157">
        <f t="shared" si="47"/>
        <v>17.416551172781407</v>
      </c>
      <c r="AA32" s="320">
        <f>IF(AND(ISNUMBER(Laboratorio!U34),ISNUMBER(Courier!W42)),Laboratorio!U34," ")</f>
        <v>28.291</v>
      </c>
      <c r="AB32" s="157">
        <f>IF(AND(ISNUMBER(Laboratorio!U34),ISNUMBER(Courier!W42)),Courier!W42," ")</f>
        <v>27.135526657104492</v>
      </c>
      <c r="AC32" s="157">
        <f t="shared" si="48"/>
        <v>1.1554733428955082</v>
      </c>
      <c r="AD32" s="321">
        <f t="shared" si="49"/>
        <v>4.0842435505832535</v>
      </c>
      <c r="AE32" s="157">
        <f>IF(AND(ISNUMBER(Laboratorio!W34),ISNUMBER(Courier!Y42)),Laboratorio!W34," ")</f>
        <v>2.9260000000000002</v>
      </c>
      <c r="AF32" s="157">
        <f>IF(AND(ISNUMBER(Laboratorio!W34),ISNUMBER(Courier!Y42)),Courier!Y42," ")</f>
        <v>2.0547170639038086</v>
      </c>
      <c r="AG32" s="157">
        <f t="shared" si="50"/>
        <v>0.87128293609619156</v>
      </c>
      <c r="AH32" s="321">
        <f t="shared" si="51"/>
        <v>29.777270543273804</v>
      </c>
      <c r="AI32" s="157">
        <f>IF(AND(ISNUMBER(Laboratorio!Y34),ISNUMBER(Courier!AA42)),Laboratorio!Y34," ")</f>
        <v>29.51</v>
      </c>
      <c r="AJ32" s="157">
        <f>IF(AND(ISNUMBER(Laboratorio!Y34),ISNUMBER(Courier!AA42)),Courier!AA42," ")</f>
        <v>28.496423721313477</v>
      </c>
      <c r="AK32" s="157">
        <f t="shared" si="52"/>
        <v>1.013576278686525</v>
      </c>
      <c r="AL32" s="321">
        <f t="shared" si="53"/>
        <v>3.4346874913131984</v>
      </c>
      <c r="AM32" s="314"/>
      <c r="AN32" s="331"/>
      <c r="AO32" s="320">
        <f>IF(AND(ISNUMBER(Laboratorio!F34),ISNUMBER(Courier!F42)),Laboratorio!F34," ")</f>
        <v>0.46600000000000003</v>
      </c>
      <c r="AP32" s="157">
        <f>IF(AND(ISNUMBER(Laboratorio!F34),ISNUMBER(Courier!F42)),Courier!F42," ")</f>
        <v>4.8636035919189453</v>
      </c>
      <c r="AQ32" s="84">
        <f t="shared" si="18"/>
        <v>-4.3976035919189451</v>
      </c>
      <c r="AR32" s="319">
        <f t="shared" si="19"/>
        <v>943.69175792252042</v>
      </c>
      <c r="AS32" s="84">
        <f>IF(AND(ISNUMBER(Laboratorio!H34),ISNUMBER(Courier!H42)),Laboratorio!H34," ")</f>
        <v>3.6999999999999998E-2</v>
      </c>
      <c r="AT32" s="84">
        <f>IF(AND(ISNUMBER(Laboratorio!H34),ISNUMBER(Courier!H42)),Courier!H42," ")</f>
        <v>0.10000000149011612</v>
      </c>
      <c r="AU32" s="84">
        <f t="shared" si="20"/>
        <v>-6.3000001490116114E-2</v>
      </c>
      <c r="AV32" s="319">
        <f t="shared" si="21"/>
        <v>170.27027429761114</v>
      </c>
      <c r="AW32" s="84">
        <f>IF(AND(ISNUMBER(Laboratorio!J34),ISNUMBER(Courier!J42)),Laboratorio!J34," ")</f>
        <v>1.8859999999999999</v>
      </c>
      <c r="AX32" s="84">
        <f>IF(AND(ISNUMBER(Laboratorio!J34),ISNUMBER(Courier!J42)),Courier!J42," ")</f>
        <v>3.2616772651672363</v>
      </c>
      <c r="AY32" s="84">
        <f t="shared" si="22"/>
        <v>-1.3756772651672364</v>
      </c>
      <c r="AZ32" s="319">
        <f t="shared" si="23"/>
        <v>72.941530496672129</v>
      </c>
      <c r="BA32" s="84">
        <f>IF(AND(ISNUMBER(Laboratorio!P34),ISNUMBER(Courier!P42)),Laboratorio!P34," ")</f>
        <v>6.3E-2</v>
      </c>
      <c r="BB32" s="84">
        <f>IF(AND(ISNUMBER(Laboratorio!P34),ISNUMBER(Courier!P42)),Courier!P42," ")</f>
        <v>6.17174431681633E-2</v>
      </c>
      <c r="BC32" s="84">
        <f t="shared" si="24"/>
        <v>1.2825568318367009E-3</v>
      </c>
      <c r="BD32" s="319">
        <f t="shared" si="25"/>
        <v>2.03580449497889</v>
      </c>
      <c r="BE32" s="84">
        <f>IF(AND(ISNUMBER(Laboratorio!R34),ISNUMBER(Courier!R42)),Laboratorio!R34," ")</f>
        <v>1.0999999999999999E-2</v>
      </c>
      <c r="BF32" s="84">
        <f>IF(AND(ISNUMBER(Laboratorio!R34),ISNUMBER(Courier!R42)),Courier!R42," ")</f>
        <v>1.0092724114656448E-2</v>
      </c>
      <c r="BG32" s="84">
        <f t="shared" si="26"/>
        <v>9.07275885343551E-4</v>
      </c>
      <c r="BH32" s="319">
        <f t="shared" si="27"/>
        <v>8.2479625940322823</v>
      </c>
      <c r="BI32" s="84">
        <f>IF(AND(ISNUMBER(Laboratorio!T34),ISNUMBER(Courier!T42)),Laboratorio!T34," ")</f>
        <v>1.5840000000000001</v>
      </c>
      <c r="BJ32" s="84">
        <f>IF(AND(ISNUMBER(Laboratorio!T34),ISNUMBER(Courier!T42)),Courier!T42," ")</f>
        <v>1.4547910690307617</v>
      </c>
      <c r="BK32" s="84">
        <f t="shared" si="28"/>
        <v>0.12920893096923836</v>
      </c>
      <c r="BL32" s="84">
        <f t="shared" si="29"/>
        <v>8.157129480381208</v>
      </c>
      <c r="BM32" s="318">
        <f>IF(AND(ISNUMBER(Laboratorio!V34),ISNUMBER(Courier!X42)),Laboratorio!V34," ")</f>
        <v>26.468</v>
      </c>
      <c r="BN32">
        <f>IF(AND(ISNUMBER(Laboratorio!V34),ISNUMBER(Courier!X42)),Courier!X42," ")</f>
        <v>26.558300018310547</v>
      </c>
      <c r="BO32">
        <f t="shared" si="30"/>
        <v>-9.0300018310546903E-2</v>
      </c>
      <c r="BP32" s="317">
        <f t="shared" si="31"/>
        <v>0.34116676103425608</v>
      </c>
      <c r="BQ32">
        <f>IF(AND(ISNUMBER(Laboratorio!X34),ISNUMBER(Courier!Z42)),Laboratorio!X34," ")</f>
        <v>2.081</v>
      </c>
      <c r="BR32">
        <f>IF(AND(ISNUMBER(Laboratorio!X34),ISNUMBER(Courier!Z42)),Courier!Z42," ")</f>
        <v>1.9102345705032349</v>
      </c>
      <c r="BS32">
        <f t="shared" si="32"/>
        <v>0.1707654294967651</v>
      </c>
      <c r="BT32" s="317">
        <f t="shared" si="33"/>
        <v>8.2059312588546423</v>
      </c>
      <c r="BU32">
        <f>IF(AND(ISNUMBER(Laboratorio!Z34),ISNUMBER(Courier!AB42)),Laboratorio!Z34," ")</f>
        <v>29.45</v>
      </c>
      <c r="BV32">
        <f>IF(AND(ISNUMBER(Laboratorio!Z34),ISNUMBER(Courier!AB42)),Courier!AB42," ")</f>
        <v>27.689056396484375</v>
      </c>
      <c r="BW32">
        <f t="shared" si="34"/>
        <v>1.7609436035156243</v>
      </c>
      <c r="BX32" s="317">
        <f t="shared" si="35"/>
        <v>5.9794349864707108</v>
      </c>
    </row>
    <row r="33" spans="2:76" x14ac:dyDescent="0.2">
      <c r="C33" s="320">
        <f>IF(AND(ISNUMBER(Laboratorio!E35),ISNUMBER(Courier!E43)),Laboratorio!E35,"")</f>
        <v>0.42899999999999999</v>
      </c>
      <c r="D33" s="157">
        <f>IF(AND(ISNUMBER(Laboratorio!E35),ISNUMBER(Courier!E43)),Courier!E43,"")</f>
        <v>0.40904650092124939</v>
      </c>
      <c r="E33" s="157">
        <f t="shared" si="36"/>
        <v>1.9953499078750603E-2</v>
      </c>
      <c r="F33" s="321">
        <f t="shared" si="37"/>
        <v>4.6511652864220521</v>
      </c>
      <c r="G33" s="320">
        <f>IF(AND(ISNUMBER(Laboratorio!G35),ISNUMBER(Courier!G43)),Laboratorio!G35," ")</f>
        <v>5.2999999999999999E-2</v>
      </c>
      <c r="H33" s="157">
        <f>IF(AND(ISNUMBER(Laboratorio!G35),ISNUMBER(Courier!G43)),Courier!G43," ")</f>
        <v>4.8910781741142273E-2</v>
      </c>
      <c r="I33" s="157">
        <f t="shared" si="38"/>
        <v>4.0892182588577256E-3</v>
      </c>
      <c r="J33" s="321">
        <f t="shared" si="39"/>
        <v>7.7155061487881618</v>
      </c>
      <c r="K33" s="157">
        <f>IF(AND(ISNUMBER(Laboratorio!I35),ISNUMBER(Courier!I43)),Laboratorio!I35," ")</f>
        <v>1.944</v>
      </c>
      <c r="L33" s="157">
        <f>IF(AND(ISNUMBER(Laboratorio!I35),ISNUMBER(Courier!I43)),Courier!I43," ")</f>
        <v>1.668205738067627</v>
      </c>
      <c r="M33" s="157">
        <f t="shared" si="40"/>
        <v>0.275794261932373</v>
      </c>
      <c r="N33" s="321">
        <f t="shared" si="41"/>
        <v>14.186947630266101</v>
      </c>
      <c r="O33" s="320">
        <f>IF(AND(ISNUMBER(Laboratorio!O35),ISNUMBER(Courier!O43)),Laboratorio!O35," ")</f>
        <v>5.2999999999999999E-2</v>
      </c>
      <c r="P33" s="156">
        <f>IF(AND(ISNUMBER(Laboratorio!O35),ISNUMBER(Courier!O43)),Courier!O43," ")</f>
        <v>6.17174431681633E-2</v>
      </c>
      <c r="Q33" s="157">
        <f t="shared" si="42"/>
        <v>-8.7174431681633011E-3</v>
      </c>
      <c r="R33" s="321">
        <f t="shared" si="43"/>
        <v>16.448005977666604</v>
      </c>
      <c r="S33" s="156">
        <f>IF(AND(ISNUMBER(Laboratorio!Q35),ISNUMBER(Courier!Q43)),Laboratorio!Q35," ")</f>
        <v>1.7000000000000001E-2</v>
      </c>
      <c r="T33" s="157">
        <v>4.0429639630019665E-3</v>
      </c>
      <c r="U33" s="157">
        <f t="shared" si="44"/>
        <v>1.2957036036998035E-2</v>
      </c>
      <c r="V33" s="157">
        <f t="shared" si="45"/>
        <v>76.2178590411649</v>
      </c>
      <c r="W33" s="320">
        <f>IF(AND(ISNUMBER(Laboratorio!S35),ISNUMBER(Courier!S43)),Laboratorio!S35,"")</f>
        <v>1.6919999999999999</v>
      </c>
      <c r="X33" s="157">
        <f>IF(AND(ISNUMBER(Laboratorio!S35),ISNUMBER(Courier!S43)),Courier!S43,"")</f>
        <v>1.4547910690307617</v>
      </c>
      <c r="Y33" s="157">
        <f t="shared" si="46"/>
        <v>0.23720893096923823</v>
      </c>
      <c r="Z33" s="157">
        <f t="shared" si="47"/>
        <v>14.019440364612191</v>
      </c>
      <c r="AA33" s="320">
        <f>IF(AND(ISNUMBER(Laboratorio!U35),ISNUMBER(Courier!W43)),Laboratorio!U35," ")</f>
        <v>24.695</v>
      </c>
      <c r="AB33" s="157">
        <f>IF(AND(ISNUMBER(Laboratorio!U35),ISNUMBER(Courier!W43)),Courier!W43," ")</f>
        <v>25.224943161010742</v>
      </c>
      <c r="AC33" s="157">
        <f t="shared" si="48"/>
        <v>-0.5299431610107419</v>
      </c>
      <c r="AD33" s="321">
        <f t="shared" si="49"/>
        <v>2.145953273985592</v>
      </c>
      <c r="AE33" s="157">
        <f>IF(AND(ISNUMBER(Laboratorio!W35),ISNUMBER(Courier!Y43)),Laboratorio!W35," ")</f>
        <v>2.645</v>
      </c>
      <c r="AF33" s="157">
        <f>IF(AND(ISNUMBER(Laboratorio!W35),ISNUMBER(Courier!Y43)),Courier!Y43," ")</f>
        <v>1.9583030939102173</v>
      </c>
      <c r="AG33" s="157">
        <f t="shared" si="50"/>
        <v>0.68669690608978273</v>
      </c>
      <c r="AH33" s="321">
        <f t="shared" si="51"/>
        <v>25.962075844604261</v>
      </c>
      <c r="AI33" s="157">
        <f>IF(AND(ISNUMBER(Laboratorio!Y35),ISNUMBER(Courier!AA43)),Laboratorio!Y35," ")</f>
        <v>28.29</v>
      </c>
      <c r="AJ33" s="157">
        <f>IF(AND(ISNUMBER(Laboratorio!Y35),ISNUMBER(Courier!AA43)),Courier!AA43," ")</f>
        <v>27.300628662109375</v>
      </c>
      <c r="AK33" s="157">
        <f t="shared" si="52"/>
        <v>0.98937133789062415</v>
      </c>
      <c r="AL33" s="321">
        <f t="shared" si="53"/>
        <v>3.4972475711934403</v>
      </c>
      <c r="AM33" s="314"/>
      <c r="AN33" s="331"/>
      <c r="AO33" s="320">
        <f>IF(AND(ISNUMBER(Laboratorio!F35),ISNUMBER(Courier!F43)),Laboratorio!F35," ")</f>
        <v>0.443</v>
      </c>
      <c r="AP33" s="157">
        <f>IF(AND(ISNUMBER(Laboratorio!F35),ISNUMBER(Courier!F43)),Courier!F43," ")</f>
        <v>0.41063079237937927</v>
      </c>
      <c r="AQ33" s="84">
        <f t="shared" si="18"/>
        <v>3.2369207620620732E-2</v>
      </c>
      <c r="AR33" s="319">
        <f t="shared" si="19"/>
        <v>7.3068188759866217</v>
      </c>
      <c r="AS33" s="84">
        <f>IF(AND(ISNUMBER(Laboratorio!H35),ISNUMBER(Courier!H43)),Laboratorio!H35," ")</f>
        <v>4.4999999999999998E-2</v>
      </c>
      <c r="AT33" s="84">
        <f>IF(AND(ISNUMBER(Laboratorio!H35),ISNUMBER(Courier!H43)),Courier!H43," ")</f>
        <v>4.5976787805557251E-2</v>
      </c>
      <c r="AU33" s="84">
        <f t="shared" si="20"/>
        <v>-9.7678780555725264E-4</v>
      </c>
      <c r="AV33" s="319">
        <f t="shared" si="21"/>
        <v>2.1706395679050061</v>
      </c>
      <c r="AW33" s="84">
        <f>IF(AND(ISNUMBER(Laboratorio!J35),ISNUMBER(Courier!J43)),Laboratorio!J35," ")</f>
        <v>1.909</v>
      </c>
      <c r="AX33" s="84">
        <f>IF(AND(ISNUMBER(Laboratorio!J35),ISNUMBER(Courier!J43)),Courier!J43," ")</f>
        <v>1.7673033475875854</v>
      </c>
      <c r="AY33" s="84">
        <f t="shared" si="22"/>
        <v>0.14169665241241458</v>
      </c>
      <c r="AZ33" s="319">
        <f t="shared" si="23"/>
        <v>7.4225590577482752</v>
      </c>
      <c r="BA33" s="84">
        <f>IF(AND(ISNUMBER(Laboratorio!P35),ISNUMBER(Courier!P43)),Laboratorio!P35," ")</f>
        <v>6.2E-2</v>
      </c>
      <c r="BB33" s="84">
        <f>IF(AND(ISNUMBER(Laboratorio!P35),ISNUMBER(Courier!P43)),Courier!P43," ")</f>
        <v>6.17174431681633E-2</v>
      </c>
      <c r="BC33" s="84">
        <f t="shared" si="24"/>
        <v>2.825568318367E-4</v>
      </c>
      <c r="BD33" s="319">
        <f t="shared" si="25"/>
        <v>0.45573682554306455</v>
      </c>
      <c r="BE33" s="84">
        <f>IF(AND(ISNUMBER(Laboratorio!R35),ISNUMBER(Courier!R43)),Laboratorio!R35," ")</f>
        <v>1.4E-2</v>
      </c>
      <c r="BF33" s="84">
        <f>IF(AND(ISNUMBER(Laboratorio!R35),ISNUMBER(Courier!R43)),Courier!R43," ")</f>
        <v>1.0092724114656448E-2</v>
      </c>
      <c r="BG33" s="84">
        <f t="shared" si="26"/>
        <v>3.9072758853435519E-3</v>
      </c>
      <c r="BH33" s="319">
        <f t="shared" si="27"/>
        <v>27.909113466739655</v>
      </c>
      <c r="BI33" s="84">
        <f>IF(AND(ISNUMBER(Laboratorio!T35),ISNUMBER(Courier!T43)),Laboratorio!T35," ")</f>
        <v>1.3879999999999999</v>
      </c>
      <c r="BJ33" s="84">
        <f>IF(AND(ISNUMBER(Laboratorio!T35),ISNUMBER(Courier!T43)),Courier!T43," ")</f>
        <v>1.4547910690307617</v>
      </c>
      <c r="BK33" s="84">
        <f t="shared" si="28"/>
        <v>-6.6791069030761818E-2</v>
      </c>
      <c r="BL33" s="84">
        <f t="shared" si="29"/>
        <v>4.812036673686011</v>
      </c>
      <c r="BM33" s="318">
        <f>IF(AND(ISNUMBER(Laboratorio!V35),ISNUMBER(Courier!X43)),Laboratorio!V35," ")</f>
        <v>25.768999999999998</v>
      </c>
      <c r="BN33">
        <f>IF(AND(ISNUMBER(Laboratorio!V35),ISNUMBER(Courier!X43)),Courier!X43," ")</f>
        <v>24.710926055908203</v>
      </c>
      <c r="BO33">
        <f t="shared" si="30"/>
        <v>1.0580739440917952</v>
      </c>
      <c r="BP33" s="317">
        <f t="shared" si="31"/>
        <v>4.1059953591206302</v>
      </c>
      <c r="BQ33">
        <f>IF(AND(ISNUMBER(Laboratorio!X35),ISNUMBER(Courier!Z43)),Laboratorio!X35," ")</f>
        <v>2.6469999999999998</v>
      </c>
      <c r="BR33">
        <f>IF(AND(ISNUMBER(Laboratorio!X35),ISNUMBER(Courier!Z43)),Courier!Z43," ")</f>
        <v>2.5906531810760498</v>
      </c>
      <c r="BS33">
        <f t="shared" si="32"/>
        <v>5.6346818923949993E-2</v>
      </c>
      <c r="BT33" s="317">
        <f t="shared" si="33"/>
        <v>2.1287049083471854</v>
      </c>
      <c r="BU33">
        <f>IF(AND(ISNUMBER(Laboratorio!Z35),ISNUMBER(Courier!AB43)),Laboratorio!Z35," ")</f>
        <v>27.84</v>
      </c>
      <c r="BV33">
        <f>IF(AND(ISNUMBER(Laboratorio!Z35),ISNUMBER(Courier!AB43)),Courier!AB43," ")</f>
        <v>27.345563888549805</v>
      </c>
      <c r="BW33">
        <f t="shared" si="34"/>
        <v>0.49443611145019517</v>
      </c>
      <c r="BX33" s="317">
        <f t="shared" si="35"/>
        <v>1.7759917796343216</v>
      </c>
    </row>
    <row r="34" spans="2:76" x14ac:dyDescent="0.2">
      <c r="C34" s="320">
        <f>IF(AND(ISNUMBER(Laboratorio!E36),ISNUMBER(Courier!E44)),Laboratorio!E36,"")</f>
        <v>0.40300000000000002</v>
      </c>
      <c r="D34" s="157">
        <f>IF(AND(ISNUMBER(Laboratorio!E36),ISNUMBER(Courier!E44)),Courier!E44,"")</f>
        <v>0.4107077419757843</v>
      </c>
      <c r="E34" s="157">
        <f t="shared" si="36"/>
        <v>-7.7077419757842769E-3</v>
      </c>
      <c r="F34" s="321">
        <f t="shared" si="37"/>
        <v>1.9125910609886543</v>
      </c>
      <c r="G34" s="320">
        <f>IF(AND(ISNUMBER(Laboratorio!G36),ISNUMBER(Courier!G44)),Laboratorio!G36," ")</f>
        <v>5.7000000000000002E-2</v>
      </c>
      <c r="H34" s="157">
        <f>IF(AND(ISNUMBER(Laboratorio!G36),ISNUMBER(Courier!G44)),Courier!G44," ")</f>
        <v>5.1853619515895844E-2</v>
      </c>
      <c r="I34" s="157">
        <f t="shared" si="38"/>
        <v>5.1463804841041585E-3</v>
      </c>
      <c r="J34" s="321">
        <f t="shared" si="39"/>
        <v>9.0287376914108037</v>
      </c>
      <c r="K34" s="157">
        <f>IF(AND(ISNUMBER(Laboratorio!I36),ISNUMBER(Courier!I44)),Laboratorio!I36," ")</f>
        <v>1.875</v>
      </c>
      <c r="L34" s="157">
        <f>IF(AND(ISNUMBER(Laboratorio!I36),ISNUMBER(Courier!I44)),Courier!I44," ")</f>
        <v>1.668297290802002</v>
      </c>
      <c r="M34" s="157">
        <f t="shared" si="40"/>
        <v>0.20670270919799805</v>
      </c>
      <c r="N34" s="321">
        <f t="shared" si="41"/>
        <v>11.024144490559896</v>
      </c>
      <c r="O34" s="320">
        <f>IF(AND(ISNUMBER(Laboratorio!O36),ISNUMBER(Courier!O44)),Laboratorio!O36," ")</f>
        <v>5.1999999999999998E-2</v>
      </c>
      <c r="P34" s="156">
        <f>IF(AND(ISNUMBER(Laboratorio!O36),ISNUMBER(Courier!O44)),Courier!O44," ")</f>
        <v>6.17174431681633E-2</v>
      </c>
      <c r="Q34" s="157">
        <f t="shared" si="42"/>
        <v>-9.7174431681633019E-3</v>
      </c>
      <c r="R34" s="321">
        <f t="shared" si="43"/>
        <v>18.687390708006351</v>
      </c>
      <c r="S34" s="156">
        <f>IF(AND(ISNUMBER(Laboratorio!Q36),ISNUMBER(Courier!Q44)),Laboratorio!Q36," ")</f>
        <v>1.4E-2</v>
      </c>
      <c r="T34" s="157">
        <v>4.5375577174127102E-3</v>
      </c>
      <c r="U34" s="157">
        <f t="shared" si="44"/>
        <v>9.4624422825872901E-3</v>
      </c>
      <c r="V34" s="157">
        <f t="shared" si="45"/>
        <v>67.588873447052066</v>
      </c>
      <c r="W34" s="320">
        <f>IF(AND(ISNUMBER(Laboratorio!S36),ISNUMBER(Courier!S44)),Laboratorio!S36,"")</f>
        <v>1.609</v>
      </c>
      <c r="X34" s="157">
        <f>IF(AND(ISNUMBER(Laboratorio!S36),ISNUMBER(Courier!S44)),Courier!S44,"")</f>
        <v>1.4547910690307617</v>
      </c>
      <c r="Y34" s="157">
        <f t="shared" si="46"/>
        <v>0.15420893096923827</v>
      </c>
      <c r="Z34" s="157">
        <f t="shared" si="47"/>
        <v>9.5841473566959774</v>
      </c>
      <c r="AA34" s="320">
        <f>IF(AND(ISNUMBER(Laboratorio!U36),ISNUMBER(Courier!W44)),Laboratorio!U36," ")</f>
        <v>24.577000000000002</v>
      </c>
      <c r="AB34" s="157">
        <f>IF(AND(ISNUMBER(Laboratorio!U36),ISNUMBER(Courier!W44)),Courier!W44," ")</f>
        <v>23.989170074462891</v>
      </c>
      <c r="AC34" s="157">
        <f t="shared" si="48"/>
        <v>0.58782992553711111</v>
      </c>
      <c r="AD34" s="321">
        <f t="shared" si="49"/>
        <v>2.3917887681047771</v>
      </c>
      <c r="AE34" s="157">
        <f>IF(AND(ISNUMBER(Laboratorio!W36),ISNUMBER(Courier!Y44)),Laboratorio!W36," ")</f>
        <v>3.649</v>
      </c>
      <c r="AF34" s="157">
        <f>IF(AND(ISNUMBER(Laboratorio!W36),ISNUMBER(Courier!Y44)),Courier!Y44," ")</f>
        <v>3.0815331935882568</v>
      </c>
      <c r="AG34" s="157">
        <f t="shared" si="50"/>
        <v>0.56746680641174319</v>
      </c>
      <c r="AH34" s="321">
        <f t="shared" si="51"/>
        <v>15.551296421259062</v>
      </c>
      <c r="AI34" s="157">
        <f>IF(AND(ISNUMBER(Laboratorio!Y36),ISNUMBER(Courier!AA44)),Laboratorio!Y36," ")</f>
        <v>28.66</v>
      </c>
      <c r="AJ34" s="157">
        <f>IF(AND(ISNUMBER(Laboratorio!Y36),ISNUMBER(Courier!AA44)),Courier!AA44," ")</f>
        <v>27.211479187011719</v>
      </c>
      <c r="AK34" s="157">
        <f t="shared" si="52"/>
        <v>1.4485208129882814</v>
      </c>
      <c r="AL34" s="321">
        <f t="shared" si="53"/>
        <v>5.0541549650672764</v>
      </c>
      <c r="AM34" s="314"/>
      <c r="AN34" s="331"/>
      <c r="AO34" s="320">
        <f>IF(AND(ISNUMBER(Laboratorio!F36),ISNUMBER(Courier!F44)),Laboratorio!F36," ")</f>
        <v>0.41899999999999998</v>
      </c>
      <c r="AP34" s="157">
        <f>IF(AND(ISNUMBER(Laboratorio!F36),ISNUMBER(Courier!F44)),Courier!F44," ")</f>
        <v>0.44501632452011108</v>
      </c>
      <c r="AQ34" s="84">
        <f t="shared" si="18"/>
        <v>-2.60163245201111E-2</v>
      </c>
      <c r="AR34" s="319">
        <f t="shared" si="19"/>
        <v>6.2091466635110022</v>
      </c>
      <c r="AS34" s="84">
        <f>IF(AND(ISNUMBER(Laboratorio!H36),ISNUMBER(Courier!H44)),Laboratorio!H36," ")</f>
        <v>4.2000000000000003E-2</v>
      </c>
      <c r="AT34" s="84">
        <f>IF(AND(ISNUMBER(Laboratorio!H36),ISNUMBER(Courier!H44)),Courier!H44," ")</f>
        <v>3.6647330969572067E-2</v>
      </c>
      <c r="AU34" s="84">
        <f t="shared" si="20"/>
        <v>5.3526690304279353E-3</v>
      </c>
      <c r="AV34" s="319">
        <f t="shared" si="21"/>
        <v>12.744450072447464</v>
      </c>
      <c r="AW34" s="84">
        <f>IF(AND(ISNUMBER(Laboratorio!J36),ISNUMBER(Courier!J44)),Laboratorio!J36," ")</f>
        <v>2.2229999999999999</v>
      </c>
      <c r="AX34" s="84">
        <f>IF(AND(ISNUMBER(Laboratorio!J36),ISNUMBER(Courier!J44)),Courier!J44," ")</f>
        <v>2.0039591789245605</v>
      </c>
      <c r="AY34" s="84">
        <f t="shared" si="22"/>
        <v>0.21904082107543932</v>
      </c>
      <c r="AZ34" s="319">
        <f t="shared" si="23"/>
        <v>9.853388262502893</v>
      </c>
      <c r="BA34" s="84">
        <f>IF(AND(ISNUMBER(Laboratorio!P36),ISNUMBER(Courier!P44)),Laboratorio!P36," ")</f>
        <v>4.9000000000000002E-2</v>
      </c>
      <c r="BB34" s="84">
        <f>IF(AND(ISNUMBER(Laboratorio!P36),ISNUMBER(Courier!P44)),Courier!P44," ")</f>
        <v>4.5126523822546005E-2</v>
      </c>
      <c r="BC34" s="84">
        <f t="shared" si="24"/>
        <v>3.8734761774539966E-3</v>
      </c>
      <c r="BD34" s="319">
        <f t="shared" si="25"/>
        <v>7.9050534233755032</v>
      </c>
      <c r="BE34" s="84">
        <f>IF(AND(ISNUMBER(Laboratorio!R36),ISNUMBER(Courier!R44)),Laboratorio!R36," ")</f>
        <v>1.4999999999999999E-2</v>
      </c>
      <c r="BF34" s="84">
        <f>IF(AND(ISNUMBER(Laboratorio!R36),ISNUMBER(Courier!R44)),Courier!R44," ")</f>
        <v>1.0805998928844929E-2</v>
      </c>
      <c r="BG34" s="84">
        <f t="shared" si="26"/>
        <v>4.1940010711550707E-3</v>
      </c>
      <c r="BH34" s="319">
        <f t="shared" si="27"/>
        <v>27.960007141033806</v>
      </c>
      <c r="BI34" s="84">
        <f>IF(AND(ISNUMBER(Laboratorio!T36),ISNUMBER(Courier!T44)),Laboratorio!T36," ")</f>
        <v>1.895</v>
      </c>
      <c r="BJ34" s="84">
        <f>IF(AND(ISNUMBER(Laboratorio!T36),ISNUMBER(Courier!T44)),Courier!T44," ")</f>
        <v>1.4369500875473022</v>
      </c>
      <c r="BK34" s="84">
        <f t="shared" si="28"/>
        <v>0.45804991245269777</v>
      </c>
      <c r="BL34" s="84">
        <f t="shared" si="29"/>
        <v>24.171499337873232</v>
      </c>
      <c r="BM34" s="318">
        <f>IF(AND(ISNUMBER(Laboratorio!V36),ISNUMBER(Courier!X44)),Laboratorio!V36," ")</f>
        <v>24.97</v>
      </c>
      <c r="BN34">
        <f>IF(AND(ISNUMBER(Laboratorio!V36),ISNUMBER(Courier!X44)),Courier!X44," ")</f>
        <v>24.021186828613281</v>
      </c>
      <c r="BO34">
        <f t="shared" si="30"/>
        <v>0.94881317138671761</v>
      </c>
      <c r="BP34" s="317">
        <f t="shared" si="31"/>
        <v>3.7998124604994703</v>
      </c>
      <c r="BQ34">
        <f>IF(AND(ISNUMBER(Laboratorio!X36),ISNUMBER(Courier!Z44)),Laboratorio!X36," ")</f>
        <v>2.3460000000000001</v>
      </c>
      <c r="BR34">
        <f>IF(AND(ISNUMBER(Laboratorio!X36),ISNUMBER(Courier!Z44)),Courier!Z44," ")</f>
        <v>2.2631101608276367</v>
      </c>
      <c r="BS34">
        <f t="shared" si="32"/>
        <v>8.2889839172363367E-2</v>
      </c>
      <c r="BT34" s="317">
        <f t="shared" si="33"/>
        <v>3.533241226443451</v>
      </c>
      <c r="BU34">
        <f>IF(AND(ISNUMBER(Laboratorio!Z36),ISNUMBER(Courier!AB44)),Laboratorio!Z36," ")</f>
        <v>29.24</v>
      </c>
      <c r="BV34">
        <f>IF(AND(ISNUMBER(Laboratorio!Z36),ISNUMBER(Courier!AB44)),Courier!AB44," ")</f>
        <v>27.497737884521484</v>
      </c>
      <c r="BW34">
        <f t="shared" si="34"/>
        <v>1.7422621154785141</v>
      </c>
      <c r="BX34" s="317">
        <f t="shared" si="35"/>
        <v>5.958488767026382</v>
      </c>
    </row>
    <row r="35" spans="2:76" x14ac:dyDescent="0.2">
      <c r="C35" s="313">
        <f>IF(AND(ISNUMBER(Laboratorio!E37),ISNUMBER(Courier!E45)),Laboratorio!E37,"")</f>
        <v>0.47</v>
      </c>
      <c r="D35" s="312">
        <f>IF(AND(ISNUMBER(Laboratorio!E37),ISNUMBER(Courier!E45)),Courier!E45,"")</f>
        <v>0.4757004976272583</v>
      </c>
      <c r="E35" s="157">
        <f t="shared" si="36"/>
        <v>-5.7004976272583274E-3</v>
      </c>
      <c r="F35" s="157">
        <f t="shared" si="37"/>
        <v>1.2128718355868782</v>
      </c>
      <c r="G35" s="313">
        <f>IF(AND(ISNUMBER(Laboratorio!G37),ISNUMBER(Courier!G45)),Laboratorio!G37," ")</f>
        <v>3.4000000000000002E-2</v>
      </c>
      <c r="H35" s="312">
        <f>IF(AND(ISNUMBER(Laboratorio!G37),ISNUMBER(Courier!G45)),Courier!G45," ")</f>
        <v>2.761489525437355E-2</v>
      </c>
      <c r="I35" s="316">
        <f t="shared" si="38"/>
        <v>6.385104745626452E-3</v>
      </c>
      <c r="J35" s="315">
        <f t="shared" si="39"/>
        <v>18.779719840077799</v>
      </c>
      <c r="K35" s="312">
        <f>IF(AND(ISNUMBER(Laboratorio!I37),ISNUMBER(Courier!I45)),Laboratorio!I37," ")</f>
        <v>1.8620000000000001</v>
      </c>
      <c r="L35" s="312">
        <f>IF(AND(ISNUMBER(Laboratorio!I37),ISNUMBER(Courier!I45)),Courier!I45," ")</f>
        <v>1.8959189653396606</v>
      </c>
      <c r="M35" s="316">
        <f t="shared" si="40"/>
        <v>-3.3918965339660545E-2</v>
      </c>
      <c r="N35" s="315">
        <f t="shared" si="41"/>
        <v>1.8216415327422419</v>
      </c>
      <c r="O35" s="313">
        <f>IF(AND(ISNUMBER(Laboratorio!O37),ISNUMBER(Courier!O45)),Laboratorio!O37," ")</f>
        <v>5.8000000000000003E-2</v>
      </c>
      <c r="P35" s="332">
        <f>IF(AND(ISNUMBER(Laboratorio!O37),ISNUMBER(Courier!O45)),Courier!O45," ")</f>
        <v>4.7551747411489487E-2</v>
      </c>
      <c r="Q35" s="316">
        <f t="shared" si="42"/>
        <v>1.0448252588510516E-2</v>
      </c>
      <c r="R35" s="315">
        <f t="shared" si="43"/>
        <v>18.014228600880202</v>
      </c>
      <c r="S35" s="332">
        <f>IF(AND(ISNUMBER(Laboratorio!Q37),ISNUMBER(Courier!Q45)),Laboratorio!Q37," ")</f>
        <v>7.0000000000000001E-3</v>
      </c>
      <c r="T35" s="312">
        <v>3.4476479049772024E-3</v>
      </c>
      <c r="U35" s="316">
        <f t="shared" si="44"/>
        <v>3.5523520950227977E-3</v>
      </c>
      <c r="V35" s="316">
        <f t="shared" si="45"/>
        <v>50.747887071754249</v>
      </c>
      <c r="W35" s="313">
        <f>IF(AND(ISNUMBER(Laboratorio!S37),ISNUMBER(Courier!S45)),Laboratorio!S37,"")</f>
        <v>1.3420000000000001</v>
      </c>
      <c r="X35" s="312">
        <f>IF(AND(ISNUMBER(Laboratorio!S37),ISNUMBER(Courier!S45)),Courier!S45,"")</f>
        <v>1.1370348930358887</v>
      </c>
      <c r="Y35" s="316"/>
      <c r="Z35" s="316"/>
      <c r="AA35" s="313">
        <f>IF(AND(ISNUMBER(Laboratorio!U37),ISNUMBER(Courier!W45)),Laboratorio!U37," ")</f>
        <v>23.077999999999999</v>
      </c>
      <c r="AB35" s="312">
        <f>IF(AND(ISNUMBER(Laboratorio!U37),ISNUMBER(Courier!W45)),Courier!W45," ")</f>
        <v>22.85106086730957</v>
      </c>
      <c r="AC35" s="316">
        <f t="shared" si="48"/>
        <v>0.22693913269042909</v>
      </c>
      <c r="AD35" s="315">
        <f t="shared" si="49"/>
        <v>0.98335701833100408</v>
      </c>
      <c r="AE35" s="312">
        <f>IF(AND(ISNUMBER(Laboratorio!W37),ISNUMBER(Courier!Y45)),Laboratorio!W37," ")</f>
        <v>1.899</v>
      </c>
      <c r="AF35" s="312">
        <f>IF(AND(ISNUMBER(Laboratorio!W37),ISNUMBER(Courier!Y45)),Courier!Y45," ")</f>
        <v>1.6234313249588013</v>
      </c>
      <c r="AG35" s="316">
        <f t="shared" si="50"/>
        <v>0.27556867504119875</v>
      </c>
      <c r="AH35" s="315">
        <f t="shared" si="51"/>
        <v>14.511251976893035</v>
      </c>
      <c r="AI35" s="312">
        <f>IF(AND(ISNUMBER(Laboratorio!Y37),ISNUMBER(Courier!AA45)),Laboratorio!Y37," ")</f>
        <v>29.47</v>
      </c>
      <c r="AJ35" s="312">
        <f>IF(AND(ISNUMBER(Laboratorio!Y37),ISNUMBER(Courier!AA45)),Courier!AA45," ")</f>
        <v>28.092273712158203</v>
      </c>
      <c r="AK35" s="316">
        <f t="shared" si="52"/>
        <v>1.3777262878417957</v>
      </c>
      <c r="AL35" s="315">
        <f t="shared" si="53"/>
        <v>4.6750128532127437</v>
      </c>
      <c r="AM35" s="314"/>
      <c r="AN35" s="331"/>
      <c r="AO35" s="313" t="str">
        <f>IF(AND(ISNUMBER(Laboratorio!F37),ISNUMBER(Courier!F45)),Laboratorio!F37," ")</f>
        <v xml:space="preserve"> </v>
      </c>
      <c r="AP35" s="312" t="str">
        <f>IF(AND(ISNUMBER(Laboratorio!F37),ISNUMBER(Courier!F45)),Courier!F45," ")</f>
        <v xml:space="preserve"> </v>
      </c>
      <c r="AQ35" s="311" t="str">
        <f t="shared" si="18"/>
        <v xml:space="preserve"> </v>
      </c>
      <c r="AR35" s="310" t="str">
        <f t="shared" si="19"/>
        <v xml:space="preserve"> </v>
      </c>
      <c r="AS35" s="311" t="str">
        <f>IF(AND(ISNUMBER(Laboratorio!H37),ISNUMBER(Courier!H45)),Laboratorio!H37," ")</f>
        <v xml:space="preserve"> </v>
      </c>
      <c r="AT35" s="311" t="str">
        <f>IF(AND(ISNUMBER(Laboratorio!H37),ISNUMBER(Courier!H45)),Courier!H45," ")</f>
        <v xml:space="preserve"> </v>
      </c>
      <c r="AU35" s="311" t="str">
        <f t="shared" si="20"/>
        <v xml:space="preserve"> </v>
      </c>
      <c r="AV35" s="310" t="str">
        <f t="shared" si="21"/>
        <v xml:space="preserve"> </v>
      </c>
      <c r="AW35" s="311" t="str">
        <f>IF(AND(ISNUMBER(Laboratorio!J37),ISNUMBER(Courier!J45)),Laboratorio!J37," ")</f>
        <v xml:space="preserve"> </v>
      </c>
      <c r="AX35" s="311" t="str">
        <f>IF(AND(ISNUMBER(Laboratorio!J37),ISNUMBER(Courier!J45)),Courier!J45," ")</f>
        <v xml:space="preserve"> </v>
      </c>
      <c r="AY35" s="311" t="str">
        <f t="shared" si="22"/>
        <v xml:space="preserve"> </v>
      </c>
      <c r="AZ35" s="310" t="str">
        <f t="shared" si="23"/>
        <v xml:space="preserve"> </v>
      </c>
      <c r="BA35" s="311" t="str">
        <f>IF(AND(ISNUMBER(Laboratorio!P37),ISNUMBER(Courier!P45)),Laboratorio!P37," ")</f>
        <v xml:space="preserve"> </v>
      </c>
      <c r="BB35" s="311" t="str">
        <f>IF(AND(ISNUMBER(Laboratorio!P37),ISNUMBER(Courier!P45)),Courier!P45," ")</f>
        <v xml:space="preserve"> </v>
      </c>
      <c r="BC35" s="311" t="str">
        <f t="shared" si="24"/>
        <v xml:space="preserve"> </v>
      </c>
      <c r="BD35" s="310" t="str">
        <f t="shared" si="25"/>
        <v xml:space="preserve"> </v>
      </c>
      <c r="BE35" s="311" t="str">
        <f>IF(AND(ISNUMBER(Laboratorio!R37),ISNUMBER(Courier!R45)),Laboratorio!R37," ")</f>
        <v xml:space="preserve"> </v>
      </c>
      <c r="BF35" s="311" t="str">
        <f>IF(AND(ISNUMBER(Laboratorio!R37),ISNUMBER(Courier!R45)),Courier!R45," ")</f>
        <v xml:space="preserve"> </v>
      </c>
      <c r="BG35" s="311" t="str">
        <f t="shared" si="26"/>
        <v xml:space="preserve"> </v>
      </c>
      <c r="BH35" s="310" t="str">
        <f t="shared" si="27"/>
        <v xml:space="preserve"> </v>
      </c>
      <c r="BI35" s="311" t="str">
        <f>IF(AND(ISNUMBER(Laboratorio!T37),ISNUMBER(Courier!T45)),Laboratorio!T37," ")</f>
        <v xml:space="preserve"> </v>
      </c>
      <c r="BJ35" s="311" t="str">
        <f>IF(AND(ISNUMBER(Laboratorio!T37),ISNUMBER(Courier!T45)),Courier!T45," ")</f>
        <v xml:space="preserve"> </v>
      </c>
      <c r="BK35" s="311" t="str">
        <f t="shared" si="28"/>
        <v xml:space="preserve"> </v>
      </c>
      <c r="BL35" s="310" t="str">
        <f t="shared" si="29"/>
        <v xml:space="preserve"> </v>
      </c>
      <c r="BM35" s="309" t="str">
        <f>IF(AND(ISNUMBER(Laboratorio!V37),ISNUMBER(Courier!X45)),Laboratorio!V37," ")</f>
        <v xml:space="preserve"> </v>
      </c>
      <c r="BN35" s="308" t="str">
        <f>IF(AND(ISNUMBER(Laboratorio!V37),ISNUMBER(Courier!X45)),Courier!X45," ")</f>
        <v xml:space="preserve"> </v>
      </c>
      <c r="BO35" s="308" t="str">
        <f t="shared" si="30"/>
        <v xml:space="preserve"> </v>
      </c>
      <c r="BP35" s="307" t="str">
        <f t="shared" si="31"/>
        <v xml:space="preserve"> </v>
      </c>
      <c r="BQ35" s="308" t="str">
        <f>IF(AND(ISNUMBER(Laboratorio!X37),ISNUMBER(Courier!Z45)),Laboratorio!X37," ")</f>
        <v xml:space="preserve"> </v>
      </c>
      <c r="BR35" s="308" t="str">
        <f>IF(AND(ISNUMBER(Laboratorio!X37),ISNUMBER(Courier!Z45)),Courier!Z45," ")</f>
        <v xml:space="preserve"> </v>
      </c>
      <c r="BS35" s="308" t="str">
        <f t="shared" si="32"/>
        <v xml:space="preserve"> </v>
      </c>
      <c r="BT35" s="307" t="str">
        <f t="shared" si="33"/>
        <v xml:space="preserve"> </v>
      </c>
      <c r="BU35" s="308" t="str">
        <f>IF(AND(ISNUMBER(Laboratorio!Z37),ISNUMBER(Courier!AB45)),Laboratorio!Z37," ")</f>
        <v xml:space="preserve"> </v>
      </c>
      <c r="BV35" s="308" t="str">
        <f>IF(AND(ISNUMBER(Laboratorio!Z37),ISNUMBER(Courier!AB45)),Courier!AB45," ")</f>
        <v xml:space="preserve"> </v>
      </c>
      <c r="BW35" s="308" t="str">
        <f t="shared" si="34"/>
        <v xml:space="preserve"> </v>
      </c>
      <c r="BX35" s="307" t="str">
        <f t="shared" si="35"/>
        <v xml:space="preserve"> </v>
      </c>
    </row>
    <row r="37" spans="2:76" x14ac:dyDescent="0.2">
      <c r="B37" t="s">
        <v>262</v>
      </c>
      <c r="C37">
        <f t="shared" ref="C37:AL37" si="54">COUNT(C5:C35)</f>
        <v>31</v>
      </c>
      <c r="D37">
        <f t="shared" si="54"/>
        <v>31</v>
      </c>
      <c r="E37" s="306">
        <f t="shared" si="54"/>
        <v>30</v>
      </c>
      <c r="F37" s="306">
        <f t="shared" si="54"/>
        <v>31</v>
      </c>
      <c r="G37">
        <f t="shared" si="54"/>
        <v>31</v>
      </c>
      <c r="H37">
        <f t="shared" si="54"/>
        <v>31</v>
      </c>
      <c r="I37" s="306">
        <f t="shared" si="54"/>
        <v>30</v>
      </c>
      <c r="J37" s="306">
        <f t="shared" si="54"/>
        <v>31</v>
      </c>
      <c r="K37">
        <f t="shared" si="54"/>
        <v>31</v>
      </c>
      <c r="L37">
        <f t="shared" si="54"/>
        <v>31</v>
      </c>
      <c r="M37" s="306">
        <f t="shared" si="54"/>
        <v>30</v>
      </c>
      <c r="N37" s="306">
        <f t="shared" si="54"/>
        <v>31</v>
      </c>
      <c r="O37">
        <f t="shared" si="54"/>
        <v>31</v>
      </c>
      <c r="P37">
        <f t="shared" si="54"/>
        <v>31</v>
      </c>
      <c r="Q37" s="306">
        <f t="shared" si="54"/>
        <v>30</v>
      </c>
      <c r="R37" s="306">
        <f t="shared" si="54"/>
        <v>31</v>
      </c>
      <c r="S37">
        <f t="shared" si="54"/>
        <v>31</v>
      </c>
      <c r="T37">
        <f t="shared" si="54"/>
        <v>30</v>
      </c>
      <c r="U37" s="306">
        <f t="shared" si="54"/>
        <v>28</v>
      </c>
      <c r="V37" s="306">
        <f t="shared" si="54"/>
        <v>29</v>
      </c>
      <c r="W37">
        <f t="shared" si="54"/>
        <v>31</v>
      </c>
      <c r="X37">
        <f t="shared" si="54"/>
        <v>31</v>
      </c>
      <c r="Y37" s="306">
        <f t="shared" si="54"/>
        <v>29</v>
      </c>
      <c r="Z37" s="306">
        <f t="shared" si="54"/>
        <v>29</v>
      </c>
      <c r="AA37">
        <f t="shared" si="54"/>
        <v>31</v>
      </c>
      <c r="AB37">
        <f t="shared" si="54"/>
        <v>31</v>
      </c>
      <c r="AC37" s="306">
        <f t="shared" si="54"/>
        <v>30</v>
      </c>
      <c r="AD37" s="306">
        <f t="shared" si="54"/>
        <v>30</v>
      </c>
      <c r="AE37">
        <f t="shared" si="54"/>
        <v>31</v>
      </c>
      <c r="AF37">
        <f t="shared" si="54"/>
        <v>31</v>
      </c>
      <c r="AG37" s="306">
        <f t="shared" si="54"/>
        <v>30</v>
      </c>
      <c r="AH37" s="306">
        <f t="shared" si="54"/>
        <v>30</v>
      </c>
      <c r="AI37">
        <f t="shared" si="54"/>
        <v>31</v>
      </c>
      <c r="AJ37">
        <f t="shared" si="54"/>
        <v>31</v>
      </c>
      <c r="AK37" s="306">
        <f t="shared" si="54"/>
        <v>30</v>
      </c>
      <c r="AL37" s="306">
        <f t="shared" si="54"/>
        <v>30</v>
      </c>
      <c r="AN37" t="s">
        <v>262</v>
      </c>
      <c r="AO37">
        <f t="shared" ref="AO37:BX37" si="55">COUNT(AO5:AO35)</f>
        <v>29</v>
      </c>
      <c r="AP37">
        <f t="shared" si="55"/>
        <v>29</v>
      </c>
      <c r="AQ37">
        <f t="shared" si="55"/>
        <v>29</v>
      </c>
      <c r="AR37">
        <f t="shared" si="55"/>
        <v>29</v>
      </c>
      <c r="AS37">
        <f t="shared" si="55"/>
        <v>29</v>
      </c>
      <c r="AT37">
        <f t="shared" si="55"/>
        <v>29</v>
      </c>
      <c r="AU37">
        <f t="shared" si="55"/>
        <v>29</v>
      </c>
      <c r="AV37">
        <f t="shared" si="55"/>
        <v>29</v>
      </c>
      <c r="AW37">
        <f t="shared" si="55"/>
        <v>29</v>
      </c>
      <c r="AX37">
        <f t="shared" si="55"/>
        <v>29</v>
      </c>
      <c r="AY37">
        <f t="shared" si="55"/>
        <v>29</v>
      </c>
      <c r="AZ37">
        <f t="shared" si="55"/>
        <v>29</v>
      </c>
      <c r="BA37">
        <f t="shared" si="55"/>
        <v>29</v>
      </c>
      <c r="BB37">
        <f t="shared" si="55"/>
        <v>29</v>
      </c>
      <c r="BC37">
        <f t="shared" si="55"/>
        <v>29</v>
      </c>
      <c r="BD37">
        <f t="shared" si="55"/>
        <v>29</v>
      </c>
      <c r="BE37">
        <f t="shared" si="55"/>
        <v>29</v>
      </c>
      <c r="BF37">
        <f t="shared" si="55"/>
        <v>29</v>
      </c>
      <c r="BG37">
        <f t="shared" si="55"/>
        <v>29</v>
      </c>
      <c r="BH37">
        <f t="shared" si="55"/>
        <v>29</v>
      </c>
      <c r="BI37">
        <f t="shared" si="55"/>
        <v>29</v>
      </c>
      <c r="BJ37">
        <f t="shared" si="55"/>
        <v>29</v>
      </c>
      <c r="BK37">
        <f t="shared" si="55"/>
        <v>29</v>
      </c>
      <c r="BL37">
        <f t="shared" si="55"/>
        <v>29</v>
      </c>
      <c r="BM37">
        <f t="shared" si="55"/>
        <v>29</v>
      </c>
      <c r="BN37">
        <f t="shared" si="55"/>
        <v>29</v>
      </c>
      <c r="BO37">
        <f t="shared" si="55"/>
        <v>29</v>
      </c>
      <c r="BP37">
        <f t="shared" si="55"/>
        <v>29</v>
      </c>
      <c r="BQ37">
        <f t="shared" si="55"/>
        <v>29</v>
      </c>
      <c r="BR37">
        <f t="shared" si="55"/>
        <v>29</v>
      </c>
      <c r="BS37">
        <f t="shared" si="55"/>
        <v>29</v>
      </c>
      <c r="BT37">
        <f t="shared" si="55"/>
        <v>29</v>
      </c>
      <c r="BU37">
        <f t="shared" si="55"/>
        <v>29</v>
      </c>
      <c r="BV37">
        <f t="shared" si="55"/>
        <v>29</v>
      </c>
      <c r="BW37">
        <f t="shared" si="55"/>
        <v>28</v>
      </c>
      <c r="BX37">
        <f t="shared" si="55"/>
        <v>28</v>
      </c>
    </row>
    <row r="38" spans="2:76" x14ac:dyDescent="0.2">
      <c r="B38" t="s">
        <v>54</v>
      </c>
      <c r="C38" s="84">
        <f t="shared" ref="C38:AL38" si="56">MIN(C5:C35)</f>
        <v>0.34200000000000003</v>
      </c>
      <c r="D38" s="84">
        <f t="shared" si="56"/>
        <v>0.31929829716682434</v>
      </c>
      <c r="E38" s="84">
        <f t="shared" si="56"/>
        <v>-7.529328036308286E-2</v>
      </c>
      <c r="F38" s="84">
        <f t="shared" si="56"/>
        <v>1.4E-2</v>
      </c>
      <c r="G38" s="84">
        <f t="shared" si="56"/>
        <v>0.01</v>
      </c>
      <c r="H38" s="84">
        <f t="shared" si="56"/>
        <v>1.2126695364713669E-2</v>
      </c>
      <c r="I38" s="84">
        <f t="shared" si="56"/>
        <v>-1.3881107062101362E-2</v>
      </c>
      <c r="J38" s="84">
        <f t="shared" si="56"/>
        <v>5.0000000000000001E-3</v>
      </c>
      <c r="K38" s="84">
        <f t="shared" si="56"/>
        <v>1.6930000000000001</v>
      </c>
      <c r="L38" s="84">
        <f t="shared" si="56"/>
        <v>1.5964376926422119</v>
      </c>
      <c r="M38" s="84">
        <f t="shared" si="56"/>
        <v>-0.12092381477355962</v>
      </c>
      <c r="N38" s="84">
        <f t="shared" si="56"/>
        <v>4.1000000000000002E-2</v>
      </c>
      <c r="O38" s="84">
        <f t="shared" si="56"/>
        <v>2.3E-2</v>
      </c>
      <c r="P38" s="84">
        <f t="shared" si="56"/>
        <v>2.9643239453434944E-2</v>
      </c>
      <c r="Q38" s="84">
        <f t="shared" si="56"/>
        <v>-2.7438181549310683E-2</v>
      </c>
      <c r="R38" s="84">
        <f t="shared" si="56"/>
        <v>4.474809675505196E-2</v>
      </c>
      <c r="S38" s="84">
        <f t="shared" si="56"/>
        <v>3.0000000000000001E-3</v>
      </c>
      <c r="T38" s="84">
        <f t="shared" si="56"/>
        <v>7.5426202965900302E-4</v>
      </c>
      <c r="U38" s="84">
        <f t="shared" si="56"/>
        <v>-8.4694850072264665E-4</v>
      </c>
      <c r="V38" s="84">
        <f t="shared" si="56"/>
        <v>0.29990226030349521</v>
      </c>
      <c r="W38" s="84">
        <f t="shared" si="56"/>
        <v>1.117</v>
      </c>
      <c r="X38" s="84">
        <f t="shared" si="56"/>
        <v>1.1370348930358887</v>
      </c>
      <c r="Y38" s="84">
        <f t="shared" si="56"/>
        <v>-0.55558334159851075</v>
      </c>
      <c r="Z38" s="84">
        <f t="shared" si="56"/>
        <v>1.2968597933649997</v>
      </c>
      <c r="AA38" s="84">
        <f t="shared" si="56"/>
        <v>18.288</v>
      </c>
      <c r="AB38" s="84">
        <f t="shared" si="56"/>
        <v>19.81092643737793</v>
      </c>
      <c r="AC38" s="84">
        <f t="shared" si="56"/>
        <v>-4.7272626037597654</v>
      </c>
      <c r="AD38" s="84">
        <f t="shared" si="56"/>
        <v>8.0583975935206997E-2</v>
      </c>
      <c r="AE38" s="84">
        <f t="shared" si="56"/>
        <v>0.67800000000000005</v>
      </c>
      <c r="AF38" s="84">
        <f t="shared" si="56"/>
        <v>0.6122165322303772</v>
      </c>
      <c r="AG38" s="84">
        <f t="shared" si="56"/>
        <v>-0.63896121215820312</v>
      </c>
      <c r="AH38" s="84">
        <f t="shared" si="56"/>
        <v>1.6292329335906075</v>
      </c>
      <c r="AI38" s="84">
        <f t="shared" si="56"/>
        <v>24.83</v>
      </c>
      <c r="AJ38" s="84">
        <f t="shared" si="56"/>
        <v>25.195009231567383</v>
      </c>
      <c r="AK38" s="84">
        <f t="shared" si="56"/>
        <v>-2.4591464233398455</v>
      </c>
      <c r="AL38" s="84">
        <f t="shared" si="56"/>
        <v>0.33837813365308334</v>
      </c>
      <c r="AN38" t="s">
        <v>54</v>
      </c>
      <c r="AO38" s="84">
        <f t="shared" ref="AO38:BX38" si="57">MIN(AO5:AO35)</f>
        <v>0.35699999999999998</v>
      </c>
      <c r="AP38" s="84">
        <f t="shared" si="57"/>
        <v>0.33648413419723511</v>
      </c>
      <c r="AQ38" s="84">
        <f t="shared" si="57"/>
        <v>-4.3976035919189451</v>
      </c>
      <c r="AR38" s="84">
        <f t="shared" si="57"/>
        <v>1.2737561116176463</v>
      </c>
      <c r="AS38" s="84">
        <f t="shared" si="57"/>
        <v>1.0999999999999999E-2</v>
      </c>
      <c r="AT38" s="84">
        <f t="shared" si="57"/>
        <v>1.7472758889198303E-2</v>
      </c>
      <c r="AU38" s="84">
        <f t="shared" si="57"/>
        <v>-6.3000001490116114E-2</v>
      </c>
      <c r="AV38" s="84">
        <f t="shared" si="57"/>
        <v>0.16789806465948709</v>
      </c>
      <c r="AW38" s="84">
        <f t="shared" si="57"/>
        <v>1.802</v>
      </c>
      <c r="AX38" s="84">
        <f t="shared" si="57"/>
        <v>1.5686616897583008</v>
      </c>
      <c r="AY38" s="84">
        <f t="shared" si="57"/>
        <v>-1.3756772651672364</v>
      </c>
      <c r="AZ38" s="84">
        <f t="shared" si="57"/>
        <v>0.23628438819740333</v>
      </c>
      <c r="BA38" s="84">
        <f t="shared" si="57"/>
        <v>2.7E-2</v>
      </c>
      <c r="BB38" s="84">
        <f t="shared" si="57"/>
        <v>2.6393812149763107E-2</v>
      </c>
      <c r="BC38" s="84">
        <f t="shared" si="57"/>
        <v>-1.5360253632068634E-2</v>
      </c>
      <c r="BD38" s="84">
        <f t="shared" si="57"/>
        <v>0.17527098005468145</v>
      </c>
      <c r="BE38" s="84">
        <f t="shared" si="57"/>
        <v>2E-3</v>
      </c>
      <c r="BF38" s="84">
        <f t="shared" si="57"/>
        <v>3.438678802922368E-3</v>
      </c>
      <c r="BG38" s="84">
        <f t="shared" si="57"/>
        <v>-3.7759997434914112E-3</v>
      </c>
      <c r="BH38" s="84">
        <f t="shared" si="57"/>
        <v>1.0067228760038083</v>
      </c>
      <c r="BI38" s="84">
        <f t="shared" si="57"/>
        <v>1.159</v>
      </c>
      <c r="BJ38" s="84">
        <f t="shared" si="57"/>
        <v>1.2757508754730225</v>
      </c>
      <c r="BK38" s="84">
        <f t="shared" si="57"/>
        <v>-0.71908201980590825</v>
      </c>
      <c r="BL38" s="84">
        <f t="shared" si="57"/>
        <v>0.86613009637752425</v>
      </c>
      <c r="BM38" s="84">
        <f t="shared" si="57"/>
        <v>19.899999999999999</v>
      </c>
      <c r="BN38" s="84">
        <f t="shared" si="57"/>
        <v>19.589813232421875</v>
      </c>
      <c r="BO38" s="84">
        <f t="shared" si="57"/>
        <v>-3.5862499237060561</v>
      </c>
      <c r="BP38" s="84">
        <f t="shared" si="57"/>
        <v>0.34116676103425608</v>
      </c>
      <c r="BQ38" s="84">
        <f t="shared" si="57"/>
        <v>0.68600000000000005</v>
      </c>
      <c r="BR38" s="84">
        <f t="shared" si="57"/>
        <v>0.56563651561737061</v>
      </c>
      <c r="BS38" s="84">
        <f t="shared" si="57"/>
        <v>-1.0203988094329834</v>
      </c>
      <c r="BT38" s="84">
        <f t="shared" si="57"/>
        <v>2.1287049083471854</v>
      </c>
      <c r="BU38" s="84">
        <f t="shared" si="57"/>
        <v>26.53</v>
      </c>
      <c r="BV38" s="84">
        <f t="shared" si="57"/>
        <v>21.578971862792969</v>
      </c>
      <c r="BW38" s="84">
        <f t="shared" si="57"/>
        <v>-1.6444088745117185</v>
      </c>
      <c r="BX38" s="84">
        <f t="shared" si="57"/>
        <v>3.3111802326527329E-2</v>
      </c>
    </row>
    <row r="39" spans="2:76" x14ac:dyDescent="0.2">
      <c r="B39" t="s">
        <v>55</v>
      </c>
      <c r="C39" s="84">
        <f t="shared" ref="C39:AL39" si="58">MAX(C5:C35)</f>
        <v>0.60799999999999998</v>
      </c>
      <c r="D39" s="84">
        <f t="shared" si="58"/>
        <v>0.59998983144760132</v>
      </c>
      <c r="E39" s="84">
        <f t="shared" si="58"/>
        <v>0.14772232341766356</v>
      </c>
      <c r="F39" s="84">
        <f t="shared" si="58"/>
        <v>29.119687777734089</v>
      </c>
      <c r="G39" s="84">
        <f t="shared" si="58"/>
        <v>8.2000000000000003E-2</v>
      </c>
      <c r="H39" s="84">
        <f t="shared" si="58"/>
        <v>8.5331402719020844E-2</v>
      </c>
      <c r="I39" s="84">
        <f t="shared" si="58"/>
        <v>2.1083777368068699E-2</v>
      </c>
      <c r="J39" s="84">
        <f t="shared" si="58"/>
        <v>67.279948408787078</v>
      </c>
      <c r="K39" s="84">
        <f t="shared" si="58"/>
        <v>3.9220000000000002</v>
      </c>
      <c r="L39" s="84">
        <f t="shared" si="58"/>
        <v>3.6080083847045898</v>
      </c>
      <c r="M39" s="84">
        <f t="shared" si="58"/>
        <v>0.69134108161926289</v>
      </c>
      <c r="N39" s="84">
        <f t="shared" si="58"/>
        <v>23.308869912989309</v>
      </c>
      <c r="O39" s="84">
        <f t="shared" si="58"/>
        <v>6.6000000000000003E-2</v>
      </c>
      <c r="P39" s="84">
        <f t="shared" si="58"/>
        <v>6.6029533743858337E-2</v>
      </c>
      <c r="Q39" s="84">
        <f t="shared" si="58"/>
        <v>2.2725780248641969E-2</v>
      </c>
      <c r="R39" s="84">
        <f t="shared" si="58"/>
        <v>94.614419135554073</v>
      </c>
      <c r="S39" s="84">
        <f t="shared" si="58"/>
        <v>1.9E-2</v>
      </c>
      <c r="T39" s="84">
        <f t="shared" si="58"/>
        <v>5.2227340638637543E-3</v>
      </c>
      <c r="U39" s="84">
        <f t="shared" si="58"/>
        <v>1.5876659337431192E-2</v>
      </c>
      <c r="V39" s="84">
        <f t="shared" si="58"/>
        <v>86.126630280453426</v>
      </c>
      <c r="W39" s="84">
        <f t="shared" si="58"/>
        <v>3.831</v>
      </c>
      <c r="X39" s="84">
        <f t="shared" si="58"/>
        <v>3.2077841758728027</v>
      </c>
      <c r="Y39" s="84">
        <f t="shared" si="58"/>
        <v>1.1694770832061767</v>
      </c>
      <c r="Z39" s="84">
        <f t="shared" si="58"/>
        <v>49.738884655193445</v>
      </c>
      <c r="AA39" s="84">
        <f t="shared" si="58"/>
        <v>28.291</v>
      </c>
      <c r="AB39" s="84">
        <f t="shared" si="58"/>
        <v>27.135526657104492</v>
      </c>
      <c r="AC39" s="84">
        <f t="shared" si="58"/>
        <v>4.5883038940429692</v>
      </c>
      <c r="AD39" s="84">
        <f t="shared" si="58"/>
        <v>25.848986241031085</v>
      </c>
      <c r="AE39" s="84">
        <f t="shared" si="58"/>
        <v>4.569</v>
      </c>
      <c r="AF39" s="84">
        <f t="shared" si="58"/>
        <v>4.3261613845825195</v>
      </c>
      <c r="AG39" s="84">
        <f t="shared" si="58"/>
        <v>0.87128293609619156</v>
      </c>
      <c r="AH39" s="84">
        <f t="shared" si="58"/>
        <v>62.209840428909189</v>
      </c>
      <c r="AI39" s="84">
        <f t="shared" si="58"/>
        <v>32.68</v>
      </c>
      <c r="AJ39" s="84">
        <f t="shared" si="58"/>
        <v>28.496423721313477</v>
      </c>
      <c r="AK39" s="84">
        <f t="shared" si="58"/>
        <v>5.390853576660156</v>
      </c>
      <c r="AL39" s="84">
        <f t="shared" si="58"/>
        <v>16.495879977540255</v>
      </c>
      <c r="AN39" t="s">
        <v>55</v>
      </c>
      <c r="AO39" s="84">
        <f t="shared" ref="AO39:BX39" si="59">MAX(AO5:AO35)</f>
        <v>0.65100000000000002</v>
      </c>
      <c r="AP39" s="84">
        <f t="shared" si="59"/>
        <v>4.8636035919189453</v>
      </c>
      <c r="AQ39" s="84">
        <f t="shared" si="59"/>
        <v>0.21934562015533443</v>
      </c>
      <c r="AR39" s="84">
        <f t="shared" si="59"/>
        <v>943.69175792252042</v>
      </c>
      <c r="AS39" s="84">
        <f t="shared" si="59"/>
        <v>7.6999999999999999E-2</v>
      </c>
      <c r="AT39" s="84">
        <f t="shared" si="59"/>
        <v>0.10000000149011612</v>
      </c>
      <c r="AU39" s="84">
        <f t="shared" si="59"/>
        <v>1.9207157760858538E-2</v>
      </c>
      <c r="AV39" s="84">
        <f t="shared" si="59"/>
        <v>170.27027429761114</v>
      </c>
      <c r="AW39" s="84">
        <f t="shared" si="59"/>
        <v>4.3159999999999998</v>
      </c>
      <c r="AX39" s="84">
        <f t="shared" si="59"/>
        <v>3.5040261745452881</v>
      </c>
      <c r="AY39" s="84">
        <f t="shared" si="59"/>
        <v>0.81197382545471175</v>
      </c>
      <c r="AZ39" s="84">
        <f t="shared" si="59"/>
        <v>72.941530496672129</v>
      </c>
      <c r="BA39" s="84">
        <f t="shared" si="59"/>
        <v>6.4000000000000001E-2</v>
      </c>
      <c r="BB39" s="84">
        <f t="shared" si="59"/>
        <v>6.5444730222225189E-2</v>
      </c>
      <c r="BC39" s="84">
        <f t="shared" si="59"/>
        <v>2.9645998716354371E-2</v>
      </c>
      <c r="BD39" s="84">
        <f t="shared" si="59"/>
        <v>56.889828266920873</v>
      </c>
      <c r="BE39" s="84">
        <f t="shared" si="59"/>
        <v>1.4999999999999999E-2</v>
      </c>
      <c r="BF39" s="84">
        <f t="shared" si="59"/>
        <v>1.1116042733192444E-2</v>
      </c>
      <c r="BG39" s="84">
        <f t="shared" si="59"/>
        <v>8.5613211970776322E-3</v>
      </c>
      <c r="BH39" s="84">
        <f t="shared" si="59"/>
        <v>188.79998717457056</v>
      </c>
      <c r="BI39" s="84">
        <f t="shared" si="59"/>
        <v>3.7709999999999999</v>
      </c>
      <c r="BJ39" s="84">
        <f t="shared" si="59"/>
        <v>3.2177166938781738</v>
      </c>
      <c r="BK39" s="84">
        <f t="shared" si="59"/>
        <v>0.85782021903991712</v>
      </c>
      <c r="BL39" s="84">
        <f t="shared" si="59"/>
        <v>54.188547084092562</v>
      </c>
      <c r="BM39" s="84">
        <f t="shared" si="59"/>
        <v>26.913</v>
      </c>
      <c r="BN39" s="84">
        <f t="shared" si="59"/>
        <v>26.558300018310547</v>
      </c>
      <c r="BO39" s="84">
        <f t="shared" si="59"/>
        <v>5.5861867675781234</v>
      </c>
      <c r="BP39" s="84">
        <f t="shared" si="59"/>
        <v>22.188539750469189</v>
      </c>
      <c r="BQ39" s="84">
        <f t="shared" si="59"/>
        <v>3.9129999999999998</v>
      </c>
      <c r="BR39" s="84">
        <f t="shared" si="59"/>
        <v>3.2293510437011719</v>
      </c>
      <c r="BS39" s="84">
        <f t="shared" si="59"/>
        <v>0.89916218566894512</v>
      </c>
      <c r="BT39" s="84">
        <f t="shared" si="59"/>
        <v>58.437438409343031</v>
      </c>
      <c r="BU39" s="84">
        <f t="shared" si="59"/>
        <v>31.25</v>
      </c>
      <c r="BV39" s="84">
        <f t="shared" si="59"/>
        <v>29.464408874511719</v>
      </c>
      <c r="BW39" s="84">
        <f t="shared" si="59"/>
        <v>2.9126477050781254</v>
      </c>
      <c r="BX39" s="84">
        <f t="shared" si="59"/>
        <v>9.5559307909387314</v>
      </c>
    </row>
    <row r="40" spans="2:76" x14ac:dyDescent="0.2">
      <c r="B40" t="s">
        <v>261</v>
      </c>
      <c r="C40" s="84">
        <f t="shared" ref="C40:AL40" si="60">AVERAGE(C5:C35)</f>
        <v>0.48748387096774215</v>
      </c>
      <c r="D40" s="84">
        <f t="shared" si="60"/>
        <v>0.46651808196498501</v>
      </c>
      <c r="E40" s="84">
        <f t="shared" si="60"/>
        <v>1.8809248757362378E-2</v>
      </c>
      <c r="F40" s="84">
        <f t="shared" si="60"/>
        <v>8.8748607759428282</v>
      </c>
      <c r="G40" s="84">
        <f t="shared" si="60"/>
        <v>4.5677419354838718E-2</v>
      </c>
      <c r="H40" s="84">
        <f t="shared" si="60"/>
        <v>4.3353180280856544E-2</v>
      </c>
      <c r="I40" s="84">
        <f t="shared" si="60"/>
        <v>2.2455646820366383E-3</v>
      </c>
      <c r="J40" s="84">
        <f t="shared" si="60"/>
        <v>16.611403947007627</v>
      </c>
      <c r="K40" s="84">
        <f t="shared" si="60"/>
        <v>2.5064516129032253</v>
      </c>
      <c r="L40" s="84">
        <f t="shared" si="60"/>
        <v>2.3265236000860892</v>
      </c>
      <c r="M40" s="84">
        <f t="shared" si="60"/>
        <v>0.19094752893447881</v>
      </c>
      <c r="N40" s="84">
        <f t="shared" si="60"/>
        <v>8.5106792141275882</v>
      </c>
      <c r="O40" s="84">
        <f t="shared" si="60"/>
        <v>4.4645161290322595E-2</v>
      </c>
      <c r="P40" s="84">
        <f t="shared" si="60"/>
        <v>4.9782835487877167E-2</v>
      </c>
      <c r="Q40" s="84">
        <f t="shared" si="60"/>
        <v>-5.5068847601612422E-3</v>
      </c>
      <c r="R40" s="84">
        <f t="shared" si="60"/>
        <v>23.828797965189562</v>
      </c>
      <c r="S40" s="84">
        <f t="shared" si="60"/>
        <v>8.2903225806451649E-3</v>
      </c>
      <c r="T40" s="84">
        <f t="shared" si="60"/>
        <v>3.352543944492936E-3</v>
      </c>
      <c r="U40" s="84">
        <f t="shared" si="60"/>
        <v>4.8241764911051309E-3</v>
      </c>
      <c r="V40" s="84">
        <f t="shared" si="60"/>
        <v>44.976621594835407</v>
      </c>
      <c r="W40" s="84">
        <f t="shared" si="60"/>
        <v>2.0514516129032256</v>
      </c>
      <c r="X40" s="84">
        <f t="shared" si="60"/>
        <v>1.8223793660440752</v>
      </c>
      <c r="Y40" s="84">
        <f t="shared" si="60"/>
        <v>0.22565838165940913</v>
      </c>
      <c r="Z40" s="84">
        <f t="shared" si="60"/>
        <v>16.82249993006441</v>
      </c>
      <c r="AA40" s="84">
        <f t="shared" si="60"/>
        <v>23.533064516129034</v>
      </c>
      <c r="AB40" s="84">
        <f t="shared" si="60"/>
        <v>23.097297360820154</v>
      </c>
      <c r="AC40" s="84">
        <f t="shared" si="60"/>
        <v>0.49605248260498069</v>
      </c>
      <c r="AD40" s="84">
        <f t="shared" si="60"/>
        <v>6.0716079867333246</v>
      </c>
      <c r="AE40" s="84">
        <f t="shared" si="60"/>
        <v>2.1428709677419362</v>
      </c>
      <c r="AF40" s="84">
        <f t="shared" si="60"/>
        <v>1.975658889739744</v>
      </c>
      <c r="AG40" s="84">
        <f t="shared" si="60"/>
        <v>0.1632242637952169</v>
      </c>
      <c r="AH40" s="84">
        <f t="shared" si="60"/>
        <v>19.220292682022372</v>
      </c>
      <c r="AI40" s="84">
        <f t="shared" si="60"/>
        <v>28.251290322580644</v>
      </c>
      <c r="AJ40" s="84">
        <f t="shared" si="60"/>
        <v>27.26668425529234</v>
      </c>
      <c r="AK40" s="84">
        <f t="shared" si="60"/>
        <v>1.0019392369588216</v>
      </c>
      <c r="AL40" s="84">
        <f t="shared" si="60"/>
        <v>5.1387796189920341</v>
      </c>
      <c r="AN40" t="s">
        <v>261</v>
      </c>
      <c r="AO40" s="84">
        <f t="shared" ref="AO40:BX40" si="61">AVERAGE(AO5:AO35)</f>
        <v>0.49034482758620684</v>
      </c>
      <c r="AP40" s="84">
        <f t="shared" si="61"/>
        <v>0.61681613017772807</v>
      </c>
      <c r="AQ40" s="84">
        <f t="shared" si="61"/>
        <v>-0.12647130259152115</v>
      </c>
      <c r="AR40" s="84">
        <f t="shared" si="61"/>
        <v>41.269416725753167</v>
      </c>
      <c r="AS40" s="84">
        <f t="shared" si="61"/>
        <v>4.3310344827586215E-2</v>
      </c>
      <c r="AT40" s="84">
        <f t="shared" si="61"/>
        <v>4.3652262988275493E-2</v>
      </c>
      <c r="AU40" s="84">
        <f t="shared" si="61"/>
        <v>-3.4191816068928775E-4</v>
      </c>
      <c r="AV40" s="84">
        <f t="shared" si="61"/>
        <v>23.758294008674969</v>
      </c>
      <c r="AW40" s="84">
        <f t="shared" si="61"/>
        <v>2.5187931034482753</v>
      </c>
      <c r="AX40" s="84">
        <f t="shared" si="61"/>
        <v>2.3751804664217193</v>
      </c>
      <c r="AY40" s="84">
        <f t="shared" si="61"/>
        <v>0.14361263702655655</v>
      </c>
      <c r="AZ40" s="84">
        <f t="shared" si="61"/>
        <v>13.344599574742364</v>
      </c>
      <c r="BA40" s="84">
        <f t="shared" si="61"/>
        <v>4.6793103448275863E-2</v>
      </c>
      <c r="BB40" s="84">
        <f t="shared" si="61"/>
        <v>4.9102870040926443E-2</v>
      </c>
      <c r="BC40" s="84">
        <f t="shared" si="61"/>
        <v>-2.3097665926505779E-3</v>
      </c>
      <c r="BD40" s="84">
        <f t="shared" si="61"/>
        <v>16.388735895299444</v>
      </c>
      <c r="BE40" s="84">
        <f t="shared" si="61"/>
        <v>8.1034482758620737E-3</v>
      </c>
      <c r="BF40" s="84">
        <f t="shared" si="61"/>
        <v>6.7717562879210918E-3</v>
      </c>
      <c r="BG40" s="84">
        <f t="shared" si="61"/>
        <v>1.3316919879409774E-3</v>
      </c>
      <c r="BH40" s="84">
        <f t="shared" si="61"/>
        <v>32.233593988805048</v>
      </c>
      <c r="BI40" s="84">
        <f t="shared" si="61"/>
        <v>1.9854137931034479</v>
      </c>
      <c r="BJ40" s="84">
        <f t="shared" si="61"/>
        <v>1.8561165826074009</v>
      </c>
      <c r="BK40" s="84">
        <f t="shared" si="61"/>
        <v>0.12929721049604745</v>
      </c>
      <c r="BL40" s="84">
        <f t="shared" si="61"/>
        <v>13.500417737481202</v>
      </c>
      <c r="BM40" s="84">
        <f t="shared" si="61"/>
        <v>24.095793103448273</v>
      </c>
      <c r="BN40" s="84">
        <f t="shared" si="61"/>
        <v>23.444138954425679</v>
      </c>
      <c r="BO40" s="84">
        <f t="shared" si="61"/>
        <v>0.65165414902259555</v>
      </c>
      <c r="BP40" s="84">
        <f t="shared" si="61"/>
        <v>6.9423656062936994</v>
      </c>
      <c r="BQ40" s="84">
        <f t="shared" si="61"/>
        <v>1.9569655172413791</v>
      </c>
      <c r="BR40" s="84">
        <f t="shared" si="61"/>
        <v>1.8951776109892746</v>
      </c>
      <c r="BS40" s="84">
        <f t="shared" si="61"/>
        <v>6.1787906252104667E-2</v>
      </c>
      <c r="BT40" s="84">
        <f t="shared" si="61"/>
        <v>16.906658392849828</v>
      </c>
      <c r="BU40" s="84">
        <f t="shared" si="61"/>
        <v>28.573793103448278</v>
      </c>
      <c r="BV40" s="84">
        <f t="shared" si="61"/>
        <v>27.359573627340382</v>
      </c>
      <c r="BW40" s="84">
        <f t="shared" si="61"/>
        <v>1.0064763096400668</v>
      </c>
      <c r="BX40" s="84">
        <f t="shared" si="61"/>
        <v>4.3870547504490194</v>
      </c>
    </row>
    <row r="41" spans="2:76" x14ac:dyDescent="0.2">
      <c r="B41" t="s">
        <v>260</v>
      </c>
      <c r="C41">
        <f t="shared" ref="C41:AL41" si="62">SKEW(C5:C35)</f>
        <v>-0.34190421752781325</v>
      </c>
      <c r="D41">
        <f t="shared" si="62"/>
        <v>-0.1556789372872171</v>
      </c>
      <c r="E41">
        <f t="shared" si="62"/>
        <v>0.58844364512079639</v>
      </c>
      <c r="F41">
        <f t="shared" si="62"/>
        <v>1.0792525382927978</v>
      </c>
      <c r="G41">
        <f t="shared" si="62"/>
        <v>8.1862242875576488E-2</v>
      </c>
      <c r="H41">
        <f t="shared" si="62"/>
        <v>0.29145945066978485</v>
      </c>
      <c r="I41">
        <f t="shared" si="62"/>
        <v>0.1435943428900473</v>
      </c>
      <c r="J41">
        <f t="shared" si="62"/>
        <v>2.061671902834846</v>
      </c>
      <c r="K41">
        <f t="shared" si="62"/>
        <v>1.1638912780197945</v>
      </c>
      <c r="L41">
        <f t="shared" si="62"/>
        <v>0.98473947561568032</v>
      </c>
      <c r="M41">
        <f t="shared" si="62"/>
        <v>0.39001240993233915</v>
      </c>
      <c r="N41">
        <f t="shared" si="62"/>
        <v>0.91221515155206534</v>
      </c>
      <c r="O41">
        <f t="shared" si="62"/>
        <v>8.3039708748582991E-2</v>
      </c>
      <c r="P41">
        <f t="shared" si="62"/>
        <v>-0.26727743554865985</v>
      </c>
      <c r="Q41">
        <f t="shared" si="62"/>
        <v>0.22819967938700689</v>
      </c>
      <c r="R41">
        <f t="shared" si="62"/>
        <v>1.2844916379865252</v>
      </c>
      <c r="S41">
        <f t="shared" si="62"/>
        <v>0.89145248112951636</v>
      </c>
      <c r="T41">
        <f t="shared" si="62"/>
        <v>-1.33383640909433</v>
      </c>
      <c r="U41">
        <f t="shared" si="62"/>
        <v>0.84008501128904156</v>
      </c>
      <c r="V41">
        <f t="shared" si="62"/>
        <v>-0.24551931828570456</v>
      </c>
      <c r="W41">
        <f t="shared" si="62"/>
        <v>1.1111331545091239</v>
      </c>
      <c r="X41">
        <f t="shared" si="62"/>
        <v>1.2614826673547124</v>
      </c>
      <c r="Y41">
        <f t="shared" si="62"/>
        <v>0.32758244180777268</v>
      </c>
      <c r="Z41">
        <f t="shared" si="62"/>
        <v>1.401623480037457</v>
      </c>
      <c r="AA41">
        <f t="shared" si="62"/>
        <v>-0.2967474903292035</v>
      </c>
      <c r="AB41">
        <f t="shared" si="62"/>
        <v>0.38396026387520427</v>
      </c>
      <c r="AC41">
        <f t="shared" si="62"/>
        <v>-0.30988344127444994</v>
      </c>
      <c r="AD41">
        <f t="shared" si="62"/>
        <v>1.8307628258862232</v>
      </c>
      <c r="AE41">
        <f t="shared" si="62"/>
        <v>0.47236660490751492</v>
      </c>
      <c r="AF41">
        <f t="shared" si="62"/>
        <v>0.5390363478031337</v>
      </c>
      <c r="AG41">
        <f t="shared" si="62"/>
        <v>8.3341781730596726E-2</v>
      </c>
      <c r="AH41">
        <f t="shared" si="62"/>
        <v>1.3796581957452616</v>
      </c>
      <c r="AI41">
        <f t="shared" si="62"/>
        <v>0.35637270717885761</v>
      </c>
      <c r="AJ41">
        <f t="shared" si="62"/>
        <v>-1.1999360185451775</v>
      </c>
      <c r="AK41">
        <f t="shared" si="62"/>
        <v>0.58991052709251035</v>
      </c>
      <c r="AL41">
        <f t="shared" si="62"/>
        <v>1.3277699474483666</v>
      </c>
      <c r="AN41" t="s">
        <v>260</v>
      </c>
      <c r="AO41">
        <f t="shared" ref="AO41:BX41" si="63">SKEW(AO5:AO35)</f>
        <v>0.20671264079810298</v>
      </c>
      <c r="AP41">
        <f t="shared" si="63"/>
        <v>5.3172727082367652</v>
      </c>
      <c r="AQ41">
        <f t="shared" si="63"/>
        <v>-5.3474021655250983</v>
      </c>
      <c r="AR41">
        <f t="shared" si="63"/>
        <v>5.3721954585298093</v>
      </c>
      <c r="AS41">
        <f t="shared" si="63"/>
        <v>-0.10324892441163304</v>
      </c>
      <c r="AT41">
        <f t="shared" si="63"/>
        <v>1.0955865593124761</v>
      </c>
      <c r="AU41">
        <f t="shared" si="63"/>
        <v>-3.2825591594199217</v>
      </c>
      <c r="AV41">
        <f t="shared" si="63"/>
        <v>3.422874437448959</v>
      </c>
      <c r="AW41">
        <f t="shared" si="63"/>
        <v>1.0987201778990592</v>
      </c>
      <c r="AX41">
        <f t="shared" si="63"/>
        <v>0.32985232458384162</v>
      </c>
      <c r="AY41">
        <f t="shared" si="63"/>
        <v>-1.8454682708386543</v>
      </c>
      <c r="AZ41">
        <f t="shared" si="63"/>
        <v>3.3012096368247432</v>
      </c>
      <c r="BA41">
        <f t="shared" si="63"/>
        <v>-0.27180598684478724</v>
      </c>
      <c r="BB41">
        <f t="shared" si="63"/>
        <v>-0.33100579496338173</v>
      </c>
      <c r="BC41">
        <f t="shared" si="63"/>
        <v>1.4111723355403296</v>
      </c>
      <c r="BD41">
        <f t="shared" si="63"/>
        <v>1.1964353052383061</v>
      </c>
      <c r="BE41">
        <f t="shared" si="63"/>
        <v>0.26851879620288921</v>
      </c>
      <c r="BF41">
        <f t="shared" si="63"/>
        <v>0.65876948961242254</v>
      </c>
      <c r="BG41">
        <f t="shared" si="63"/>
        <v>0.57406930535417289</v>
      </c>
      <c r="BH41">
        <f t="shared" si="63"/>
        <v>3.250066552468506</v>
      </c>
      <c r="BI41">
        <f t="shared" si="63"/>
        <v>1.1374770106115564</v>
      </c>
      <c r="BJ41">
        <f t="shared" si="63"/>
        <v>1.2445572583558073</v>
      </c>
      <c r="BK41">
        <f t="shared" si="63"/>
        <v>-0.12309464279235317</v>
      </c>
      <c r="BL41">
        <f t="shared" si="63"/>
        <v>1.6572492093972562</v>
      </c>
      <c r="BM41">
        <f t="shared" si="63"/>
        <v>-0.49783936371090687</v>
      </c>
      <c r="BN41">
        <f t="shared" si="63"/>
        <v>-0.34914099900990253</v>
      </c>
      <c r="BO41">
        <f t="shared" si="63"/>
        <v>0.22756696301670501</v>
      </c>
      <c r="BP41">
        <f t="shared" si="63"/>
        <v>1.1456622467040594</v>
      </c>
      <c r="BQ41">
        <f t="shared" si="63"/>
        <v>0.55173067733723746</v>
      </c>
      <c r="BR41">
        <f t="shared" si="63"/>
        <v>6.0534164930928801E-2</v>
      </c>
      <c r="BS41">
        <f t="shared" si="63"/>
        <v>-3.2118021183714936E-2</v>
      </c>
      <c r="BT41">
        <f t="shared" si="63"/>
        <v>1.683271193396938</v>
      </c>
      <c r="BU41">
        <f t="shared" si="63"/>
        <v>0.22785287381274616</v>
      </c>
      <c r="BV41">
        <f t="shared" si="63"/>
        <v>-2.8211443000586418</v>
      </c>
      <c r="BW41">
        <f t="shared" si="63"/>
        <v>-0.56126500221116349</v>
      </c>
      <c r="BX41">
        <f t="shared" si="63"/>
        <v>4.5094087288244045E-2</v>
      </c>
    </row>
    <row r="42" spans="2:76" x14ac:dyDescent="0.2">
      <c r="B42" t="s">
        <v>259</v>
      </c>
      <c r="C42">
        <f t="shared" ref="C42:AL42" si="64">KURT(C5:C35)</f>
        <v>-0.35990791723758253</v>
      </c>
      <c r="D42">
        <f t="shared" si="64"/>
        <v>-0.89605132336509463</v>
      </c>
      <c r="E42">
        <f t="shared" si="64"/>
        <v>0.21165503535558816</v>
      </c>
      <c r="F42">
        <f t="shared" si="64"/>
        <v>0.22226627393085963</v>
      </c>
      <c r="G42">
        <f t="shared" si="64"/>
        <v>-0.16665328549241476</v>
      </c>
      <c r="H42">
        <f t="shared" si="64"/>
        <v>0.1871642335289927</v>
      </c>
      <c r="I42">
        <f t="shared" si="64"/>
        <v>9.9404066459495954E-2</v>
      </c>
      <c r="J42">
        <f t="shared" si="64"/>
        <v>5.2390006281953774</v>
      </c>
      <c r="K42">
        <f t="shared" si="64"/>
        <v>0.46934304994070519</v>
      </c>
      <c r="L42">
        <f t="shared" si="64"/>
        <v>0.30596610466797669</v>
      </c>
      <c r="M42">
        <f t="shared" si="64"/>
        <v>-0.49564943702044051</v>
      </c>
      <c r="N42">
        <f t="shared" si="64"/>
        <v>-2.4106946287359765E-2</v>
      </c>
      <c r="O42">
        <f t="shared" si="64"/>
        <v>-0.56563140743283613</v>
      </c>
      <c r="P42">
        <f t="shared" si="64"/>
        <v>-1.0381248546299435</v>
      </c>
      <c r="Q42">
        <f t="shared" si="64"/>
        <v>0.24509492848265957</v>
      </c>
      <c r="R42">
        <f t="shared" si="64"/>
        <v>1.3326515643509413</v>
      </c>
      <c r="S42">
        <f t="shared" si="64"/>
        <v>-0.14644343601887444</v>
      </c>
      <c r="T42">
        <f t="shared" si="64"/>
        <v>3.1335338263928301</v>
      </c>
      <c r="U42">
        <f t="shared" si="64"/>
        <v>-0.34511421239461049</v>
      </c>
      <c r="V42">
        <f t="shared" si="64"/>
        <v>-1.0458339867966475</v>
      </c>
      <c r="W42">
        <f t="shared" si="64"/>
        <v>0.38868183052498217</v>
      </c>
      <c r="X42">
        <f t="shared" si="64"/>
        <v>1.518643756127406</v>
      </c>
      <c r="Y42">
        <f t="shared" si="64"/>
        <v>2.3164076832875136E-2</v>
      </c>
      <c r="Z42">
        <f t="shared" si="64"/>
        <v>2.8238055354417102</v>
      </c>
      <c r="AA42">
        <f t="shared" si="64"/>
        <v>2.1025991374874593</v>
      </c>
      <c r="AB42">
        <f t="shared" si="64"/>
        <v>1.0994732855402241</v>
      </c>
      <c r="AC42">
        <f t="shared" si="64"/>
        <v>1.4982951844301726</v>
      </c>
      <c r="AD42">
        <f t="shared" si="64"/>
        <v>4.2587311858148311</v>
      </c>
      <c r="AE42">
        <f t="shared" si="64"/>
        <v>0.29381048506533869</v>
      </c>
      <c r="AF42">
        <f t="shared" si="64"/>
        <v>0.34051331833221044</v>
      </c>
      <c r="AG42">
        <f t="shared" si="64"/>
        <v>-1.0115483501508096</v>
      </c>
      <c r="AH42">
        <f t="shared" si="64"/>
        <v>2.0552079386861393</v>
      </c>
      <c r="AI42">
        <f t="shared" si="64"/>
        <v>0.65357647969588628</v>
      </c>
      <c r="AJ42">
        <f t="shared" si="64"/>
        <v>3.5000273912527522</v>
      </c>
      <c r="AK42">
        <f t="shared" si="64"/>
        <v>0.92462797735253632</v>
      </c>
      <c r="AL42">
        <f t="shared" si="64"/>
        <v>1.625095385873895</v>
      </c>
      <c r="AN42" t="s">
        <v>259</v>
      </c>
      <c r="AO42">
        <f t="shared" ref="AO42:BX42" si="65">KURT(AO5:AO35)</f>
        <v>-0.62290619968115024</v>
      </c>
      <c r="AP42">
        <f t="shared" si="65"/>
        <v>28.494629569199635</v>
      </c>
      <c r="AQ42">
        <f t="shared" si="65"/>
        <v>28.722791864100667</v>
      </c>
      <c r="AR42">
        <f t="shared" si="65"/>
        <v>28.902287732320143</v>
      </c>
      <c r="AS42">
        <f t="shared" si="65"/>
        <v>0.24910849332862384</v>
      </c>
      <c r="AT42">
        <f t="shared" si="65"/>
        <v>1.79183432151379</v>
      </c>
      <c r="AU42">
        <f t="shared" si="65"/>
        <v>14.763855291912892</v>
      </c>
      <c r="AV42">
        <f t="shared" si="65"/>
        <v>14.191079506950336</v>
      </c>
      <c r="AW42">
        <f t="shared" si="65"/>
        <v>0.50001154568451955</v>
      </c>
      <c r="AX42">
        <f t="shared" si="65"/>
        <v>-1.1559616139673299</v>
      </c>
      <c r="AY42">
        <f t="shared" si="65"/>
        <v>5.7402452489499804</v>
      </c>
      <c r="AZ42">
        <f t="shared" si="65"/>
        <v>14.623400935019893</v>
      </c>
      <c r="BA42">
        <f t="shared" si="65"/>
        <v>-0.43216644387677183</v>
      </c>
      <c r="BB42">
        <f t="shared" si="65"/>
        <v>-0.44632119092140288</v>
      </c>
      <c r="BC42">
        <f t="shared" si="65"/>
        <v>3.1569731662230098</v>
      </c>
      <c r="BD42">
        <f t="shared" si="65"/>
        <v>1.9486878840248516</v>
      </c>
      <c r="BE42">
        <f t="shared" si="65"/>
        <v>-0.89614670988183187</v>
      </c>
      <c r="BF42">
        <f t="shared" si="65"/>
        <v>-0.5952118254545864</v>
      </c>
      <c r="BG42">
        <f t="shared" si="65"/>
        <v>0.15727022809333624</v>
      </c>
      <c r="BH42">
        <f t="shared" si="65"/>
        <v>13.592402835997946</v>
      </c>
      <c r="BI42">
        <f t="shared" si="65"/>
        <v>0.91140942837236816</v>
      </c>
      <c r="BJ42">
        <f t="shared" si="65"/>
        <v>1.3997203386595856</v>
      </c>
      <c r="BK42">
        <f t="shared" si="65"/>
        <v>0.8366281559912232</v>
      </c>
      <c r="BL42">
        <f t="shared" si="65"/>
        <v>3.2279668642089336</v>
      </c>
      <c r="BM42">
        <f t="shared" si="65"/>
        <v>-0.30245797555879372</v>
      </c>
      <c r="BN42">
        <f t="shared" si="65"/>
        <v>0.95047181852353413</v>
      </c>
      <c r="BO42">
        <f t="shared" si="65"/>
        <v>0.17655922707714655</v>
      </c>
      <c r="BP42">
        <f t="shared" si="65"/>
        <v>1.0853131741615321</v>
      </c>
      <c r="BQ42">
        <f t="shared" si="65"/>
        <v>1.7294503964601948</v>
      </c>
      <c r="BR42">
        <f t="shared" si="65"/>
        <v>-0.48858644360015946</v>
      </c>
      <c r="BS42">
        <f t="shared" si="65"/>
        <v>0.61124451665603718</v>
      </c>
      <c r="BT42">
        <f t="shared" si="65"/>
        <v>3.4073761101252917</v>
      </c>
      <c r="BU42">
        <f t="shared" si="65"/>
        <v>-0.14648233599858385</v>
      </c>
      <c r="BV42">
        <f t="shared" si="65"/>
        <v>12.344268525806324</v>
      </c>
      <c r="BW42">
        <f t="shared" si="65"/>
        <v>0.19351272724354684</v>
      </c>
      <c r="BX42">
        <f t="shared" si="65"/>
        <v>-0.8740006762240804</v>
      </c>
    </row>
    <row r="43" spans="2:76" x14ac:dyDescent="0.2">
      <c r="B43" t="s">
        <v>258</v>
      </c>
      <c r="C43">
        <f t="shared" ref="C43:AL43" si="66">_xlfn.VAR.S(C5:C35)</f>
        <v>4.8297247311825647E-3</v>
      </c>
      <c r="D43">
        <f t="shared" si="66"/>
        <v>5.6584821634286207E-3</v>
      </c>
      <c r="E43">
        <f t="shared" si="66"/>
        <v>3.4074528755131412E-3</v>
      </c>
      <c r="F43">
        <f t="shared" si="66"/>
        <v>71.037634105918443</v>
      </c>
      <c r="G43">
        <f t="shared" si="66"/>
        <v>3.3229247311827951E-4</v>
      </c>
      <c r="H43">
        <f t="shared" si="66"/>
        <v>2.6773595511699196E-4</v>
      </c>
      <c r="I43">
        <f t="shared" si="66"/>
        <v>6.0281620783131613E-5</v>
      </c>
      <c r="J43">
        <f t="shared" si="66"/>
        <v>201.96916342033199</v>
      </c>
      <c r="K43">
        <f t="shared" si="66"/>
        <v>0.38284032258064543</v>
      </c>
      <c r="L43">
        <f t="shared" si="66"/>
        <v>0.31047029693454059</v>
      </c>
      <c r="M43">
        <f t="shared" si="66"/>
        <v>4.4968504853294615E-2</v>
      </c>
      <c r="N43">
        <f t="shared" si="66"/>
        <v>41.977166896590731</v>
      </c>
      <c r="O43">
        <f t="shared" si="66"/>
        <v>1.1216989247311733E-4</v>
      </c>
      <c r="P43">
        <f t="shared" si="66"/>
        <v>9.9416529570558559E-5</v>
      </c>
      <c r="Q43">
        <f t="shared" si="66"/>
        <v>1.3123295627429283E-4</v>
      </c>
      <c r="R43">
        <f t="shared" si="66"/>
        <v>566.15146092947214</v>
      </c>
      <c r="S43">
        <f t="shared" si="66"/>
        <v>1.894623655913972E-5</v>
      </c>
      <c r="T43">
        <f t="shared" si="66"/>
        <v>8.2350476993201086E-7</v>
      </c>
      <c r="U43">
        <f t="shared" si="66"/>
        <v>2.0887065280432585E-5</v>
      </c>
      <c r="V43">
        <f t="shared" si="66"/>
        <v>697.90778034484981</v>
      </c>
      <c r="W43">
        <f t="shared" si="66"/>
        <v>0.51943818924731033</v>
      </c>
      <c r="X43">
        <f t="shared" si="66"/>
        <v>0.26308248870726914</v>
      </c>
      <c r="Y43">
        <f t="shared" si="66"/>
        <v>0.15152572677756102</v>
      </c>
      <c r="Z43">
        <f t="shared" si="66"/>
        <v>104.30971356808355</v>
      </c>
      <c r="AA43">
        <f t="shared" si="66"/>
        <v>3.33773152903226</v>
      </c>
      <c r="AB43">
        <f t="shared" si="66"/>
        <v>2.2847806792112286</v>
      </c>
      <c r="AC43">
        <f t="shared" si="66"/>
        <v>3.2969776060619584</v>
      </c>
      <c r="AD43">
        <f t="shared" si="66"/>
        <v>31.835213519757229</v>
      </c>
      <c r="AE43">
        <f t="shared" si="66"/>
        <v>0.8373456494623629</v>
      </c>
      <c r="AF43">
        <f t="shared" si="66"/>
        <v>0.7604370504455138</v>
      </c>
      <c r="AG43">
        <f t="shared" si="66"/>
        <v>0.20157818239524802</v>
      </c>
      <c r="AH43">
        <f t="shared" si="66"/>
        <v>224.31108523345262</v>
      </c>
      <c r="AI43">
        <f t="shared" si="66"/>
        <v>2.6344116129032265</v>
      </c>
      <c r="AJ43">
        <f t="shared" si="66"/>
        <v>0.41369410105484905</v>
      </c>
      <c r="AK43">
        <f t="shared" si="66"/>
        <v>2.9155534437677391</v>
      </c>
      <c r="AL43">
        <f t="shared" si="66"/>
        <v>17.24795819006307</v>
      </c>
      <c r="AN43" t="s">
        <v>258</v>
      </c>
      <c r="AO43">
        <f t="shared" ref="AO43:BX43" si="67">_xlfn.VAR.S(AO5:AO35)</f>
        <v>5.7953054187192309E-3</v>
      </c>
      <c r="AP43">
        <f t="shared" si="67"/>
        <v>0.67241258814949489</v>
      </c>
      <c r="AQ43">
        <f t="shared" si="67"/>
        <v>0.67771523950001122</v>
      </c>
      <c r="AR43">
        <f t="shared" si="67"/>
        <v>30168.958974542697</v>
      </c>
      <c r="AS43">
        <f t="shared" si="67"/>
        <v>2.5136453201970429E-4</v>
      </c>
      <c r="AT43">
        <f t="shared" si="67"/>
        <v>3.4790621724674266E-4</v>
      </c>
      <c r="AU43">
        <f t="shared" si="67"/>
        <v>1.9561019498360262E-4</v>
      </c>
      <c r="AV43">
        <f t="shared" si="67"/>
        <v>1085.2813243966229</v>
      </c>
      <c r="AW43">
        <f t="shared" si="67"/>
        <v>0.42219524137931125</v>
      </c>
      <c r="AX43">
        <f t="shared" si="67"/>
        <v>0.34252023127620695</v>
      </c>
      <c r="AY43">
        <f t="shared" si="67"/>
        <v>0.16929627907117456</v>
      </c>
      <c r="AZ43">
        <f t="shared" si="67"/>
        <v>177.4068665346594</v>
      </c>
      <c r="BA43">
        <f t="shared" si="67"/>
        <v>1.0059852216748768E-4</v>
      </c>
      <c r="BB43">
        <f t="shared" si="67"/>
        <v>1.0105157464626641E-4</v>
      </c>
      <c r="BC43">
        <f t="shared" si="67"/>
        <v>9.2145963919734497E-5</v>
      </c>
      <c r="BD43">
        <f t="shared" si="67"/>
        <v>182.4867929087541</v>
      </c>
      <c r="BE43">
        <f t="shared" si="67"/>
        <v>1.2738916256157528E-5</v>
      </c>
      <c r="BF43">
        <f t="shared" si="67"/>
        <v>4.7847446840940647E-6</v>
      </c>
      <c r="BG43">
        <f t="shared" si="67"/>
        <v>8.1475962053741855E-6</v>
      </c>
      <c r="BH43">
        <f t="shared" si="67"/>
        <v>1261.6640855448993</v>
      </c>
      <c r="BI43">
        <f t="shared" si="67"/>
        <v>0.39773360837438582</v>
      </c>
      <c r="BJ43">
        <f t="shared" si="67"/>
        <v>0.23970673303259357</v>
      </c>
      <c r="BK43">
        <f t="shared" si="67"/>
        <v>0.11486349472195587</v>
      </c>
      <c r="BL43">
        <f t="shared" si="67"/>
        <v>146.82708149139035</v>
      </c>
      <c r="BM43">
        <f t="shared" si="67"/>
        <v>3.4628345270935972</v>
      </c>
      <c r="BN43">
        <f t="shared" si="67"/>
        <v>2.1804320793162062</v>
      </c>
      <c r="BO43">
        <f t="shared" si="67"/>
        <v>4.2466896437555777</v>
      </c>
      <c r="BP43">
        <f t="shared" si="67"/>
        <v>28.878027712758914</v>
      </c>
      <c r="BQ43">
        <f t="shared" si="67"/>
        <v>0.44331560591133062</v>
      </c>
      <c r="BR43">
        <f t="shared" si="67"/>
        <v>0.56376645398619629</v>
      </c>
      <c r="BS43">
        <f t="shared" si="67"/>
        <v>0.18416955309093982</v>
      </c>
      <c r="BT43">
        <f t="shared" si="67"/>
        <v>164.47535322829859</v>
      </c>
      <c r="BU43">
        <f t="shared" si="67"/>
        <v>1.2546743842364532</v>
      </c>
      <c r="BV43">
        <f t="shared" si="67"/>
        <v>1.8028691623036459</v>
      </c>
      <c r="BW43">
        <f t="shared" si="67"/>
        <v>1.2975797688403983</v>
      </c>
      <c r="BX43">
        <f t="shared" si="67"/>
        <v>7.2820591896236238</v>
      </c>
    </row>
    <row r="44" spans="2:76" x14ac:dyDescent="0.2">
      <c r="B44" t="s">
        <v>257</v>
      </c>
      <c r="C44">
        <f t="shared" ref="C44:AL44" si="68">_xlfn.STDEV.S(C5:C35)</f>
        <v>6.949622098490367E-2</v>
      </c>
      <c r="D44">
        <f t="shared" si="68"/>
        <v>7.5222883243256641E-2</v>
      </c>
      <c r="E44">
        <f t="shared" si="68"/>
        <v>5.8373391845198963E-2</v>
      </c>
      <c r="F44">
        <f t="shared" si="68"/>
        <v>8.428382650658337</v>
      </c>
      <c r="G44">
        <f t="shared" si="68"/>
        <v>1.822889116535286E-2</v>
      </c>
      <c r="H44">
        <f t="shared" si="68"/>
        <v>1.6362639002220639E-2</v>
      </c>
      <c r="I44">
        <f t="shared" si="68"/>
        <v>7.7641239546475307E-3</v>
      </c>
      <c r="J44">
        <f t="shared" si="68"/>
        <v>14.211585535060189</v>
      </c>
      <c r="K44">
        <f t="shared" si="68"/>
        <v>0.61874091717022028</v>
      </c>
      <c r="L44">
        <f t="shared" si="68"/>
        <v>0.55719861533796056</v>
      </c>
      <c r="M44">
        <f t="shared" si="68"/>
        <v>0.21205778658963367</v>
      </c>
      <c r="N44">
        <f t="shared" si="68"/>
        <v>6.4789788467466636</v>
      </c>
      <c r="O44">
        <f t="shared" si="68"/>
        <v>1.0591028867542441E-2</v>
      </c>
      <c r="P44">
        <f t="shared" si="68"/>
        <v>9.9707837992084932E-3</v>
      </c>
      <c r="Q44">
        <f t="shared" si="68"/>
        <v>1.1455695364066418E-2</v>
      </c>
      <c r="R44">
        <f t="shared" si="68"/>
        <v>23.793937482675542</v>
      </c>
      <c r="S44">
        <f t="shared" si="68"/>
        <v>4.3527274850534486E-3</v>
      </c>
      <c r="T44">
        <f t="shared" si="68"/>
        <v>9.0747163588291335E-4</v>
      </c>
      <c r="U44">
        <f t="shared" si="68"/>
        <v>4.5702368954390737E-3</v>
      </c>
      <c r="V44">
        <f t="shared" si="68"/>
        <v>26.417944286882918</v>
      </c>
      <c r="W44">
        <f t="shared" si="68"/>
        <v>0.72072060415067252</v>
      </c>
      <c r="X44">
        <f t="shared" si="68"/>
        <v>0.51291567407057193</v>
      </c>
      <c r="Y44">
        <f t="shared" si="68"/>
        <v>0.38926305601426014</v>
      </c>
      <c r="Z44">
        <f t="shared" si="68"/>
        <v>10.213212695723298</v>
      </c>
      <c r="AA44">
        <f t="shared" si="68"/>
        <v>1.8269459567902548</v>
      </c>
      <c r="AB44">
        <f t="shared" si="68"/>
        <v>1.5115490991731724</v>
      </c>
      <c r="AC44">
        <f t="shared" si="68"/>
        <v>1.8157581353423584</v>
      </c>
      <c r="AD44">
        <f t="shared" si="68"/>
        <v>5.6422702451900717</v>
      </c>
      <c r="AE44">
        <f t="shared" si="68"/>
        <v>0.91506592629294359</v>
      </c>
      <c r="AF44">
        <f t="shared" si="68"/>
        <v>0.8720304183028903</v>
      </c>
      <c r="AG44">
        <f t="shared" si="68"/>
        <v>0.44897458992157679</v>
      </c>
      <c r="AH44">
        <f t="shared" si="68"/>
        <v>14.977018569576945</v>
      </c>
      <c r="AI44">
        <f t="shared" si="68"/>
        <v>1.6230870626381158</v>
      </c>
      <c r="AJ44">
        <f t="shared" si="68"/>
        <v>0.64319056356172477</v>
      </c>
      <c r="AK44">
        <f t="shared" si="68"/>
        <v>1.7074991782626834</v>
      </c>
      <c r="AL44">
        <f t="shared" si="68"/>
        <v>4.1530661191537837</v>
      </c>
      <c r="AN44" t="s">
        <v>257</v>
      </c>
      <c r="AO44">
        <f t="shared" ref="AO44:BX44" si="69">_xlfn.STDEV.S(AO5:AO35)</f>
        <v>7.6126903383227348E-2</v>
      </c>
      <c r="AP44">
        <f t="shared" si="69"/>
        <v>0.82000767566498722</v>
      </c>
      <c r="AQ44">
        <f t="shared" si="69"/>
        <v>0.82323461995959035</v>
      </c>
      <c r="AR44">
        <f t="shared" si="69"/>
        <v>173.6921384937807</v>
      </c>
      <c r="AS44">
        <f t="shared" si="69"/>
        <v>1.5854479872253909E-2</v>
      </c>
      <c r="AT44">
        <f t="shared" si="69"/>
        <v>1.8652244295171094E-2</v>
      </c>
      <c r="AU44">
        <f t="shared" si="69"/>
        <v>1.398607146355268E-2</v>
      </c>
      <c r="AV44">
        <f t="shared" si="69"/>
        <v>32.943608247983747</v>
      </c>
      <c r="AW44">
        <f t="shared" si="69"/>
        <v>0.64976552800168708</v>
      </c>
      <c r="AX44">
        <f t="shared" si="69"/>
        <v>0.58525228002649166</v>
      </c>
      <c r="AY44">
        <f t="shared" si="69"/>
        <v>0.41145629059618782</v>
      </c>
      <c r="AZ44">
        <f t="shared" si="69"/>
        <v>13.31941689919868</v>
      </c>
      <c r="BA44">
        <f t="shared" si="69"/>
        <v>1.002988146328199E-2</v>
      </c>
      <c r="BB44">
        <f t="shared" si="69"/>
        <v>1.0052441228192602E-2</v>
      </c>
      <c r="BC44">
        <f t="shared" si="69"/>
        <v>9.5992689263159261E-3</v>
      </c>
      <c r="BD44">
        <f t="shared" si="69"/>
        <v>13.50876726088484</v>
      </c>
      <c r="BE44">
        <f t="shared" si="69"/>
        <v>3.5691618422477745E-3</v>
      </c>
      <c r="BF44">
        <f t="shared" si="69"/>
        <v>2.1874059257700807E-3</v>
      </c>
      <c r="BG44">
        <f t="shared" si="69"/>
        <v>2.8543994474099425E-3</v>
      </c>
      <c r="BH44">
        <f t="shared" si="69"/>
        <v>35.519911113978019</v>
      </c>
      <c r="BI44">
        <f t="shared" si="69"/>
        <v>0.63066124692610204</v>
      </c>
      <c r="BJ44">
        <f t="shared" si="69"/>
        <v>0.48959854271902564</v>
      </c>
      <c r="BK44">
        <f t="shared" si="69"/>
        <v>0.33891517334276416</v>
      </c>
      <c r="BL44">
        <f t="shared" si="69"/>
        <v>12.117222515551587</v>
      </c>
      <c r="BM44">
        <f t="shared" si="69"/>
        <v>1.8608692933931703</v>
      </c>
      <c r="BN44">
        <f t="shared" si="69"/>
        <v>1.4766286192933571</v>
      </c>
      <c r="BO44">
        <f t="shared" si="69"/>
        <v>2.0607497770849275</v>
      </c>
      <c r="BP44">
        <f t="shared" si="69"/>
        <v>5.3738280315580358</v>
      </c>
      <c r="BQ44">
        <f t="shared" si="69"/>
        <v>0.66581949949767216</v>
      </c>
      <c r="BR44">
        <f t="shared" si="69"/>
        <v>0.75084382796037974</v>
      </c>
      <c r="BS44">
        <f t="shared" si="69"/>
        <v>0.42914980262251062</v>
      </c>
      <c r="BT44">
        <f t="shared" si="69"/>
        <v>12.824794471191286</v>
      </c>
      <c r="BU44">
        <f t="shared" si="69"/>
        <v>1.1201224862649857</v>
      </c>
      <c r="BV44">
        <f t="shared" si="69"/>
        <v>1.3427096343974172</v>
      </c>
      <c r="BW44">
        <f t="shared" si="69"/>
        <v>1.1391135890860042</v>
      </c>
      <c r="BX44">
        <f t="shared" si="69"/>
        <v>2.6985290788916143</v>
      </c>
    </row>
    <row r="47" spans="2:76" x14ac:dyDescent="0.2">
      <c r="C47">
        <v>95</v>
      </c>
    </row>
    <row r="48" spans="2:76" x14ac:dyDescent="0.2">
      <c r="B48" t="s">
        <v>256</v>
      </c>
      <c r="C48">
        <f>(100-C47)/100</f>
        <v>0.05</v>
      </c>
      <c r="AN48" t="s">
        <v>256</v>
      </c>
      <c r="AO48">
        <f>C48</f>
        <v>0.05</v>
      </c>
    </row>
    <row r="49" spans="2:75" x14ac:dyDescent="0.2">
      <c r="B49" t="s">
        <v>255</v>
      </c>
      <c r="E49">
        <f>E40/SQRT(C43/C37+D43/D37)</f>
        <v>1.0225903125491027</v>
      </c>
      <c r="I49">
        <f>I40/SQRT(G43/G37+H43/H37)</f>
        <v>0.51041156082577666</v>
      </c>
      <c r="M49">
        <f>M40/SQRT(K43/K37+L43/L37)</f>
        <v>1.2768237820698924</v>
      </c>
      <c r="Q49">
        <f>Q40/SQRT(O43/O37+P43/P37)</f>
        <v>-2.1078657048948188</v>
      </c>
      <c r="U49">
        <f>U40/SQRT(S43/S37+T43/T37)</f>
        <v>6.0367368253326115</v>
      </c>
      <c r="Y49">
        <f>Y40/SQRT(W43/W37+X43/X37)</f>
        <v>1.4203141209198216</v>
      </c>
      <c r="AC49">
        <f>AC40/SQRT(AA43/AA37+AB43/AB37)</f>
        <v>1.1647782994502625</v>
      </c>
      <c r="AG49">
        <f>AG40/SQRT(AE43/AE37+AF43/AF37)</f>
        <v>0.71896327688784956</v>
      </c>
      <c r="AK49">
        <f>AK40/SQRT(AI43/AI37+AJ43/AJ37)</f>
        <v>3.1952674753144223</v>
      </c>
      <c r="AN49" t="s">
        <v>254</v>
      </c>
      <c r="AQ49">
        <f>AQ40/SQRT(AO43/AO37+AP43/AP37)</f>
        <v>-0.8270077329802823</v>
      </c>
      <c r="AU49">
        <f>AU40/SQRT(AS43/AS37+AT43/AT37)</f>
        <v>-7.5215894987573542E-2</v>
      </c>
      <c r="AY49">
        <f>AY40/SQRT(AW43/AW37+AX43/AX37)</f>
        <v>0.88438571093897222</v>
      </c>
      <c r="BC49">
        <f>BC40/SQRT(BA43/BA37+BB43/BB37)</f>
        <v>-0.87592692678753159</v>
      </c>
      <c r="BG49">
        <f>BG40/SQRT(BE43/BE37+BF43/BF37)</f>
        <v>1.713130175844199</v>
      </c>
      <c r="BK49">
        <f>BK40/SQRT(BI43/BI37+BJ43/BJ37)</f>
        <v>0.87210420757280283</v>
      </c>
      <c r="BO49">
        <f>BO40/SQRT(BM43/BM37+BN43/BN37)</f>
        <v>1.4772393904036849</v>
      </c>
      <c r="BS49">
        <f>BS40/SQRT(BQ43/BQ37+BR43/BR37)</f>
        <v>0.33156604436940329</v>
      </c>
      <c r="BW49">
        <f>BW40/SQRT(BU43/BU37+BV43/BV37)</f>
        <v>3.099675497983875</v>
      </c>
    </row>
    <row r="51" spans="2:75" x14ac:dyDescent="0.2">
      <c r="B51" s="6" t="s">
        <v>253</v>
      </c>
      <c r="E51">
        <f>_xlfn.T.INV.2T(0.05,E37-1)</f>
        <v>2.0452296421327048</v>
      </c>
      <c r="I51">
        <f>_xlfn.T.INV.2T(0.05,I37-1)</f>
        <v>2.0452296421327048</v>
      </c>
      <c r="M51">
        <f>_xlfn.T.INV.2T(0.05,M37-1)</f>
        <v>2.0452296421327048</v>
      </c>
      <c r="Q51">
        <f>_xlfn.T.INV.2T(0.05,Q37-1)</f>
        <v>2.0452296421327048</v>
      </c>
      <c r="U51">
        <f>_xlfn.T.INV.2T(0.05,U37-1)</f>
        <v>2.0518305164802859</v>
      </c>
      <c r="Y51">
        <f>_xlfn.T.INV.2T(0.05,Y37-1)</f>
        <v>2.0484071417952445</v>
      </c>
      <c r="AC51">
        <f>_xlfn.T.INV.2T(0.05,AC37-1)</f>
        <v>2.0452296421327048</v>
      </c>
      <c r="AG51">
        <f>_xlfn.T.INV.2T(0.05,AG37-1)</f>
        <v>2.0452296421327048</v>
      </c>
      <c r="AK51">
        <f>_xlfn.T.INV.2T(0.05,AK37-1)</f>
        <v>2.0452296421327048</v>
      </c>
      <c r="AN51" s="6" t="s">
        <v>253</v>
      </c>
      <c r="AQ51">
        <f>_xlfn.T.INV.2T($C$48,AQ37-1)</f>
        <v>2.0484071417952445</v>
      </c>
      <c r="AU51">
        <f>_xlfn.T.INV.2T($C$48,AU37-1)</f>
        <v>2.0484071417952445</v>
      </c>
      <c r="AY51">
        <f>_xlfn.T.INV.2T($C$48,AY37-1)</f>
        <v>2.0484071417952445</v>
      </c>
      <c r="BC51">
        <f>_xlfn.T.INV.2T($C$48,BC37-1)</f>
        <v>2.0484071417952445</v>
      </c>
      <c r="BG51">
        <f>_xlfn.T.INV.2T($C$48,BG37-1)</f>
        <v>2.0484071417952445</v>
      </c>
      <c r="BK51">
        <f>_xlfn.T.INV.2T($C$48,BK37-1)</f>
        <v>2.0484071417952445</v>
      </c>
      <c r="BO51">
        <f>_xlfn.T.INV.2T($C$48,BO37-1)</f>
        <v>2.0484071417952445</v>
      </c>
      <c r="BS51">
        <f>_xlfn.T.INV.2T($C$48,BS37-1)</f>
        <v>2.0484071417952445</v>
      </c>
      <c r="BW51">
        <f>_xlfn.T.INV.2T($C$48,BW37-1)</f>
        <v>2.0518305164802859</v>
      </c>
    </row>
    <row r="52" spans="2:75" x14ac:dyDescent="0.2">
      <c r="B52" t="s">
        <v>245</v>
      </c>
      <c r="E52" t="str">
        <f>IF(AND(E49&gt;-E51,E49&lt;E51),"Aceptado","Rechazado")</f>
        <v>Aceptado</v>
      </c>
      <c r="I52" t="str">
        <f>IF(AND(I49&gt;-I51,I49&lt;I51),"Aceptado","Rechazado")</f>
        <v>Aceptado</v>
      </c>
      <c r="M52" t="str">
        <f>IF(AND(M49&gt;-M51,M49&lt;M51),"Aceptado","Rechazado")</f>
        <v>Aceptado</v>
      </c>
      <c r="Q52" t="str">
        <f>IF(AND(Q49&gt;-Q51,Q49&lt;Q51),"Aceptado","Rechazado")</f>
        <v>Rechazado</v>
      </c>
      <c r="U52" t="str">
        <f>IF(AND(U49&gt;-U51,U49&lt;U51),"Aceptado","Rechazado")</f>
        <v>Rechazado</v>
      </c>
      <c r="Y52" t="str">
        <f>IF(AND(Y49&gt;-Y51,Y49&lt;Y51),"Aceptado","Rechazado")</f>
        <v>Aceptado</v>
      </c>
      <c r="AC52" t="str">
        <f>IF(AND(AC49&gt;-AC51,AC49&lt;AC51),"Aceptado","Rechazado")</f>
        <v>Aceptado</v>
      </c>
      <c r="AG52" t="str">
        <f>IF(AND(AG49&gt;-AG51,AG49&lt;AG51),"Aceptado","Rechazado")</f>
        <v>Aceptado</v>
      </c>
      <c r="AK52" t="str">
        <f>IF(AND(AK49&gt;-AK51,AK49&lt;AK51),"Aceptado","Rechazado")</f>
        <v>Rechazado</v>
      </c>
      <c r="AN52" t="s">
        <v>244</v>
      </c>
      <c r="AQ52" t="str">
        <f>IF(AND(AQ49&gt;-AQ51,AQ49&lt;AQ51),"Aceptado","Rechazado")</f>
        <v>Aceptado</v>
      </c>
      <c r="AU52" t="str">
        <f>IF(AND(AU49&gt;-AU51,AU49&lt;AU51),"Aceptado","Rechazado")</f>
        <v>Aceptado</v>
      </c>
      <c r="AY52" t="str">
        <f>IF(AND(AY49&gt;-AY51,AY49&lt;AY51),"Aceptado","Rechazado")</f>
        <v>Aceptado</v>
      </c>
      <c r="BC52" t="str">
        <f>IF(AND(BC49&gt;-BC51,BC49&lt;BC51),"Aceptado","Rechazado")</f>
        <v>Aceptado</v>
      </c>
      <c r="BG52" t="str">
        <f>IF(AND(BG49&gt;-BG51,BG49&lt;BG51),"Aceptado","Rechazado")</f>
        <v>Aceptado</v>
      </c>
      <c r="BK52" t="str">
        <f>IF(AND(BK49&gt;-BK51,BK49&lt;BK51),"Aceptado","Rechazado")</f>
        <v>Aceptado</v>
      </c>
      <c r="BO52" t="str">
        <f>IF(AND(BO49&gt;-BO51,BO49&lt;BO51),"Aceptado","Rechazado")</f>
        <v>Aceptado</v>
      </c>
      <c r="BS52" t="str">
        <f>IF(AND(BS49&gt;-BS51,BS49&lt;BS51),"Aceptado","Rechazado")</f>
        <v>Aceptado</v>
      </c>
      <c r="BW52" t="str">
        <f>IF(AND(BW49&gt;-BW51,BW49&lt;BW51),"Aceptado","Rechazado")</f>
        <v>Rechazado</v>
      </c>
    </row>
    <row r="53" spans="2:75" x14ac:dyDescent="0.2">
      <c r="B53" t="s">
        <v>246</v>
      </c>
      <c r="E53">
        <f>_xlfn.T.DIST.2T(IF(E49&gt;0,E49,-E49),E37-1)</f>
        <v>0.31495672126745033</v>
      </c>
      <c r="I53">
        <f>_xlfn.T.DIST.2T(IF(I49&gt;0,I49,-I49),I37-1)</f>
        <v>0.6136265769701138</v>
      </c>
      <c r="M53">
        <f>_xlfn.T.DIST.2T(IF(M49&gt;0,M49,-M49),M37-1)</f>
        <v>0.21179405248998637</v>
      </c>
      <c r="Q53">
        <f>_xlfn.T.DIST.2T(IF(Q49&gt;0,Q49,-Q49),Q37-1)</f>
        <v>4.3803139711228206E-2</v>
      </c>
      <c r="U53">
        <f>_xlfn.T.DIST.2T(IF(U49&gt;0,U49,-U49),U37-1)</f>
        <v>1.9205523394483073E-6</v>
      </c>
      <c r="Y53">
        <f>_xlfn.T.DIST.2T(IF(Y49&gt;0,Y49,-Y49),Y37-1)</f>
        <v>0.16655637105064866</v>
      </c>
      <c r="AC53">
        <f>_xlfn.T.DIST.2T(IF(AC49&gt;0,AC49,-AC49),AC37-1)</f>
        <v>0.253601137191726</v>
      </c>
      <c r="AG53">
        <f>_xlfn.T.DIST.2T(IF(AG49&gt;0,AG49,-AG49),AG37-1)</f>
        <v>0.47791726485328101</v>
      </c>
      <c r="AK53">
        <f>_xlfn.T.DIST.2T(IF(AK49&gt;0,AK49,-AK49),AK37-1)</f>
        <v>3.3587922026055888E-3</v>
      </c>
      <c r="AN53" t="s">
        <v>246</v>
      </c>
      <c r="AQ53">
        <f>_xlfn.T.DIST.2T(IF(AQ49&gt;0,AQ49,-AQ49),AQ37-1)</f>
        <v>0.41522524472347166</v>
      </c>
    </row>
    <row r="54" spans="2:75" x14ac:dyDescent="0.2">
      <c r="B54" t="s">
        <v>245</v>
      </c>
      <c r="E54" t="str">
        <f>IF(E53&gt;$C$48,"Aceptado","Rechazado")</f>
        <v>Aceptado</v>
      </c>
      <c r="I54" t="str">
        <f>IF(I53&gt;$C$48,"Aceptado","Rechazado")</f>
        <v>Aceptado</v>
      </c>
      <c r="M54" t="str">
        <f>IF(M53&gt;$C$48,"Aceptado","Rechazado")</f>
        <v>Aceptado</v>
      </c>
      <c r="Q54" t="str">
        <f>IF(Q53&gt;$C$48,"Aceptado","Rechazado")</f>
        <v>Rechazado</v>
      </c>
      <c r="U54" t="str">
        <f>IF(U53&gt;$C$48,"Aceptado","Rechazado")</f>
        <v>Rechazado</v>
      </c>
      <c r="Y54" t="str">
        <f>IF(Y53&gt;$C$48,"Aceptado","Rechazado")</f>
        <v>Aceptado</v>
      </c>
      <c r="AC54" t="str">
        <f>IF(AC53&gt;$C$48,"Aceptado","Rechazado")</f>
        <v>Aceptado</v>
      </c>
      <c r="AG54" t="str">
        <f>IF(AG53&gt;$C$48,"Aceptado","Rechazado")</f>
        <v>Aceptado</v>
      </c>
      <c r="AK54" t="str">
        <f>IF(AK53&gt;$C$48,"Aceptado","Rechazado")</f>
        <v>Rechazado</v>
      </c>
      <c r="AN54" s="235" t="s">
        <v>252</v>
      </c>
      <c r="AQ54" t="str">
        <f>IF(AQ53&gt;$C$48,"Aceptado","Rechazado")</f>
        <v>Aceptado</v>
      </c>
    </row>
    <row r="56" spans="2:75" x14ac:dyDescent="0.2">
      <c r="B56" t="s">
        <v>251</v>
      </c>
      <c r="E56">
        <f>IF(E37&lt;=30,-_xlfn.T.INV(0.025,28)*E44/SQRT(E37),_xlfn.CONFIDENCE.NORM(0.05,E44,E37))</f>
        <v>2.1830846859979842E-2</v>
      </c>
      <c r="I56">
        <f>IF(I37&lt;=30,-_xlfn.T.INV(0.025,28)*I44/SQRT(I37),_xlfn.CONFIDENCE.NORM(0.05,I44,I37))</f>
        <v>2.9036757278950542E-3</v>
      </c>
      <c r="M56">
        <f>IF(M37&lt;=30,-_xlfn.T.INV(0.025,28)*M44/SQRT(M37),_xlfn.CONFIDENCE.NORM(0.05,M44,M37))</f>
        <v>7.9306699819351581E-2</v>
      </c>
      <c r="Q56">
        <f>IF(Q37&lt;=30,-_xlfn.T.INV(0.025,28)*Q44/SQRT(Q37),_xlfn.CONFIDENCE.NORM(0.05,Q44,Q37))</f>
        <v>4.2842727356108556E-3</v>
      </c>
      <c r="U56">
        <f>IF(U37&lt;=30,-_xlfn.T.INV(0.025,28)*U44/SQRT(U37),_xlfn.CONFIDENCE.NORM(0.05,U44,U37))</f>
        <v>1.7691961177837582E-3</v>
      </c>
      <c r="Y56">
        <f>IF(Y37&lt;=30,-_xlfn.T.INV(0.025,28)*Y44/SQRT(Y37),_xlfn.CONFIDENCE.NORM(0.05,Y44,Y37))</f>
        <v>0.14806774769831796</v>
      </c>
      <c r="AC56">
        <f>IF(AC37&lt;=30,-_xlfn.T.INV(0.025,28)*AC44/SQRT(AC37),_xlfn.CONFIDENCE.NORM(0.05,AC44,AC37))</f>
        <v>0.67906860530808455</v>
      </c>
      <c r="AG56">
        <f>IF(AG37&lt;=30,-_xlfn.T.INV(0.025,28)*AG44/SQRT(AG37),_xlfn.CONFIDENCE.NORM(0.05,AG44,AG37))</f>
        <v>0.16791033049086621</v>
      </c>
      <c r="AK56">
        <f>IF(AK37&lt;=30,-_xlfn.T.INV(0.025,28)*AK44/SQRT(AK37),_xlfn.CONFIDENCE.NORM(0.05,AK44,AK37))</f>
        <v>0.6385812421701843</v>
      </c>
      <c r="AN56" t="s">
        <v>251</v>
      </c>
      <c r="AQ56">
        <f>IF(AQ37&lt;=30,-_xlfn.T.INV(0.025,28)*AQ44/SQRT(AQ37),_xlfn.CONFIDENCE.NORM(0.05,AQ44,AQ37))</f>
        <v>0.31314170230485949</v>
      </c>
      <c r="AU56">
        <f>IF(AU37&lt;=30,-_xlfn.T.INV(0.025,28)*AU44/SQRT(AU37),_xlfn.CONFIDENCE.NORM(0.05,AU44,AU37))</f>
        <v>5.320017064964158E-3</v>
      </c>
      <c r="AY56">
        <f>IF(AY37&lt;=30,-_xlfn.T.INV(0.025,28)*AY44/SQRT(AY37),_xlfn.CONFIDENCE.NORM(0.05,AY44,AY37))</f>
        <v>0.1565096026545357</v>
      </c>
      <c r="BC56">
        <f>IF(BC37&lt;=30,-_xlfn.T.INV(0.025,28)*BC44/SQRT(BC37),_xlfn.CONFIDENCE.NORM(0.05,BC44,BC37))</f>
        <v>3.6513666208744478E-3</v>
      </c>
      <c r="BG56">
        <f>IF(BG37&lt;=30,-_xlfn.T.INV(0.025,28)*BG44/SQRT(BG37),_xlfn.CONFIDENCE.NORM(0.05,BG44,BG37))</f>
        <v>1.0857554825183064E-3</v>
      </c>
      <c r="BK56">
        <f>IF(BK37&lt;=30,-_xlfn.T.INV(0.025,28)*BK44/SQRT(BK37),_xlfn.CONFIDENCE.NORM(0.05,BK44,BK37))</f>
        <v>0.1289164373610881</v>
      </c>
      <c r="BO56">
        <f>IF(BO37&lt;=30,-_xlfn.T.INV(0.025,28)*BO44/SQRT(BO37),_xlfn.CONFIDENCE.NORM(0.05,BO44,BO37))</f>
        <v>0.78386729320544091</v>
      </c>
      <c r="BS56">
        <f>IF(BS37&lt;=30,-_xlfn.T.INV(0.025,28)*BS44/SQRT(BS37),_xlfn.CONFIDENCE.NORM(0.05,BS44,BS37))</f>
        <v>0.16323985468881749</v>
      </c>
      <c r="BW56">
        <f>IF(BW37&lt;=30,-_xlfn.T.INV(0.025,28)*BW44/SQRT(BW37),_xlfn.CONFIDENCE.NORM(0.05,BW44,BW37))</f>
        <v>0.44096518093775217</v>
      </c>
    </row>
    <row r="57" spans="2:75" x14ac:dyDescent="0.2">
      <c r="B57" t="s">
        <v>250</v>
      </c>
      <c r="E57" s="305">
        <f>E40-E56</f>
        <v>-3.0215981026174635E-3</v>
      </c>
      <c r="F57" s="305"/>
      <c r="G57" s="305"/>
      <c r="H57" s="305"/>
      <c r="I57" s="305">
        <f>I40-I56</f>
        <v>-6.5811104585841588E-4</v>
      </c>
      <c r="J57" s="305"/>
      <c r="K57" s="305"/>
      <c r="L57" s="305"/>
      <c r="M57" s="305">
        <f>M40-M56</f>
        <v>0.11164082911512722</v>
      </c>
      <c r="N57" s="305"/>
      <c r="O57" s="305"/>
      <c r="P57" s="305"/>
      <c r="Q57" s="305">
        <f>Q40-Q56</f>
        <v>-9.7911574957720987E-3</v>
      </c>
      <c r="R57" s="305"/>
      <c r="S57" s="305"/>
      <c r="T57" s="305"/>
      <c r="U57" s="305">
        <f>U40-U56</f>
        <v>3.0549803733213726E-3</v>
      </c>
      <c r="V57" s="305"/>
      <c r="W57" s="305"/>
      <c r="X57" s="305"/>
      <c r="Y57" s="305">
        <f>Y40-Y56</f>
        <v>7.7590633961091171E-2</v>
      </c>
      <c r="Z57" s="305"/>
      <c r="AA57" s="305"/>
      <c r="AB57" s="305"/>
      <c r="AC57" s="305">
        <f>AC40-AC56</f>
        <v>-0.18301612270310386</v>
      </c>
      <c r="AD57" s="305"/>
      <c r="AE57" s="305"/>
      <c r="AF57" s="305"/>
      <c r="AG57" s="305">
        <f>AG40-AG56</f>
        <v>-4.6860666956493047E-3</v>
      </c>
      <c r="AH57" s="305"/>
      <c r="AI57" s="305"/>
      <c r="AJ57" s="305"/>
      <c r="AK57" s="305">
        <f>AK40-AK56</f>
        <v>0.36335799478863728</v>
      </c>
      <c r="AN57" t="s">
        <v>250</v>
      </c>
      <c r="AQ57" s="84">
        <f>AQ40-AQ56</f>
        <v>-0.43961300489638067</v>
      </c>
      <c r="AR57" s="84"/>
      <c r="AS57" s="84"/>
      <c r="AT57" s="84"/>
      <c r="AU57" s="84">
        <f>AU40-AU56</f>
        <v>-5.6619352256534455E-3</v>
      </c>
      <c r="AV57" s="84"/>
      <c r="AW57" s="84"/>
      <c r="AX57" s="84"/>
      <c r="AY57" s="84">
        <f>AY40-AY56</f>
        <v>-1.2896965627979151E-2</v>
      </c>
      <c r="AZ57" s="84"/>
      <c r="BA57" s="84"/>
      <c r="BB57" s="84"/>
      <c r="BC57" s="84">
        <f>BC40-BC56</f>
        <v>-5.9611332135250262E-3</v>
      </c>
      <c r="BD57" s="84"/>
      <c r="BE57" s="84"/>
      <c r="BF57" s="84"/>
      <c r="BG57" s="84">
        <f>BG40-BG56</f>
        <v>2.4593650542267093E-4</v>
      </c>
      <c r="BH57" s="84"/>
      <c r="BI57" s="84"/>
      <c r="BJ57" s="84"/>
      <c r="BK57" s="84">
        <f>BK40-BK56</f>
        <v>3.8077313495935017E-4</v>
      </c>
      <c r="BL57" s="84"/>
      <c r="BM57" s="84"/>
      <c r="BN57" s="84"/>
      <c r="BO57" s="84">
        <f>BO40-BO56</f>
        <v>-0.13221314418284535</v>
      </c>
      <c r="BP57" s="84"/>
      <c r="BQ57" s="84"/>
      <c r="BR57" s="84"/>
      <c r="BS57" s="84">
        <f>BS40-BS56</f>
        <v>-0.10145194843671282</v>
      </c>
      <c r="BT57" s="84"/>
      <c r="BU57" s="84"/>
      <c r="BV57" s="84"/>
      <c r="BW57" s="84">
        <f>BW40-BW56</f>
        <v>0.56551112870231468</v>
      </c>
    </row>
    <row r="58" spans="2:75" x14ac:dyDescent="0.2">
      <c r="B58" t="s">
        <v>249</v>
      </c>
      <c r="E58" s="84">
        <f>E40+E56</f>
        <v>4.064009561734222E-2</v>
      </c>
      <c r="F58" s="84"/>
      <c r="G58" s="84"/>
      <c r="H58" s="84"/>
      <c r="I58" s="84">
        <f>I40+I56</f>
        <v>5.1492404099316921E-3</v>
      </c>
      <c r="J58" s="84"/>
      <c r="K58" s="84"/>
      <c r="L58" s="84"/>
      <c r="M58" s="84">
        <f>M40+M56</f>
        <v>0.27025422875383037</v>
      </c>
      <c r="N58" s="84"/>
      <c r="O58" s="84"/>
      <c r="P58" s="84"/>
      <c r="Q58" s="84">
        <f>Q40+Q56</f>
        <v>-1.2226120245503866E-3</v>
      </c>
      <c r="R58" s="84"/>
      <c r="S58" s="84"/>
      <c r="T58" s="84"/>
      <c r="U58" s="84">
        <f>U40+U56</f>
        <v>6.5933726088888891E-3</v>
      </c>
      <c r="V58" s="84"/>
      <c r="W58" s="84"/>
      <c r="X58" s="84"/>
      <c r="Y58" s="84">
        <f>Y40+Y56</f>
        <v>0.37372612935772709</v>
      </c>
      <c r="Z58" s="84"/>
      <c r="AA58" s="84"/>
      <c r="AB58" s="84"/>
      <c r="AC58" s="84">
        <f>AC40+AC56</f>
        <v>1.1751210879130651</v>
      </c>
      <c r="AD58" s="84"/>
      <c r="AE58" s="84"/>
      <c r="AF58" s="84"/>
      <c r="AG58" s="84">
        <f>AG40+AG56</f>
        <v>0.33113459428608311</v>
      </c>
      <c r="AH58" s="84"/>
      <c r="AI58" s="84"/>
      <c r="AJ58" s="84"/>
      <c r="AK58" s="84">
        <f>AK40+AK56</f>
        <v>1.6405204791290058</v>
      </c>
      <c r="AN58" t="s">
        <v>249</v>
      </c>
      <c r="AQ58" s="84">
        <f>AQ40+AQ56</f>
        <v>0.18667039971333835</v>
      </c>
      <c r="AR58" s="84"/>
      <c r="AS58" s="84"/>
      <c r="AT58" s="84"/>
      <c r="AU58" s="84">
        <f>AU40+AU56</f>
        <v>4.9780989042748705E-3</v>
      </c>
      <c r="AV58" s="84"/>
      <c r="AW58" s="84"/>
      <c r="AX58" s="84"/>
      <c r="AY58" s="84">
        <f>AY40+AY56</f>
        <v>0.30012223968109225</v>
      </c>
      <c r="AZ58" s="84"/>
      <c r="BA58" s="84"/>
      <c r="BB58" s="84"/>
      <c r="BC58" s="84">
        <f>BC40+BC56</f>
        <v>1.3416000282238699E-3</v>
      </c>
      <c r="BD58" s="84"/>
      <c r="BE58" s="84"/>
      <c r="BF58" s="84"/>
      <c r="BG58" s="84">
        <f>BG40+BG56</f>
        <v>2.417447470459284E-3</v>
      </c>
      <c r="BH58" s="84"/>
      <c r="BI58" s="84"/>
      <c r="BJ58" s="84"/>
      <c r="BK58" s="84">
        <f>BK40+BK56</f>
        <v>0.25821364785713552</v>
      </c>
      <c r="BL58" s="84"/>
      <c r="BM58" s="84"/>
      <c r="BN58" s="84"/>
      <c r="BO58" s="84">
        <f>BO40+BO56</f>
        <v>1.4355214422280365</v>
      </c>
      <c r="BP58" s="84"/>
      <c r="BQ58" s="84"/>
      <c r="BR58" s="84"/>
      <c r="BS58" s="84">
        <f>BS40+BS56</f>
        <v>0.22502776094092217</v>
      </c>
      <c r="BT58" s="84"/>
      <c r="BU58" s="84"/>
      <c r="BV58" s="84"/>
      <c r="BW58" s="84">
        <f>BW40+BW56</f>
        <v>1.447441490577819</v>
      </c>
    </row>
    <row r="60" spans="2:75" x14ac:dyDescent="0.2">
      <c r="B60" s="6" t="s">
        <v>248</v>
      </c>
      <c r="E60">
        <f>_xlfn.T.INV.2T(0.01,E37-1)</f>
        <v>2.7563859036706049</v>
      </c>
      <c r="I60">
        <f>_xlfn.T.INV.2T(0.01,I37-1)</f>
        <v>2.7563859036706049</v>
      </c>
      <c r="M60">
        <f>_xlfn.T.INV.2T(0.01,M37-1)</f>
        <v>2.7563859036706049</v>
      </c>
      <c r="Q60">
        <f>_xlfn.T.INV.2T(0.01,Q37-1)</f>
        <v>2.7563859036706049</v>
      </c>
      <c r="U60">
        <f>_xlfn.T.INV.2T(0.01,U37-1)</f>
        <v>2.770682957122212</v>
      </c>
      <c r="Y60">
        <f>_xlfn.T.INV.2T(0.01,Y37-1)</f>
        <v>2.7632624554614447</v>
      </c>
      <c r="AC60">
        <f>_xlfn.T.INV.2T(0.01,AC37-1)</f>
        <v>2.7563859036706049</v>
      </c>
      <c r="AG60">
        <f>_xlfn.T.INV.2T(0.01,AG37-1)</f>
        <v>2.7563859036706049</v>
      </c>
      <c r="AK60">
        <f>_xlfn.T.INV.2T(0.01,AK37-1)</f>
        <v>2.7563859036706049</v>
      </c>
      <c r="AN60" t="s">
        <v>248</v>
      </c>
      <c r="AQ60">
        <f>_xlfn.T.INV.2T(0.01,AQ37-1)</f>
        <v>2.7632624554614447</v>
      </c>
      <c r="AU60">
        <f>_xlfn.T.INV.2T(0.01,AU37-1)</f>
        <v>2.7632624554614447</v>
      </c>
      <c r="AY60">
        <f>_xlfn.T.INV.2T(0.01,AY37-1)</f>
        <v>2.7632624554614447</v>
      </c>
      <c r="BC60">
        <f>_xlfn.T.INV.2T(0.01,BC37-1)</f>
        <v>2.7632624554614447</v>
      </c>
      <c r="BG60">
        <f>_xlfn.T.INV.2T(0.01,BG37-1)</f>
        <v>2.7632624554614447</v>
      </c>
      <c r="BK60">
        <f>_xlfn.T.INV.2T(0.01,BK37-1)</f>
        <v>2.7632624554614447</v>
      </c>
      <c r="BO60">
        <f>_xlfn.T.INV.2T(0.01,BO37-1)</f>
        <v>2.7632624554614447</v>
      </c>
      <c r="BS60">
        <f>_xlfn.T.INV.2T(0.01,BS37-1)</f>
        <v>2.7632624554614447</v>
      </c>
      <c r="BW60">
        <f>_xlfn.T.INV.2T(0.01,BW37-1)</f>
        <v>2.770682957122212</v>
      </c>
    </row>
    <row r="61" spans="2:75" x14ac:dyDescent="0.2">
      <c r="B61" t="s">
        <v>245</v>
      </c>
      <c r="E61" t="str">
        <f>IF(AND(E49&gt;-E60,E49&lt;E60),"Aceptado","Rechazado")</f>
        <v>Aceptado</v>
      </c>
      <c r="I61" t="str">
        <f>IF(AND(I49&gt;-I60,I49&lt;I60),"Aceptado","Rechazado")</f>
        <v>Aceptado</v>
      </c>
      <c r="M61" t="str">
        <f>IF(AND(M49&gt;-M60,M49&lt;M60),"Aceptado","Rechazado")</f>
        <v>Aceptado</v>
      </c>
      <c r="Q61" t="str">
        <f>IF(AND(Q49&gt;-Q60,Q49&lt;Q60),"Aceptado","Rechazado")</f>
        <v>Aceptado</v>
      </c>
      <c r="U61" t="str">
        <f>IF(AND(U49&gt;-U60,U49&lt;U60),"Aceptado","Rechazado")</f>
        <v>Rechazado</v>
      </c>
      <c r="Y61" t="str">
        <f>IF(AND(Y49&gt;-Y60,Y49&lt;Y60),"Aceptado","Rechazado")</f>
        <v>Aceptado</v>
      </c>
      <c r="AC61" t="str">
        <f>IF(AND(AC49&gt;-AC60,AC49&lt;AC60),"Aceptado","Rechazado")</f>
        <v>Aceptado</v>
      </c>
      <c r="AG61" t="str">
        <f>IF(AND(AG49&gt;-AG60,AG49&lt;AG60),"Aceptado","Rechazado")</f>
        <v>Aceptado</v>
      </c>
      <c r="AK61" t="str">
        <f>IF(AND(AK49&gt;-AK60,AK49&lt;AK60),"Aceptado","Rechazado")</f>
        <v>Rechazado</v>
      </c>
      <c r="AN61" t="s">
        <v>244</v>
      </c>
      <c r="AQ61" t="str">
        <f>IF(AND(AQ49&gt;-AQ60,AQ49&lt;AQ60),"Aceptado","Rechazado")</f>
        <v>Aceptado</v>
      </c>
      <c r="AU61" t="str">
        <f>IF(AND(AU49&gt;-AU60,AU49&lt;AU60),"Aceptado","Rechazado")</f>
        <v>Aceptado</v>
      </c>
      <c r="AY61" t="str">
        <f>IF(AND(AY49&gt;-AY60,AY49&lt;AY60),"Aceptado","Rechazado")</f>
        <v>Aceptado</v>
      </c>
      <c r="BC61" t="str">
        <f>IF(AND(BC49&gt;-BC60,BC49&lt;BC60),"Aceptado","Rechazado")</f>
        <v>Aceptado</v>
      </c>
      <c r="BG61" t="str">
        <f>IF(AND(BG49&gt;-BG60,BG49&lt;BG60),"Aceptado","Rechazado")</f>
        <v>Aceptado</v>
      </c>
      <c r="BK61" t="str">
        <f>IF(AND(BK49&gt;-BK60,BK49&lt;BK60),"Aceptado","Rechazado")</f>
        <v>Aceptado</v>
      </c>
      <c r="BO61" t="str">
        <f>IF(AND(BO49&gt;-BO60,BO49&lt;BO60),"Aceptado","Rechazado")</f>
        <v>Aceptado</v>
      </c>
      <c r="BS61" t="str">
        <f>IF(AND(BS49&gt;-BS60,BS49&lt;BS60),"Aceptado","Rechazado")</f>
        <v>Aceptado</v>
      </c>
      <c r="BW61" t="str">
        <f>IF(AND(BW49&gt;-BW60,BW49&lt;BW60),"Aceptado","Rechazado")</f>
        <v>Rechazado</v>
      </c>
    </row>
    <row r="62" spans="2:75" x14ac:dyDescent="0.2">
      <c r="B62" t="s">
        <v>246</v>
      </c>
      <c r="E62">
        <f>_xlfn.T.DIST.2T(IF(E49&gt;0,E49,-E49),E37-1)</f>
        <v>0.31495672126745033</v>
      </c>
      <c r="I62">
        <f>_xlfn.T.DIST.2T(IF(I49&gt;0,I49,-I49),I37-1)</f>
        <v>0.6136265769701138</v>
      </c>
      <c r="M62">
        <f>_xlfn.T.DIST.2T(IF(M49&gt;0,M49,-M49),M37-1)</f>
        <v>0.21179405248998637</v>
      </c>
      <c r="Q62">
        <f>_xlfn.T.DIST.2T(IF(Q49&gt;0,Q49,-Q49),Q37-1)</f>
        <v>4.3803139711228206E-2</v>
      </c>
      <c r="U62">
        <f>_xlfn.T.DIST.2T(IF(U49&gt;0,U49,-U49),U37-1)</f>
        <v>1.9205523394483073E-6</v>
      </c>
      <c r="Y62">
        <f>_xlfn.T.DIST.2T(IF(Y49&gt;0,Y49,-Y49),Y37-1)</f>
        <v>0.16655637105064866</v>
      </c>
      <c r="AC62">
        <f>_xlfn.T.DIST.2T(IF(AC49&gt;0,AC49,-AC49),AC37-1)</f>
        <v>0.253601137191726</v>
      </c>
      <c r="AG62">
        <f>_xlfn.T.DIST.2T(IF(AG49&gt;0,AG49,-AG49),AG37-1)</f>
        <v>0.47791726485328101</v>
      </c>
      <c r="AK62">
        <f>_xlfn.T.DIST.2T(IF(AK49&gt;0,AK49,-AK49),AK37-1)</f>
        <v>3.3587922026055888E-3</v>
      </c>
      <c r="AN62" t="s">
        <v>246</v>
      </c>
      <c r="AQ62">
        <f>_xlfn.T.DIST.2T(IF(AQ49&gt;0,AQ49,-AQ49),AQ37-1)</f>
        <v>0.41522524472347166</v>
      </c>
      <c r="AU62">
        <f>_xlfn.T.DIST.2T(IF(AU49&gt;0,AU49,-AU49),AU37-1)</f>
        <v>0.94057776936551463</v>
      </c>
      <c r="AY62">
        <f>_xlfn.T.DIST.2T(IF(AY49&gt;0,AY49,-AY49),AY37-1)</f>
        <v>0.38401947875634712</v>
      </c>
      <c r="BC62">
        <f>_xlfn.T.DIST.2T(IF(BC49&gt;0,BC49,-BC49),BC37-1)</f>
        <v>0.38852257481825703</v>
      </c>
      <c r="BG62">
        <f>_xlfn.T.DIST.2T(IF(BG49&gt;0,BG49,-BG49),BG37-1)</f>
        <v>9.7742110260000611E-2</v>
      </c>
      <c r="BK62">
        <f>_xlfn.T.DIST.2T(IF(BK49&gt;0,BK49,-BK49),BK37-1)</f>
        <v>0.3905687070220879</v>
      </c>
      <c r="BO62">
        <f>_xlfn.T.DIST.2T(IF(BO49&gt;0,BO49,-BO49),BO37-1)</f>
        <v>0.15077189899095239</v>
      </c>
      <c r="BS62">
        <f>_xlfn.T.DIST.2T(IF(BS49&gt;0,BS49,-BS49),BS37-1)</f>
        <v>0.74268595747931787</v>
      </c>
      <c r="BW62">
        <f>_xlfn.T.DIST.2T(IF(BW49&gt;0,BW49,-BW49),BW37-1)</f>
        <v>4.4937776661582822E-3</v>
      </c>
    </row>
    <row r="63" spans="2:75" x14ac:dyDescent="0.2">
      <c r="B63" t="s">
        <v>245</v>
      </c>
      <c r="E63" t="str">
        <f>IF(E62&gt;0.01,"Aceptado","Rechazado")</f>
        <v>Aceptado</v>
      </c>
      <c r="I63" t="str">
        <f>IF(I62&gt;0.01,"Aceptado","Rechazado")</f>
        <v>Aceptado</v>
      </c>
      <c r="M63" t="str">
        <f>IF(M62&gt;0.01,"Aceptado","Rechazado")</f>
        <v>Aceptado</v>
      </c>
      <c r="Q63" t="str">
        <f>IF(Q62&gt;0.01,"Aceptado","Rechazado")</f>
        <v>Aceptado</v>
      </c>
      <c r="U63" t="str">
        <f>IF(U62&gt;0.01,"Aceptado","Rechazado")</f>
        <v>Rechazado</v>
      </c>
      <c r="Y63" t="str">
        <f>IF(Y62&gt;0.01,"Aceptado","Rechazado")</f>
        <v>Aceptado</v>
      </c>
      <c r="AC63" t="str">
        <f>IF(AC62&gt;0.01,"Aceptado","Rechazado")</f>
        <v>Aceptado</v>
      </c>
      <c r="AG63" t="str">
        <f>IF(AG62&gt;0.01,"Aceptado","Rechazado")</f>
        <v>Aceptado</v>
      </c>
      <c r="AK63" t="str">
        <f>IF(AK62&gt;0.01,"Aceptado","Rechazado")</f>
        <v>Rechazado</v>
      </c>
      <c r="AN63" t="s">
        <v>244</v>
      </c>
      <c r="AQ63" t="str">
        <f>IF(AQ62&gt;0.01,"Aceptado","Rechazado")</f>
        <v>Aceptado</v>
      </c>
      <c r="AU63" t="str">
        <f>IF(AU62&gt;0.01,"Aceptado","Rechazado")</f>
        <v>Aceptado</v>
      </c>
      <c r="AY63" t="str">
        <f>IF(AY62&gt;0.01,"Aceptado","Rechazado")</f>
        <v>Aceptado</v>
      </c>
      <c r="BC63" t="str">
        <f>IF(BC62&gt;0.01,"Aceptado","Rechazado")</f>
        <v>Aceptado</v>
      </c>
      <c r="BG63" t="str">
        <f>IF(BG62&gt;0.01,"Aceptado","Rechazado")</f>
        <v>Aceptado</v>
      </c>
      <c r="BK63" t="str">
        <f>IF(BK62&gt;0.01,"Aceptado","Rechazado")</f>
        <v>Aceptado</v>
      </c>
      <c r="BO63" t="str">
        <f>IF(BO62&gt;0.01,"Aceptado","Rechazado")</f>
        <v>Aceptado</v>
      </c>
      <c r="BS63" t="str">
        <f>IF(BS62&gt;0.01,"Aceptado","Rechazado")</f>
        <v>Aceptado</v>
      </c>
      <c r="BW63" t="str">
        <f>IF(BW62&gt;0.01,"Aceptado","Rechazado")</f>
        <v>Rechazado</v>
      </c>
    </row>
    <row r="66" spans="2:75" x14ac:dyDescent="0.2">
      <c r="B66" s="6" t="s">
        <v>247</v>
      </c>
      <c r="E66">
        <f>_xlfn.T.INV.2T(0.1,E37-1)</f>
        <v>1.6991270265334986</v>
      </c>
      <c r="I66">
        <f>_xlfn.T.INV.2T(0.1,I37-1)</f>
        <v>1.6991270265334986</v>
      </c>
      <c r="M66">
        <f>_xlfn.T.INV.2T(0.1,M37-1)</f>
        <v>1.6991270265334986</v>
      </c>
      <c r="Q66">
        <f>_xlfn.T.INV.2T(0.1,Q37-1)</f>
        <v>1.6991270265334986</v>
      </c>
      <c r="U66">
        <f>_xlfn.T.INV.2T(0.1,U37-1)</f>
        <v>1.7032884457221271</v>
      </c>
      <c r="Y66">
        <f>_xlfn.T.INV.2T(0.1,Y37-1)</f>
        <v>1.7011309342659326</v>
      </c>
      <c r="AC66">
        <f>_xlfn.T.INV.2T(0.1,AC37-1)</f>
        <v>1.6991270265334986</v>
      </c>
      <c r="AG66">
        <f>_xlfn.T.INV.2T(0.1,AG37-1)</f>
        <v>1.6991270265334986</v>
      </c>
      <c r="AK66">
        <f>_xlfn.T.INV.2T(0.1,AK37-1)</f>
        <v>1.6991270265334986</v>
      </c>
      <c r="AN66" t="s">
        <v>247</v>
      </c>
      <c r="AQ66">
        <f>_xlfn.T.INV.2T(0.1,AQ37-1)</f>
        <v>1.7011309342659326</v>
      </c>
      <c r="AU66">
        <f>_xlfn.T.INV.2T(0.1,AU37-1)</f>
        <v>1.7011309342659326</v>
      </c>
      <c r="AY66">
        <f>_xlfn.T.INV.2T(0.1,AY37-1)</f>
        <v>1.7011309342659326</v>
      </c>
      <c r="BC66">
        <f>_xlfn.T.INV.2T(0.1,BC37-1)</f>
        <v>1.7011309342659326</v>
      </c>
      <c r="BG66">
        <f>_xlfn.T.INV.2T(0.1,BG37-1)</f>
        <v>1.7011309342659326</v>
      </c>
      <c r="BK66">
        <f>_xlfn.T.INV.2T(0.1,BK37-1)</f>
        <v>1.7011309342659326</v>
      </c>
      <c r="BO66">
        <f>_xlfn.T.INV.2T(0.1,BO37-1)</f>
        <v>1.7011309342659326</v>
      </c>
      <c r="BS66">
        <f>_xlfn.T.INV.2T(0.1,BS37-1)</f>
        <v>1.7011309342659326</v>
      </c>
      <c r="BW66">
        <f>_xlfn.T.INV.2T(0.1,BW37-1)</f>
        <v>1.7032884457221271</v>
      </c>
    </row>
    <row r="67" spans="2:75" x14ac:dyDescent="0.2">
      <c r="B67" t="s">
        <v>245</v>
      </c>
      <c r="E67" t="str">
        <f>IF(AND(E49&gt;-E66,E49&lt;E66),"Aceptado","Rechazado")</f>
        <v>Aceptado</v>
      </c>
      <c r="I67" t="str">
        <f>IF(AND(I49&gt;-I66,I49&lt;I66),"Aceptado","Rechazado")</f>
        <v>Aceptado</v>
      </c>
      <c r="M67" t="str">
        <f>IF(AND(M49&gt;-M66,M49&lt;M66),"Aceptado","Rechazado")</f>
        <v>Aceptado</v>
      </c>
      <c r="Q67" t="str">
        <f>IF(AND(Q49&gt;-Q66,Q49&lt;Q66),"Aceptado","Rechazado")</f>
        <v>Rechazado</v>
      </c>
      <c r="U67" t="str">
        <f>IF(AND(U49&gt;-U66,U49&lt;U66),"Aceptado","Rechazado")</f>
        <v>Rechazado</v>
      </c>
      <c r="Y67" t="str">
        <f>IF(AND(Y49&gt;-Y66,Y49&lt;Y66),"Aceptado","Rechazado")</f>
        <v>Aceptado</v>
      </c>
      <c r="AC67" t="str">
        <f>IF(AND(AC49&gt;-AC66,AC49&lt;AC66),"Aceptado","Rechazado")</f>
        <v>Aceptado</v>
      </c>
      <c r="AG67" t="str">
        <f>IF(AND(AG49&gt;-AG66,AG49&lt;AG66),"Aceptado","Rechazado")</f>
        <v>Aceptado</v>
      </c>
      <c r="AK67" t="str">
        <f>IF(AND(AK49&gt;-AK66,AK49&lt;AK66),"Aceptado","Rechazado")</f>
        <v>Rechazado</v>
      </c>
      <c r="AN67" t="s">
        <v>244</v>
      </c>
      <c r="AQ67" t="str">
        <f>IF(AND(AQ49&gt;-AQ66,AQ49&gt;AQ66),"Aceptado","Rechazado")</f>
        <v>Rechazado</v>
      </c>
      <c r="AU67" t="str">
        <f>IF(AND(AU49&gt;-AU66,AU49&gt;AU66),"Aceptado","Rechazado")</f>
        <v>Rechazado</v>
      </c>
      <c r="AY67" t="str">
        <f>IF(AND(AY49&gt;-AY66,AY49&gt;AY66),"Aceptado","Rechazado")</f>
        <v>Rechazado</v>
      </c>
      <c r="BC67" t="str">
        <f>IF(AND(BC49&gt;-BC66,BC49&gt;BC66),"Aceptado","Rechazado")</f>
        <v>Rechazado</v>
      </c>
      <c r="BG67" t="str">
        <f>IF(AND(BG49&gt;-BG66,BG49&gt;BG66),"Aceptado","Rechazado")</f>
        <v>Aceptado</v>
      </c>
      <c r="BK67" t="str">
        <f>IF(AND(BK49&gt;-BK66,BK49&gt;BK66),"Aceptado","Rechazado")</f>
        <v>Rechazado</v>
      </c>
      <c r="BO67" t="str">
        <f>IF(AND(BO49&gt;-BO66,BO49&gt;BO66),"Aceptado","Rechazado")</f>
        <v>Rechazado</v>
      </c>
      <c r="BS67" t="str">
        <f>IF(AND(BS49&gt;-BS66,BS49&gt;BS66),"Aceptado","Rechazado")</f>
        <v>Rechazado</v>
      </c>
      <c r="BW67" t="str">
        <f>IF(AND(BW49&gt;-BW66,BW49&gt;BW66),"Aceptado","Rechazado")</f>
        <v>Aceptado</v>
      </c>
    </row>
    <row r="68" spans="2:75" x14ac:dyDescent="0.2">
      <c r="B68" t="s">
        <v>246</v>
      </c>
      <c r="E68">
        <f>_xlfn.T.DIST.2T(IF(E49&gt;0,E49,-E49),E37-1)</f>
        <v>0.31495672126745033</v>
      </c>
      <c r="I68">
        <f>_xlfn.T.DIST.2T(IF(I49&gt;0,I49,-I49),I37-1)</f>
        <v>0.6136265769701138</v>
      </c>
      <c r="M68">
        <f>_xlfn.T.DIST.2T(IF(M49&gt;0,M49,-M49),M37-1)</f>
        <v>0.21179405248998637</v>
      </c>
      <c r="Q68">
        <f>_xlfn.T.DIST.2T(IF(Q49&gt;0,Q49,-Q49),Q37-1)</f>
        <v>4.3803139711228206E-2</v>
      </c>
      <c r="U68">
        <f>_xlfn.T.DIST.2T(IF(U49&gt;0,U49,-U49),U37-1)</f>
        <v>1.9205523394483073E-6</v>
      </c>
      <c r="Y68">
        <f>_xlfn.T.DIST.2T(IF(Y49&gt;0,Y49,-Y49),Y37-1)</f>
        <v>0.16655637105064866</v>
      </c>
      <c r="AC68">
        <f>_xlfn.T.DIST.2T(IF(AC49&gt;0,AC49,-AC49),AC37-1)</f>
        <v>0.253601137191726</v>
      </c>
      <c r="AG68">
        <f>_xlfn.T.DIST.2T(IF(AG49&gt;0,AG49,-AG49),AG37-1)</f>
        <v>0.47791726485328101</v>
      </c>
      <c r="AK68">
        <f>_xlfn.T.DIST.2T(IF(AK49&gt;0,AK49,-AK49),AK37-1)</f>
        <v>3.3587922026055888E-3</v>
      </c>
      <c r="AN68" t="s">
        <v>246</v>
      </c>
      <c r="AQ68">
        <f>_xlfn.T.DIST.2T(IF(AQ49&gt;0,AQ49,-AQ49),AQ37-1)</f>
        <v>0.41522524472347166</v>
      </c>
      <c r="AU68">
        <f>_xlfn.T.DIST.2T(IF(AU49&gt;0,AU49,-AU49),AU37-1)</f>
        <v>0.94057776936551463</v>
      </c>
      <c r="AY68">
        <f>_xlfn.T.DIST.2T(IF(AY49&gt;0,AY49,-AY49),AY37-1)</f>
        <v>0.38401947875634712</v>
      </c>
      <c r="BC68">
        <f>_xlfn.T.DIST.2T(IF(BC49&gt;0,BC49,-BC49),BC37-1)</f>
        <v>0.38852257481825703</v>
      </c>
      <c r="BG68">
        <f>_xlfn.T.DIST.2T(IF(BG49&gt;0,BG49,-BG49),BG37-1)</f>
        <v>9.7742110260000611E-2</v>
      </c>
      <c r="BK68">
        <f>_xlfn.T.DIST.2T(IF(BK49&gt;0,BK49,-BK49),BK37-1)</f>
        <v>0.3905687070220879</v>
      </c>
      <c r="BO68">
        <f>_xlfn.T.DIST.2T(IF(BO49&gt;0,BO49,-BO49),BO37-1)</f>
        <v>0.15077189899095239</v>
      </c>
      <c r="BS68">
        <f>_xlfn.T.DIST.2T(IF(BS49&gt;0,BS49,-BS49),BS37-1)</f>
        <v>0.74268595747931787</v>
      </c>
      <c r="BW68">
        <f>_xlfn.T.DIST.2T(IF(BW49&gt;0,BW49,-BW49),BW37-1)</f>
        <v>4.4937776661582822E-3</v>
      </c>
    </row>
    <row r="69" spans="2:75" x14ac:dyDescent="0.2">
      <c r="B69" t="s">
        <v>245</v>
      </c>
      <c r="E69" t="str">
        <f>IF(E68&gt;0.1,"Aceptado","Rechazado")</f>
        <v>Aceptado</v>
      </c>
      <c r="I69" t="str">
        <f>IF(I68&gt;0.1,"Aceptado","Rechazado")</f>
        <v>Aceptado</v>
      </c>
      <c r="M69" t="str">
        <f>IF(M68&gt;0.1,"Aceptado","Rechazado")</f>
        <v>Aceptado</v>
      </c>
      <c r="Q69" t="str">
        <f>IF(Q68&gt;0.1,"Aceptado","Rechazado")</f>
        <v>Rechazado</v>
      </c>
      <c r="U69" t="str">
        <f>IF(U68&gt;0.1,"Aceptado","Rechazado")</f>
        <v>Rechazado</v>
      </c>
      <c r="Y69" t="str">
        <f>IF(Y68&gt;0.1,"Aceptado","Rechazado")</f>
        <v>Aceptado</v>
      </c>
      <c r="AC69" t="str">
        <f>IF(AC68&gt;0.1,"Aceptado","Rechazado")</f>
        <v>Aceptado</v>
      </c>
      <c r="AG69" t="str">
        <f>IF(AG68&gt;0.1,"Aceptado","Rechazado")</f>
        <v>Aceptado</v>
      </c>
      <c r="AK69" t="str">
        <f>IF(AK68&gt;0.1,"Aceptado","Rechazado")</f>
        <v>Rechazado</v>
      </c>
      <c r="AN69" t="s">
        <v>244</v>
      </c>
      <c r="AQ69" t="str">
        <f>IF(AQ68&gt;0.1,"Aceptado","Rechazado")</f>
        <v>Aceptado</v>
      </c>
      <c r="AU69" t="str">
        <f>IF(AU68&gt;0.1,"Aceptado","Rechazado")</f>
        <v>Aceptado</v>
      </c>
      <c r="AY69" t="str">
        <f>IF(AY68&gt;0.1,"Aceptado","Rechazado")</f>
        <v>Aceptado</v>
      </c>
      <c r="BC69" t="str">
        <f>IF(BC68&gt;0.1,"Aceptado","Rechazado")</f>
        <v>Aceptado</v>
      </c>
      <c r="BG69" t="str">
        <f>IF(BG68&gt;0.1,"Aceptado","Rechazado")</f>
        <v>Rechazado</v>
      </c>
      <c r="BK69" t="str">
        <f>IF(BK68&gt;0.1,"Aceptado","Rechazado")</f>
        <v>Aceptado</v>
      </c>
      <c r="BO69" t="str">
        <f>IF(BO68&gt;0.1,"Aceptado","Rechazado")</f>
        <v>Aceptado</v>
      </c>
      <c r="BS69" t="str">
        <f>IF(BS68&gt;0.1,"Aceptado","Rechazado")</f>
        <v>Aceptado</v>
      </c>
      <c r="BW69" t="str">
        <f>IF(BW68&gt;0.1,"Aceptado","Rechazado")</f>
        <v>Rechazado</v>
      </c>
    </row>
    <row r="78" spans="2:75" x14ac:dyDescent="0.2">
      <c r="C78" s="84">
        <v>3.3000000000000002E-2</v>
      </c>
      <c r="D78">
        <v>3.3000000000000002E-2</v>
      </c>
      <c r="E78">
        <v>-0.3</v>
      </c>
      <c r="G78">
        <v>1E-3</v>
      </c>
      <c r="H78">
        <v>1E-3</v>
      </c>
      <c r="I78">
        <v>-0.04</v>
      </c>
      <c r="K78">
        <v>1</v>
      </c>
      <c r="L78">
        <v>1</v>
      </c>
      <c r="M78">
        <v>-0.8</v>
      </c>
      <c r="O78" s="303">
        <v>2.5000000000000001E-2</v>
      </c>
      <c r="P78" s="303">
        <v>1.4999999999999999E-2</v>
      </c>
      <c r="Q78" s="303">
        <v>-4.4999999999999998E-2</v>
      </c>
      <c r="R78" s="303"/>
      <c r="S78" s="303">
        <v>8.0000000000000007E-5</v>
      </c>
      <c r="T78" s="303">
        <v>8.0000000000000007E-5</v>
      </c>
      <c r="U78" s="303">
        <v>-7.0000000000000001E-3</v>
      </c>
      <c r="V78" s="303"/>
      <c r="W78" s="303">
        <v>1</v>
      </c>
      <c r="X78" s="303">
        <v>1</v>
      </c>
      <c r="Y78" s="303">
        <v>-1</v>
      </c>
      <c r="Z78" s="303"/>
      <c r="AA78" s="303">
        <v>20</v>
      </c>
      <c r="AB78" s="303">
        <v>20</v>
      </c>
      <c r="AC78" s="303">
        <v>-5</v>
      </c>
      <c r="AD78" s="303"/>
      <c r="AE78" s="303">
        <v>-0.4</v>
      </c>
      <c r="AF78" s="303">
        <v>-0.4</v>
      </c>
      <c r="AG78" s="303">
        <v>-2</v>
      </c>
      <c r="AH78" s="303"/>
      <c r="AI78" s="303">
        <v>24</v>
      </c>
      <c r="AJ78" s="303">
        <v>25</v>
      </c>
      <c r="AK78" s="303">
        <v>-3.1</v>
      </c>
      <c r="AL78" s="303"/>
      <c r="AM78" s="303"/>
      <c r="AN78" s="303"/>
      <c r="AO78" s="303">
        <v>3.3000000000000002E-2</v>
      </c>
      <c r="AP78" s="303">
        <v>3.3000000000000002E-2</v>
      </c>
      <c r="AQ78" s="303">
        <v>-0.4</v>
      </c>
      <c r="AR78" s="303"/>
      <c r="AS78" s="303">
        <v>1E-4</v>
      </c>
      <c r="AT78" s="303">
        <v>1E-4</v>
      </c>
      <c r="AU78" s="303">
        <v>-0.04</v>
      </c>
      <c r="AV78" s="303"/>
      <c r="AW78" s="303">
        <v>1</v>
      </c>
      <c r="AX78" s="303">
        <v>1</v>
      </c>
      <c r="AY78" s="303">
        <v>-0.8</v>
      </c>
      <c r="AZ78" s="303"/>
      <c r="BA78" s="303">
        <v>2.5000000000000001E-2</v>
      </c>
      <c r="BB78" s="303">
        <v>1.4999999999999999E-2</v>
      </c>
      <c r="BC78" s="303">
        <v>-4.4999999999999998E-2</v>
      </c>
      <c r="BD78" s="303"/>
      <c r="BE78" s="303">
        <v>6.0000000000000002E-5</v>
      </c>
      <c r="BF78" s="303">
        <v>6.0000000000000002E-5</v>
      </c>
      <c r="BG78" s="303">
        <v>-7.0000000000000001E-3</v>
      </c>
      <c r="BH78" s="303"/>
      <c r="BI78" s="303">
        <v>1</v>
      </c>
      <c r="BJ78" s="303">
        <v>0.3</v>
      </c>
      <c r="BK78" s="303">
        <v>-1</v>
      </c>
      <c r="BL78" s="303"/>
      <c r="BM78" s="303">
        <v>20</v>
      </c>
      <c r="BN78" s="303">
        <v>20</v>
      </c>
      <c r="BO78" s="303">
        <v>-5</v>
      </c>
      <c r="BP78" s="303"/>
      <c r="BQ78" s="303">
        <v>-0.4</v>
      </c>
      <c r="BR78" s="303">
        <v>-0.4</v>
      </c>
      <c r="BS78" s="303">
        <v>-2</v>
      </c>
      <c r="BT78" s="303"/>
      <c r="BU78" s="303">
        <v>24</v>
      </c>
      <c r="BV78" s="303">
        <v>25</v>
      </c>
      <c r="BW78" s="303">
        <v>-3.5</v>
      </c>
    </row>
    <row r="79" spans="2:75" x14ac:dyDescent="0.2">
      <c r="C79" s="304">
        <v>6.6000000000000003E-2</v>
      </c>
      <c r="D79" s="303">
        <v>6.6000000000000003E-2</v>
      </c>
      <c r="E79">
        <f t="shared" ref="E79:E107" si="70">E78+0.02</f>
        <v>-0.27999999999999997</v>
      </c>
      <c r="G79" s="303">
        <v>3.5000000000000001E-3</v>
      </c>
      <c r="H79" s="303">
        <v>3.5000000000000001E-3</v>
      </c>
      <c r="I79">
        <f t="shared" ref="I79:I107" si="71">I78+0.0025</f>
        <v>-3.7499999999999999E-2</v>
      </c>
      <c r="K79">
        <v>1.1000000000000001</v>
      </c>
      <c r="L79">
        <v>1.1000000000000001</v>
      </c>
      <c r="M79">
        <f t="shared" ref="M79:M107" si="72">M78+0.07</f>
        <v>-0.73</v>
      </c>
      <c r="O79" s="303">
        <f t="shared" ref="O79:O107" si="73">O78+0.0025</f>
        <v>2.75E-2</v>
      </c>
      <c r="P79" s="303">
        <f t="shared" ref="P79:P107" si="74">P78+0.003</f>
        <v>1.7999999999999999E-2</v>
      </c>
      <c r="Q79" s="303">
        <f t="shared" ref="Q79:Q107" si="75">Q78+0.0029</f>
        <v>-4.2099999999999999E-2</v>
      </c>
      <c r="R79" s="303"/>
      <c r="S79" s="303">
        <f t="shared" ref="S79:S107" si="76">S78+0.0005</f>
        <v>5.8E-4</v>
      </c>
      <c r="T79" s="303">
        <f t="shared" ref="T79:T107" si="77">T78+0.0005</f>
        <v>5.8E-4</v>
      </c>
      <c r="U79" s="303">
        <f t="shared" ref="U79:U107" si="78">U78+0.00051</f>
        <v>-6.4900000000000001E-3</v>
      </c>
      <c r="V79" s="303"/>
      <c r="W79" s="303">
        <f t="shared" ref="W79:W107" si="79">W78+0.08</f>
        <v>1.08</v>
      </c>
      <c r="X79" s="303">
        <v>1.07</v>
      </c>
      <c r="Y79" s="303">
        <f t="shared" ref="Y79:Y107" si="80">Y78+0.08</f>
        <v>-0.92</v>
      </c>
      <c r="Z79" s="303"/>
      <c r="AA79" s="303">
        <f t="shared" ref="AA79:AA107" si="81">AA78+0.4</f>
        <v>20.399999999999999</v>
      </c>
      <c r="AB79" s="303">
        <v>20.399999999999999</v>
      </c>
      <c r="AC79" s="303">
        <f t="shared" ref="AC79:AC107" si="82">AC78+0.3</f>
        <v>-4.7</v>
      </c>
      <c r="AD79" s="303"/>
      <c r="AE79" s="303">
        <f t="shared" ref="AE79:AE107" si="83">AE78+0.14</f>
        <v>-0.26</v>
      </c>
      <c r="AF79" s="303">
        <v>-0.26</v>
      </c>
      <c r="AG79" s="303">
        <f t="shared" ref="AG79:AG107" si="84">AG78+0.15</f>
        <v>-1.85</v>
      </c>
      <c r="AH79" s="303"/>
      <c r="AI79" s="303">
        <f t="shared" ref="AI79:AI107" si="85">AI78+0.35</f>
        <v>24.35</v>
      </c>
      <c r="AJ79" s="303">
        <f t="shared" ref="AJ79:AJ107" si="86">AJ78+0.28</f>
        <v>25.28</v>
      </c>
      <c r="AK79" s="303">
        <f t="shared" ref="AK79:AK107" si="87">AK78+0.21</f>
        <v>-2.89</v>
      </c>
      <c r="AL79" s="303"/>
      <c r="AM79" s="303"/>
      <c r="AN79" s="303"/>
      <c r="AO79" s="303">
        <v>6.6000000000000003E-2</v>
      </c>
      <c r="AP79" s="303">
        <v>6.6000000000000003E-2</v>
      </c>
      <c r="AQ79" s="303">
        <f t="shared" ref="AQ79:AQ107" si="88">AQ78+0.026</f>
        <v>-0.374</v>
      </c>
      <c r="AR79" s="303"/>
      <c r="AS79" s="303">
        <f t="shared" ref="AS79:AS107" si="89">AS78+0.0025</f>
        <v>2.5999999999999999E-3</v>
      </c>
      <c r="AT79" s="303">
        <f t="shared" ref="AT79:AT107" si="90">AT78+0.0025</f>
        <v>2.5999999999999999E-3</v>
      </c>
      <c r="AU79" s="303">
        <v>-3.7499999999999999E-2</v>
      </c>
      <c r="AV79" s="303"/>
      <c r="AW79" s="303">
        <v>1.1000000000000001</v>
      </c>
      <c r="AX79" s="303">
        <v>1.1000000000000001</v>
      </c>
      <c r="AY79" s="303">
        <v>-0.73</v>
      </c>
      <c r="AZ79" s="303"/>
      <c r="BA79" s="303">
        <f t="shared" ref="BA79:BA107" si="91">BA78+0.0025</f>
        <v>2.75E-2</v>
      </c>
      <c r="BB79" s="303">
        <f t="shared" ref="BB79:BB107" si="92">BB78+0.003</f>
        <v>1.7999999999999999E-2</v>
      </c>
      <c r="BC79" s="303">
        <f t="shared" ref="BC79:BC107" si="93">BC78+0.0029</f>
        <v>-4.2099999999999999E-2</v>
      </c>
      <c r="BD79" s="303"/>
      <c r="BE79" s="303">
        <f t="shared" ref="BE79:BE107" si="94">BE78+0.0005</f>
        <v>5.6000000000000006E-4</v>
      </c>
      <c r="BF79" s="303">
        <f t="shared" ref="BF79:BF107" si="95">BF78+0.0005</f>
        <v>5.6000000000000006E-4</v>
      </c>
      <c r="BG79" s="303">
        <v>-6.5100000000000002E-3</v>
      </c>
      <c r="BH79" s="303"/>
      <c r="BI79" s="303">
        <f t="shared" ref="BI79:BI107" si="96">BI78+0.09</f>
        <v>1.0900000000000001</v>
      </c>
      <c r="BJ79" s="303">
        <f t="shared" ref="BJ79:BJ107" si="97">BJ78+0.1</f>
        <v>0.4</v>
      </c>
      <c r="BK79" s="303">
        <v>-0.92</v>
      </c>
      <c r="BL79" s="303"/>
      <c r="BM79" s="303">
        <v>20.399999999999999</v>
      </c>
      <c r="BN79" s="303">
        <v>20.399999999999999</v>
      </c>
      <c r="BO79" s="303">
        <f t="shared" ref="BO79:BO107" si="98">BO78+0.36</f>
        <v>-4.6399999999999997</v>
      </c>
      <c r="BP79" s="303"/>
      <c r="BQ79" s="303">
        <v>-0.26</v>
      </c>
      <c r="BR79" s="303">
        <v>-0.26</v>
      </c>
      <c r="BS79" s="303">
        <v>-1.85</v>
      </c>
      <c r="BT79" s="303"/>
      <c r="BU79" s="303">
        <v>24.35</v>
      </c>
      <c r="BV79" s="303">
        <f t="shared" ref="BV79:BV107" si="99">BV78+0.28</f>
        <v>25.28</v>
      </c>
      <c r="BW79" s="303">
        <f t="shared" ref="BW79:BW107" si="100">BW78+0.25</f>
        <v>-3.25</v>
      </c>
    </row>
    <row r="80" spans="2:75" x14ac:dyDescent="0.2">
      <c r="C80" s="304">
        <v>9.9000000000000005E-2</v>
      </c>
      <c r="D80" s="303">
        <v>9.9000000000000005E-2</v>
      </c>
      <c r="E80">
        <f t="shared" si="70"/>
        <v>-0.25999999999999995</v>
      </c>
      <c r="G80" s="303">
        <v>6.0000000000000001E-3</v>
      </c>
      <c r="H80" s="303">
        <v>6.0000000000000001E-3</v>
      </c>
      <c r="I80">
        <f t="shared" si="71"/>
        <v>-3.4999999999999996E-2</v>
      </c>
      <c r="K80">
        <v>1.2</v>
      </c>
      <c r="L80">
        <v>1.2</v>
      </c>
      <c r="M80">
        <f t="shared" si="72"/>
        <v>-0.65999999999999992</v>
      </c>
      <c r="O80" s="303">
        <f t="shared" si="73"/>
        <v>0.03</v>
      </c>
      <c r="P80" s="303">
        <f t="shared" si="74"/>
        <v>2.0999999999999998E-2</v>
      </c>
      <c r="Q80" s="303">
        <f t="shared" si="75"/>
        <v>-3.9199999999999999E-2</v>
      </c>
      <c r="R80" s="303"/>
      <c r="S80" s="303">
        <f t="shared" si="76"/>
        <v>1.08E-3</v>
      </c>
      <c r="T80" s="303">
        <f t="shared" si="77"/>
        <v>1.08E-3</v>
      </c>
      <c r="U80" s="303">
        <f t="shared" si="78"/>
        <v>-5.9800000000000001E-3</v>
      </c>
      <c r="V80" s="303"/>
      <c r="W80" s="303">
        <f t="shared" si="79"/>
        <v>1.1600000000000001</v>
      </c>
      <c r="X80" s="303">
        <v>1.1400000000000001</v>
      </c>
      <c r="Y80" s="303">
        <f t="shared" si="80"/>
        <v>-0.84000000000000008</v>
      </c>
      <c r="Z80" s="303"/>
      <c r="AA80" s="303">
        <f t="shared" si="81"/>
        <v>20.799999999999997</v>
      </c>
      <c r="AB80" s="303">
        <v>20.799999999999997</v>
      </c>
      <c r="AC80" s="303">
        <f t="shared" si="82"/>
        <v>-4.4000000000000004</v>
      </c>
      <c r="AD80" s="303"/>
      <c r="AE80" s="303">
        <f t="shared" si="83"/>
        <v>-0.12</v>
      </c>
      <c r="AF80" s="303">
        <v>-0.12</v>
      </c>
      <c r="AG80" s="303">
        <f t="shared" si="84"/>
        <v>-1.7000000000000002</v>
      </c>
      <c r="AH80" s="303"/>
      <c r="AI80" s="303">
        <f t="shared" si="85"/>
        <v>24.700000000000003</v>
      </c>
      <c r="AJ80" s="303">
        <f t="shared" si="86"/>
        <v>25.560000000000002</v>
      </c>
      <c r="AK80" s="303">
        <f t="shared" si="87"/>
        <v>-2.68</v>
      </c>
      <c r="AL80" s="303"/>
      <c r="AM80" s="303"/>
      <c r="AN80" s="303"/>
      <c r="AO80" s="303">
        <v>9.9000000000000005E-2</v>
      </c>
      <c r="AP80" s="303">
        <v>9.9000000000000005E-2</v>
      </c>
      <c r="AQ80" s="303">
        <f t="shared" si="88"/>
        <v>-0.34799999999999998</v>
      </c>
      <c r="AR80" s="303"/>
      <c r="AS80" s="303">
        <f t="shared" si="89"/>
        <v>5.1000000000000004E-3</v>
      </c>
      <c r="AT80" s="303">
        <f t="shared" si="90"/>
        <v>5.1000000000000004E-3</v>
      </c>
      <c r="AU80" s="303">
        <v>-3.4999999999999996E-2</v>
      </c>
      <c r="AV80" s="303"/>
      <c r="AW80" s="303">
        <v>1.2000000000000002</v>
      </c>
      <c r="AX80" s="303">
        <v>1.2000000000000002</v>
      </c>
      <c r="AY80" s="303">
        <v>-0.65999999999999992</v>
      </c>
      <c r="AZ80" s="303"/>
      <c r="BA80" s="303">
        <f t="shared" si="91"/>
        <v>0.03</v>
      </c>
      <c r="BB80" s="303">
        <f t="shared" si="92"/>
        <v>2.0999999999999998E-2</v>
      </c>
      <c r="BC80" s="303">
        <f t="shared" si="93"/>
        <v>-3.9199999999999999E-2</v>
      </c>
      <c r="BD80" s="303"/>
      <c r="BE80" s="303">
        <f t="shared" si="94"/>
        <v>1.0600000000000002E-3</v>
      </c>
      <c r="BF80" s="303">
        <f t="shared" si="95"/>
        <v>1.0600000000000002E-3</v>
      </c>
      <c r="BG80" s="303">
        <v>-6.0200000000000002E-3</v>
      </c>
      <c r="BH80" s="303"/>
      <c r="BI80" s="303">
        <f t="shared" si="96"/>
        <v>1.1800000000000002</v>
      </c>
      <c r="BJ80" s="303">
        <f t="shared" si="97"/>
        <v>0.5</v>
      </c>
      <c r="BK80" s="303">
        <v>-0.84000000000000008</v>
      </c>
      <c r="BL80" s="303"/>
      <c r="BM80" s="303">
        <v>20.799999999999997</v>
      </c>
      <c r="BN80" s="303">
        <v>20.799999999999997</v>
      </c>
      <c r="BO80" s="303">
        <f t="shared" si="98"/>
        <v>-4.2799999999999994</v>
      </c>
      <c r="BP80" s="303"/>
      <c r="BQ80" s="303">
        <v>-0.12</v>
      </c>
      <c r="BR80" s="303">
        <v>-0.12</v>
      </c>
      <c r="BS80" s="303">
        <v>-1.7000000000000002</v>
      </c>
      <c r="BT80" s="303"/>
      <c r="BU80" s="303">
        <v>24.700000000000003</v>
      </c>
      <c r="BV80" s="303">
        <f t="shared" si="99"/>
        <v>25.560000000000002</v>
      </c>
      <c r="BW80" s="303">
        <f t="shared" si="100"/>
        <v>-3</v>
      </c>
    </row>
    <row r="81" spans="3:75" x14ac:dyDescent="0.2">
      <c r="C81" s="304">
        <v>0.13200000000000001</v>
      </c>
      <c r="D81" s="303">
        <v>0.13200000000000001</v>
      </c>
      <c r="E81">
        <f t="shared" si="70"/>
        <v>-0.23999999999999996</v>
      </c>
      <c r="G81" s="303">
        <v>8.5000000000000006E-3</v>
      </c>
      <c r="H81" s="303">
        <v>8.5000000000000006E-3</v>
      </c>
      <c r="I81">
        <f t="shared" si="71"/>
        <v>-3.2499999999999994E-2</v>
      </c>
      <c r="K81">
        <v>1.3</v>
      </c>
      <c r="L81">
        <v>1.3</v>
      </c>
      <c r="M81">
        <f t="shared" si="72"/>
        <v>-0.58999999999999986</v>
      </c>
      <c r="O81" s="303">
        <f t="shared" si="73"/>
        <v>3.2500000000000001E-2</v>
      </c>
      <c r="P81" s="303">
        <f t="shared" si="74"/>
        <v>2.3999999999999997E-2</v>
      </c>
      <c r="Q81" s="303">
        <f t="shared" si="75"/>
        <v>-3.6299999999999999E-2</v>
      </c>
      <c r="R81" s="303"/>
      <c r="S81" s="303">
        <f t="shared" si="76"/>
        <v>1.58E-3</v>
      </c>
      <c r="T81" s="303">
        <f t="shared" si="77"/>
        <v>1.58E-3</v>
      </c>
      <c r="U81" s="303">
        <f t="shared" si="78"/>
        <v>-5.47E-3</v>
      </c>
      <c r="V81" s="303"/>
      <c r="W81" s="303">
        <f t="shared" si="79"/>
        <v>1.2400000000000002</v>
      </c>
      <c r="X81" s="303">
        <v>1.2100000000000002</v>
      </c>
      <c r="Y81" s="303">
        <f t="shared" si="80"/>
        <v>-0.76000000000000012</v>
      </c>
      <c r="Z81" s="303"/>
      <c r="AA81" s="303">
        <f t="shared" si="81"/>
        <v>21.199999999999996</v>
      </c>
      <c r="AB81" s="303">
        <v>21.199999999999996</v>
      </c>
      <c r="AC81" s="303">
        <f t="shared" si="82"/>
        <v>-4.1000000000000005</v>
      </c>
      <c r="AD81" s="303"/>
      <c r="AE81" s="303">
        <f t="shared" si="83"/>
        <v>2.0000000000000018E-2</v>
      </c>
      <c r="AF81" s="303">
        <v>2.0000000000000018E-2</v>
      </c>
      <c r="AG81" s="303">
        <f t="shared" si="84"/>
        <v>-1.5500000000000003</v>
      </c>
      <c r="AH81" s="303"/>
      <c r="AI81" s="303">
        <f t="shared" si="85"/>
        <v>25.050000000000004</v>
      </c>
      <c r="AJ81" s="303">
        <f t="shared" si="86"/>
        <v>25.840000000000003</v>
      </c>
      <c r="AK81" s="303">
        <f t="shared" si="87"/>
        <v>-2.4700000000000002</v>
      </c>
      <c r="AL81" s="303"/>
      <c r="AM81" s="303"/>
      <c r="AN81" s="303"/>
      <c r="AO81" s="303">
        <v>0.13200000000000001</v>
      </c>
      <c r="AP81" s="303">
        <v>0.13200000000000001</v>
      </c>
      <c r="AQ81" s="303">
        <f t="shared" si="88"/>
        <v>-0.32199999999999995</v>
      </c>
      <c r="AR81" s="303"/>
      <c r="AS81" s="303">
        <f t="shared" si="89"/>
        <v>7.6000000000000009E-3</v>
      </c>
      <c r="AT81" s="303">
        <f t="shared" si="90"/>
        <v>7.6000000000000009E-3</v>
      </c>
      <c r="AU81" s="303">
        <v>-3.2499999999999994E-2</v>
      </c>
      <c r="AV81" s="303"/>
      <c r="AW81" s="303">
        <v>1.3000000000000003</v>
      </c>
      <c r="AX81" s="303">
        <v>1.3000000000000003</v>
      </c>
      <c r="AY81" s="303">
        <v>-0.58999999999999986</v>
      </c>
      <c r="AZ81" s="303"/>
      <c r="BA81" s="303">
        <f t="shared" si="91"/>
        <v>3.2500000000000001E-2</v>
      </c>
      <c r="BB81" s="303">
        <f t="shared" si="92"/>
        <v>2.3999999999999997E-2</v>
      </c>
      <c r="BC81" s="303">
        <f t="shared" si="93"/>
        <v>-3.6299999999999999E-2</v>
      </c>
      <c r="BD81" s="303"/>
      <c r="BE81" s="303">
        <f t="shared" si="94"/>
        <v>1.5600000000000002E-3</v>
      </c>
      <c r="BF81" s="303">
        <f t="shared" si="95"/>
        <v>1.5600000000000002E-3</v>
      </c>
      <c r="BG81" s="303">
        <v>-5.5300000000000002E-3</v>
      </c>
      <c r="BH81" s="303"/>
      <c r="BI81" s="303">
        <f t="shared" si="96"/>
        <v>1.2700000000000002</v>
      </c>
      <c r="BJ81" s="303">
        <f t="shared" si="97"/>
        <v>0.6</v>
      </c>
      <c r="BK81" s="303">
        <v>-0.76000000000000012</v>
      </c>
      <c r="BL81" s="303"/>
      <c r="BM81" s="303">
        <v>21.199999999999996</v>
      </c>
      <c r="BN81" s="303">
        <v>21.199999999999996</v>
      </c>
      <c r="BO81" s="303">
        <f t="shared" si="98"/>
        <v>-3.9199999999999995</v>
      </c>
      <c r="BP81" s="303"/>
      <c r="BQ81" s="303">
        <v>2.0000000000000018E-2</v>
      </c>
      <c r="BR81" s="303">
        <v>2.0000000000000018E-2</v>
      </c>
      <c r="BS81" s="303">
        <v>-1.5500000000000003</v>
      </c>
      <c r="BT81" s="303"/>
      <c r="BU81" s="303">
        <v>25.050000000000004</v>
      </c>
      <c r="BV81" s="303">
        <f t="shared" si="99"/>
        <v>25.840000000000003</v>
      </c>
      <c r="BW81" s="303">
        <f t="shared" si="100"/>
        <v>-2.75</v>
      </c>
    </row>
    <row r="82" spans="3:75" x14ac:dyDescent="0.2">
      <c r="C82" s="304">
        <v>0.16500000000000001</v>
      </c>
      <c r="D82" s="303">
        <v>0.16500000000000001</v>
      </c>
      <c r="E82">
        <f t="shared" si="70"/>
        <v>-0.21999999999999997</v>
      </c>
      <c r="G82" s="303">
        <v>1.0999999999999999E-2</v>
      </c>
      <c r="H82" s="303">
        <v>1.0999999999999999E-2</v>
      </c>
      <c r="I82">
        <f t="shared" si="71"/>
        <v>-2.9999999999999995E-2</v>
      </c>
      <c r="K82">
        <v>1.4</v>
      </c>
      <c r="L82">
        <v>1.4</v>
      </c>
      <c r="M82">
        <f t="shared" si="72"/>
        <v>-0.5199999999999998</v>
      </c>
      <c r="O82" s="303">
        <f t="shared" si="73"/>
        <v>3.5000000000000003E-2</v>
      </c>
      <c r="P82" s="303">
        <f t="shared" si="74"/>
        <v>2.6999999999999996E-2</v>
      </c>
      <c r="Q82" s="303">
        <f t="shared" si="75"/>
        <v>-3.3399999999999999E-2</v>
      </c>
      <c r="R82" s="303"/>
      <c r="S82" s="303">
        <f t="shared" si="76"/>
        <v>2.0800000000000003E-3</v>
      </c>
      <c r="T82" s="303">
        <f t="shared" si="77"/>
        <v>2.0800000000000003E-3</v>
      </c>
      <c r="U82" s="303">
        <f t="shared" si="78"/>
        <v>-4.96E-3</v>
      </c>
      <c r="V82" s="303"/>
      <c r="W82" s="303">
        <f t="shared" si="79"/>
        <v>1.3200000000000003</v>
      </c>
      <c r="X82" s="303">
        <v>1.2800000000000002</v>
      </c>
      <c r="Y82" s="303">
        <f t="shared" si="80"/>
        <v>-0.68000000000000016</v>
      </c>
      <c r="Z82" s="303"/>
      <c r="AA82" s="303">
        <f t="shared" si="81"/>
        <v>21.599999999999994</v>
      </c>
      <c r="AB82" s="303">
        <v>21.599999999999994</v>
      </c>
      <c r="AC82" s="303">
        <f t="shared" si="82"/>
        <v>-3.8000000000000007</v>
      </c>
      <c r="AD82" s="303"/>
      <c r="AE82" s="303">
        <f t="shared" si="83"/>
        <v>0.16000000000000003</v>
      </c>
      <c r="AF82" s="303">
        <v>0.16000000000000003</v>
      </c>
      <c r="AG82" s="303">
        <f t="shared" si="84"/>
        <v>-1.4000000000000004</v>
      </c>
      <c r="AH82" s="303"/>
      <c r="AI82" s="303">
        <f t="shared" si="85"/>
        <v>25.400000000000006</v>
      </c>
      <c r="AJ82" s="303">
        <f t="shared" si="86"/>
        <v>26.120000000000005</v>
      </c>
      <c r="AK82" s="303">
        <f t="shared" si="87"/>
        <v>-2.2600000000000002</v>
      </c>
      <c r="AL82" s="303"/>
      <c r="AM82" s="303"/>
      <c r="AN82" s="303"/>
      <c r="AO82" s="303">
        <v>0.16500000000000001</v>
      </c>
      <c r="AP82" s="303">
        <v>0.16500000000000001</v>
      </c>
      <c r="AQ82" s="303">
        <f t="shared" si="88"/>
        <v>-0.29599999999999993</v>
      </c>
      <c r="AR82" s="303"/>
      <c r="AS82" s="303">
        <f t="shared" si="89"/>
        <v>1.0100000000000001E-2</v>
      </c>
      <c r="AT82" s="303">
        <f t="shared" si="90"/>
        <v>1.0100000000000001E-2</v>
      </c>
      <c r="AU82" s="303">
        <v>-2.9999999999999995E-2</v>
      </c>
      <c r="AV82" s="303"/>
      <c r="AW82" s="303">
        <v>1.4000000000000004</v>
      </c>
      <c r="AX82" s="303">
        <v>1.4000000000000004</v>
      </c>
      <c r="AY82" s="303">
        <v>-0.5199999999999998</v>
      </c>
      <c r="AZ82" s="303"/>
      <c r="BA82" s="303">
        <f t="shared" si="91"/>
        <v>3.5000000000000003E-2</v>
      </c>
      <c r="BB82" s="303">
        <f t="shared" si="92"/>
        <v>2.6999999999999996E-2</v>
      </c>
      <c r="BC82" s="303">
        <f t="shared" si="93"/>
        <v>-3.3399999999999999E-2</v>
      </c>
      <c r="BD82" s="303"/>
      <c r="BE82" s="303">
        <f t="shared" si="94"/>
        <v>2.0600000000000002E-3</v>
      </c>
      <c r="BF82" s="303">
        <f t="shared" si="95"/>
        <v>2.0600000000000002E-3</v>
      </c>
      <c r="BG82" s="303">
        <v>-5.0400000000000002E-3</v>
      </c>
      <c r="BH82" s="303"/>
      <c r="BI82" s="303">
        <f t="shared" si="96"/>
        <v>1.3600000000000003</v>
      </c>
      <c r="BJ82" s="303">
        <f t="shared" si="97"/>
        <v>0.7</v>
      </c>
      <c r="BK82" s="303">
        <v>-0.68000000000000016</v>
      </c>
      <c r="BL82" s="303"/>
      <c r="BM82" s="303">
        <v>21.599999999999994</v>
      </c>
      <c r="BN82" s="303">
        <v>21.599999999999994</v>
      </c>
      <c r="BO82" s="303">
        <f t="shared" si="98"/>
        <v>-3.5599999999999996</v>
      </c>
      <c r="BP82" s="303"/>
      <c r="BQ82" s="303">
        <v>0.16000000000000003</v>
      </c>
      <c r="BR82" s="303">
        <v>0.16000000000000003</v>
      </c>
      <c r="BS82" s="303">
        <v>-1.4000000000000004</v>
      </c>
      <c r="BT82" s="303"/>
      <c r="BU82" s="303">
        <v>25.400000000000006</v>
      </c>
      <c r="BV82" s="303">
        <f t="shared" si="99"/>
        <v>26.120000000000005</v>
      </c>
      <c r="BW82" s="303">
        <f t="shared" si="100"/>
        <v>-2.5</v>
      </c>
    </row>
    <row r="83" spans="3:75" x14ac:dyDescent="0.2">
      <c r="C83" s="304">
        <v>0.19800000000000001</v>
      </c>
      <c r="D83" s="303">
        <v>0.19800000000000001</v>
      </c>
      <c r="E83">
        <f t="shared" si="70"/>
        <v>-0.19999999999999998</v>
      </c>
      <c r="G83" s="303">
        <v>1.35E-2</v>
      </c>
      <c r="H83" s="303">
        <v>1.35E-2</v>
      </c>
      <c r="I83">
        <f t="shared" si="71"/>
        <v>-2.7499999999999997E-2</v>
      </c>
      <c r="K83">
        <v>1.5</v>
      </c>
      <c r="L83">
        <v>1.5</v>
      </c>
      <c r="M83">
        <f t="shared" si="72"/>
        <v>-0.44999999999999979</v>
      </c>
      <c r="O83" s="303">
        <f t="shared" si="73"/>
        <v>3.7500000000000006E-2</v>
      </c>
      <c r="P83" s="303">
        <f t="shared" si="74"/>
        <v>2.9999999999999995E-2</v>
      </c>
      <c r="Q83" s="303">
        <f t="shared" si="75"/>
        <v>-3.0499999999999999E-2</v>
      </c>
      <c r="R83" s="303"/>
      <c r="S83" s="303">
        <f t="shared" si="76"/>
        <v>2.5800000000000003E-3</v>
      </c>
      <c r="T83" s="303">
        <f t="shared" si="77"/>
        <v>2.5800000000000003E-3</v>
      </c>
      <c r="U83" s="303">
        <f t="shared" si="78"/>
        <v>-4.45E-3</v>
      </c>
      <c r="V83" s="303"/>
      <c r="W83" s="303">
        <f t="shared" si="79"/>
        <v>1.4000000000000004</v>
      </c>
      <c r="X83" s="303">
        <v>1.3500000000000003</v>
      </c>
      <c r="Y83" s="303">
        <f t="shared" si="80"/>
        <v>-0.6000000000000002</v>
      </c>
      <c r="Z83" s="303"/>
      <c r="AA83" s="303">
        <f t="shared" si="81"/>
        <v>21.999999999999993</v>
      </c>
      <c r="AB83" s="303">
        <v>21.999999999999993</v>
      </c>
      <c r="AC83" s="303">
        <f t="shared" si="82"/>
        <v>-3.5000000000000009</v>
      </c>
      <c r="AD83" s="303"/>
      <c r="AE83" s="303">
        <f t="shared" si="83"/>
        <v>0.30000000000000004</v>
      </c>
      <c r="AF83" s="303">
        <v>0.30000000000000004</v>
      </c>
      <c r="AG83" s="303">
        <f t="shared" si="84"/>
        <v>-1.2500000000000004</v>
      </c>
      <c r="AH83" s="303"/>
      <c r="AI83" s="303">
        <f t="shared" si="85"/>
        <v>25.750000000000007</v>
      </c>
      <c r="AJ83" s="303">
        <f t="shared" si="86"/>
        <v>26.400000000000006</v>
      </c>
      <c r="AK83" s="303">
        <f t="shared" si="87"/>
        <v>-2.0500000000000003</v>
      </c>
      <c r="AL83" s="303"/>
      <c r="AM83" s="303"/>
      <c r="AN83" s="303"/>
      <c r="AO83" s="303">
        <v>0.19800000000000001</v>
      </c>
      <c r="AP83" s="303">
        <v>0.19800000000000001</v>
      </c>
      <c r="AQ83" s="303">
        <f t="shared" si="88"/>
        <v>-0.26999999999999991</v>
      </c>
      <c r="AR83" s="303"/>
      <c r="AS83" s="303">
        <f t="shared" si="89"/>
        <v>1.2600000000000002E-2</v>
      </c>
      <c r="AT83" s="303">
        <f t="shared" si="90"/>
        <v>1.2600000000000002E-2</v>
      </c>
      <c r="AU83" s="303">
        <v>-2.7499999999999997E-2</v>
      </c>
      <c r="AV83" s="303"/>
      <c r="AW83" s="303">
        <v>1.5000000000000004</v>
      </c>
      <c r="AX83" s="303">
        <v>1.5000000000000004</v>
      </c>
      <c r="AY83" s="303">
        <v>-0.44999999999999979</v>
      </c>
      <c r="AZ83" s="303"/>
      <c r="BA83" s="303">
        <f t="shared" si="91"/>
        <v>3.7500000000000006E-2</v>
      </c>
      <c r="BB83" s="303">
        <f t="shared" si="92"/>
        <v>2.9999999999999995E-2</v>
      </c>
      <c r="BC83" s="303">
        <f t="shared" si="93"/>
        <v>-3.0499999999999999E-2</v>
      </c>
      <c r="BD83" s="303"/>
      <c r="BE83" s="303">
        <f t="shared" si="94"/>
        <v>2.5600000000000002E-3</v>
      </c>
      <c r="BF83" s="303">
        <f t="shared" si="95"/>
        <v>2.5600000000000002E-3</v>
      </c>
      <c r="BG83" s="303">
        <v>-4.5500000000000002E-3</v>
      </c>
      <c r="BH83" s="303"/>
      <c r="BI83" s="303">
        <f t="shared" si="96"/>
        <v>1.4500000000000004</v>
      </c>
      <c r="BJ83" s="303">
        <f t="shared" si="97"/>
        <v>0.79999999999999993</v>
      </c>
      <c r="BK83" s="303">
        <v>-0.6000000000000002</v>
      </c>
      <c r="BL83" s="303"/>
      <c r="BM83" s="303">
        <v>21.999999999999993</v>
      </c>
      <c r="BN83" s="303">
        <v>21.999999999999993</v>
      </c>
      <c r="BO83" s="303">
        <f t="shared" si="98"/>
        <v>-3.1999999999999997</v>
      </c>
      <c r="BP83" s="303"/>
      <c r="BQ83" s="303">
        <v>0.30000000000000004</v>
      </c>
      <c r="BR83" s="303">
        <v>0.30000000000000004</v>
      </c>
      <c r="BS83" s="303">
        <v>-1.2500000000000004</v>
      </c>
      <c r="BT83" s="303"/>
      <c r="BU83" s="303">
        <v>25.750000000000007</v>
      </c>
      <c r="BV83" s="303">
        <f t="shared" si="99"/>
        <v>26.400000000000006</v>
      </c>
      <c r="BW83" s="303">
        <f t="shared" si="100"/>
        <v>-2.25</v>
      </c>
    </row>
    <row r="84" spans="3:75" x14ac:dyDescent="0.2">
      <c r="C84" s="304">
        <v>0.23100000000000001</v>
      </c>
      <c r="D84" s="303">
        <v>0.23100000000000001</v>
      </c>
      <c r="E84">
        <f t="shared" si="70"/>
        <v>-0.18</v>
      </c>
      <c r="G84" s="303">
        <v>1.6E-2</v>
      </c>
      <c r="H84" s="303">
        <v>1.6E-2</v>
      </c>
      <c r="I84">
        <f t="shared" si="71"/>
        <v>-2.4999999999999998E-2</v>
      </c>
      <c r="K84">
        <v>1.6</v>
      </c>
      <c r="L84">
        <v>1.6</v>
      </c>
      <c r="M84">
        <f t="shared" si="72"/>
        <v>-0.37999999999999978</v>
      </c>
      <c r="O84" s="303">
        <f t="shared" si="73"/>
        <v>4.0000000000000008E-2</v>
      </c>
      <c r="P84" s="303">
        <f t="shared" si="74"/>
        <v>3.2999999999999995E-2</v>
      </c>
      <c r="Q84" s="303">
        <f t="shared" si="75"/>
        <v>-2.76E-2</v>
      </c>
      <c r="R84" s="303"/>
      <c r="S84" s="303">
        <f t="shared" si="76"/>
        <v>3.0800000000000003E-3</v>
      </c>
      <c r="T84" s="303">
        <f t="shared" si="77"/>
        <v>3.0800000000000003E-3</v>
      </c>
      <c r="U84" s="303">
        <f t="shared" si="78"/>
        <v>-3.9399999999999999E-3</v>
      </c>
      <c r="V84" s="303"/>
      <c r="W84" s="303">
        <f t="shared" si="79"/>
        <v>1.4800000000000004</v>
      </c>
      <c r="X84" s="303">
        <v>1.4200000000000004</v>
      </c>
      <c r="Y84" s="303">
        <f t="shared" si="80"/>
        <v>-0.52000000000000024</v>
      </c>
      <c r="Z84" s="303"/>
      <c r="AA84" s="303">
        <f t="shared" si="81"/>
        <v>22.399999999999991</v>
      </c>
      <c r="AB84" s="303">
        <v>22.399999999999991</v>
      </c>
      <c r="AC84" s="303">
        <f t="shared" si="82"/>
        <v>-3.2000000000000011</v>
      </c>
      <c r="AD84" s="303"/>
      <c r="AE84" s="303">
        <f t="shared" si="83"/>
        <v>0.44000000000000006</v>
      </c>
      <c r="AF84" s="303">
        <v>0.44000000000000006</v>
      </c>
      <c r="AG84" s="303">
        <f t="shared" si="84"/>
        <v>-1.1000000000000005</v>
      </c>
      <c r="AH84" s="303"/>
      <c r="AI84" s="303">
        <f t="shared" si="85"/>
        <v>26.100000000000009</v>
      </c>
      <c r="AJ84" s="303">
        <f t="shared" si="86"/>
        <v>26.680000000000007</v>
      </c>
      <c r="AK84" s="303">
        <f t="shared" si="87"/>
        <v>-1.8400000000000003</v>
      </c>
      <c r="AL84" s="303"/>
      <c r="AM84" s="303"/>
      <c r="AN84" s="303"/>
      <c r="AO84" s="303">
        <v>0.23100000000000001</v>
      </c>
      <c r="AP84" s="303">
        <v>0.23100000000000001</v>
      </c>
      <c r="AQ84" s="303">
        <f t="shared" si="88"/>
        <v>-0.24399999999999991</v>
      </c>
      <c r="AR84" s="303"/>
      <c r="AS84" s="303">
        <f t="shared" si="89"/>
        <v>1.5100000000000002E-2</v>
      </c>
      <c r="AT84" s="303">
        <f t="shared" si="90"/>
        <v>1.5100000000000002E-2</v>
      </c>
      <c r="AU84" s="303">
        <v>-2.4999999999999998E-2</v>
      </c>
      <c r="AV84" s="303"/>
      <c r="AW84" s="303">
        <v>1.6000000000000005</v>
      </c>
      <c r="AX84" s="303">
        <v>1.6000000000000005</v>
      </c>
      <c r="AY84" s="303">
        <v>-0.37999999999999978</v>
      </c>
      <c r="AZ84" s="303"/>
      <c r="BA84" s="303">
        <f t="shared" si="91"/>
        <v>4.0000000000000008E-2</v>
      </c>
      <c r="BB84" s="303">
        <f t="shared" si="92"/>
        <v>3.2999999999999995E-2</v>
      </c>
      <c r="BC84" s="303">
        <f t="shared" si="93"/>
        <v>-2.76E-2</v>
      </c>
      <c r="BD84" s="303"/>
      <c r="BE84" s="303">
        <f t="shared" si="94"/>
        <v>3.0600000000000002E-3</v>
      </c>
      <c r="BF84" s="303">
        <f t="shared" si="95"/>
        <v>3.0600000000000002E-3</v>
      </c>
      <c r="BG84" s="303">
        <v>-4.0600000000000002E-3</v>
      </c>
      <c r="BH84" s="303"/>
      <c r="BI84" s="303">
        <f t="shared" si="96"/>
        <v>1.5400000000000005</v>
      </c>
      <c r="BJ84" s="303">
        <f t="shared" si="97"/>
        <v>0.89999999999999991</v>
      </c>
      <c r="BK84" s="303">
        <v>-0.52000000000000024</v>
      </c>
      <c r="BL84" s="303"/>
      <c r="BM84" s="303">
        <v>22.399999999999991</v>
      </c>
      <c r="BN84" s="303">
        <v>22.399999999999991</v>
      </c>
      <c r="BO84" s="303">
        <f t="shared" si="98"/>
        <v>-2.84</v>
      </c>
      <c r="BP84" s="303"/>
      <c r="BQ84" s="303">
        <v>0.44000000000000006</v>
      </c>
      <c r="BR84" s="303">
        <v>0.44000000000000006</v>
      </c>
      <c r="BS84" s="303">
        <v>-1.1000000000000005</v>
      </c>
      <c r="BT84" s="303"/>
      <c r="BU84" s="303">
        <v>26.100000000000009</v>
      </c>
      <c r="BV84" s="303">
        <f t="shared" si="99"/>
        <v>26.680000000000007</v>
      </c>
      <c r="BW84" s="303">
        <f t="shared" si="100"/>
        <v>-2</v>
      </c>
    </row>
    <row r="85" spans="3:75" x14ac:dyDescent="0.2">
      <c r="C85" s="304">
        <v>0.26400000000000001</v>
      </c>
      <c r="D85" s="303">
        <v>0.26400000000000001</v>
      </c>
      <c r="E85">
        <f t="shared" si="70"/>
        <v>-0.16</v>
      </c>
      <c r="G85" s="303">
        <v>1.8499999999999999E-2</v>
      </c>
      <c r="H85" s="303">
        <v>1.8499999999999999E-2</v>
      </c>
      <c r="I85">
        <f t="shared" si="71"/>
        <v>-2.2499999999999999E-2</v>
      </c>
      <c r="K85">
        <v>1.7</v>
      </c>
      <c r="L85">
        <v>1.7</v>
      </c>
      <c r="M85">
        <f t="shared" si="72"/>
        <v>-0.30999999999999978</v>
      </c>
      <c r="O85" s="303">
        <f t="shared" si="73"/>
        <v>4.250000000000001E-2</v>
      </c>
      <c r="P85" s="303">
        <f t="shared" si="74"/>
        <v>3.5999999999999997E-2</v>
      </c>
      <c r="Q85" s="303">
        <f t="shared" si="75"/>
        <v>-2.47E-2</v>
      </c>
      <c r="R85" s="303"/>
      <c r="S85" s="303">
        <f t="shared" si="76"/>
        <v>3.5800000000000003E-3</v>
      </c>
      <c r="T85" s="303">
        <f t="shared" si="77"/>
        <v>3.5800000000000003E-3</v>
      </c>
      <c r="U85" s="303">
        <f t="shared" si="78"/>
        <v>-3.4299999999999999E-3</v>
      </c>
      <c r="V85" s="303"/>
      <c r="W85" s="303">
        <f t="shared" si="79"/>
        <v>1.5600000000000005</v>
      </c>
      <c r="X85" s="303">
        <v>1.4900000000000004</v>
      </c>
      <c r="Y85" s="303">
        <f t="shared" si="80"/>
        <v>-0.44000000000000022</v>
      </c>
      <c r="Z85" s="303"/>
      <c r="AA85" s="303">
        <f t="shared" si="81"/>
        <v>22.79999999999999</v>
      </c>
      <c r="AB85" s="303">
        <v>22.79999999999999</v>
      </c>
      <c r="AC85" s="303">
        <f t="shared" si="82"/>
        <v>-2.9000000000000012</v>
      </c>
      <c r="AD85" s="303"/>
      <c r="AE85" s="303">
        <f t="shared" si="83"/>
        <v>0.58000000000000007</v>
      </c>
      <c r="AF85" s="303">
        <v>0.58000000000000007</v>
      </c>
      <c r="AG85" s="303">
        <f t="shared" si="84"/>
        <v>-0.95000000000000051</v>
      </c>
      <c r="AH85" s="303"/>
      <c r="AI85" s="303">
        <f t="shared" si="85"/>
        <v>26.45000000000001</v>
      </c>
      <c r="AJ85" s="303">
        <f t="shared" si="86"/>
        <v>26.960000000000008</v>
      </c>
      <c r="AK85" s="303">
        <f t="shared" si="87"/>
        <v>-1.6300000000000003</v>
      </c>
      <c r="AL85" s="303"/>
      <c r="AM85" s="303"/>
      <c r="AN85" s="303"/>
      <c r="AO85" s="303">
        <v>0.26400000000000001</v>
      </c>
      <c r="AP85" s="303">
        <v>0.26400000000000001</v>
      </c>
      <c r="AQ85" s="303">
        <f t="shared" si="88"/>
        <v>-0.21799999999999992</v>
      </c>
      <c r="AR85" s="303"/>
      <c r="AS85" s="303">
        <f t="shared" si="89"/>
        <v>1.7600000000000001E-2</v>
      </c>
      <c r="AT85" s="303">
        <f t="shared" si="90"/>
        <v>1.7600000000000001E-2</v>
      </c>
      <c r="AU85" s="303">
        <v>-2.2499999999999999E-2</v>
      </c>
      <c r="AV85" s="303"/>
      <c r="AW85" s="303">
        <v>1.7000000000000006</v>
      </c>
      <c r="AX85" s="303">
        <v>1.7000000000000006</v>
      </c>
      <c r="AY85" s="303">
        <v>-0.30999999999999978</v>
      </c>
      <c r="AZ85" s="303"/>
      <c r="BA85" s="303">
        <f t="shared" si="91"/>
        <v>4.250000000000001E-2</v>
      </c>
      <c r="BB85" s="303">
        <f t="shared" si="92"/>
        <v>3.5999999999999997E-2</v>
      </c>
      <c r="BC85" s="303">
        <f t="shared" si="93"/>
        <v>-2.47E-2</v>
      </c>
      <c r="BD85" s="303"/>
      <c r="BE85" s="303">
        <f t="shared" si="94"/>
        <v>3.5600000000000002E-3</v>
      </c>
      <c r="BF85" s="303">
        <f t="shared" si="95"/>
        <v>3.5600000000000002E-3</v>
      </c>
      <c r="BG85" s="303">
        <v>-3.5700000000000003E-3</v>
      </c>
      <c r="BH85" s="303"/>
      <c r="BI85" s="303">
        <f t="shared" si="96"/>
        <v>1.6300000000000006</v>
      </c>
      <c r="BJ85" s="303">
        <f t="shared" si="97"/>
        <v>0.99999999999999989</v>
      </c>
      <c r="BK85" s="303">
        <v>-0.44000000000000022</v>
      </c>
      <c r="BL85" s="303"/>
      <c r="BM85" s="303">
        <v>22.79999999999999</v>
      </c>
      <c r="BN85" s="303">
        <v>22.79999999999999</v>
      </c>
      <c r="BO85" s="303">
        <f t="shared" si="98"/>
        <v>-2.48</v>
      </c>
      <c r="BP85" s="303"/>
      <c r="BQ85" s="303">
        <v>0.58000000000000007</v>
      </c>
      <c r="BR85" s="303">
        <v>0.58000000000000007</v>
      </c>
      <c r="BS85" s="303">
        <v>-0.95000000000000051</v>
      </c>
      <c r="BT85" s="303"/>
      <c r="BU85" s="303">
        <v>26.45000000000001</v>
      </c>
      <c r="BV85" s="303">
        <f t="shared" si="99"/>
        <v>26.960000000000008</v>
      </c>
      <c r="BW85" s="303">
        <f t="shared" si="100"/>
        <v>-1.75</v>
      </c>
    </row>
    <row r="86" spans="3:75" x14ac:dyDescent="0.2">
      <c r="C86" s="304">
        <v>0.29699999999999999</v>
      </c>
      <c r="D86" s="303">
        <v>0.29699999999999999</v>
      </c>
      <c r="E86">
        <f t="shared" si="70"/>
        <v>-0.14000000000000001</v>
      </c>
      <c r="G86" s="303">
        <v>2.1000000000000001E-2</v>
      </c>
      <c r="H86" s="303">
        <v>2.1000000000000001E-2</v>
      </c>
      <c r="I86">
        <f t="shared" si="71"/>
        <v>-0.02</v>
      </c>
      <c r="K86">
        <v>1.8</v>
      </c>
      <c r="L86">
        <v>1.8</v>
      </c>
      <c r="M86">
        <f t="shared" si="72"/>
        <v>-0.23999999999999977</v>
      </c>
      <c r="O86" s="303">
        <f t="shared" si="73"/>
        <v>4.5000000000000012E-2</v>
      </c>
      <c r="P86" s="303">
        <f t="shared" si="74"/>
        <v>3.9E-2</v>
      </c>
      <c r="Q86" s="303">
        <f t="shared" si="75"/>
        <v>-2.18E-2</v>
      </c>
      <c r="R86" s="303"/>
      <c r="S86" s="303">
        <f t="shared" si="76"/>
        <v>4.0800000000000003E-3</v>
      </c>
      <c r="T86" s="303">
        <f t="shared" si="77"/>
        <v>4.0800000000000003E-3</v>
      </c>
      <c r="U86" s="303">
        <f t="shared" si="78"/>
        <v>-2.9199999999999999E-3</v>
      </c>
      <c r="V86" s="303"/>
      <c r="W86" s="303">
        <f t="shared" si="79"/>
        <v>1.6400000000000006</v>
      </c>
      <c r="X86" s="303">
        <v>1.5600000000000005</v>
      </c>
      <c r="Y86" s="303">
        <f t="shared" si="80"/>
        <v>-0.36000000000000021</v>
      </c>
      <c r="Z86" s="303"/>
      <c r="AA86" s="303">
        <f t="shared" si="81"/>
        <v>23.199999999999989</v>
      </c>
      <c r="AB86" s="303">
        <v>23.199999999999989</v>
      </c>
      <c r="AC86" s="303">
        <f t="shared" si="82"/>
        <v>-2.6000000000000014</v>
      </c>
      <c r="AD86" s="303"/>
      <c r="AE86" s="303">
        <f t="shared" si="83"/>
        <v>0.72000000000000008</v>
      </c>
      <c r="AF86" s="303">
        <v>0.72000000000000008</v>
      </c>
      <c r="AG86" s="303">
        <f t="shared" si="84"/>
        <v>-0.80000000000000049</v>
      </c>
      <c r="AH86" s="303"/>
      <c r="AI86" s="303">
        <f t="shared" si="85"/>
        <v>26.800000000000011</v>
      </c>
      <c r="AJ86" s="303">
        <f t="shared" si="86"/>
        <v>27.240000000000009</v>
      </c>
      <c r="AK86" s="303">
        <f t="shared" si="87"/>
        <v>-1.4200000000000004</v>
      </c>
      <c r="AL86" s="303"/>
      <c r="AM86" s="303"/>
      <c r="AN86" s="303"/>
      <c r="AO86" s="303">
        <v>0.29699999999999999</v>
      </c>
      <c r="AP86" s="303">
        <v>0.29699999999999999</v>
      </c>
      <c r="AQ86" s="303">
        <f t="shared" si="88"/>
        <v>-0.19199999999999992</v>
      </c>
      <c r="AR86" s="303"/>
      <c r="AS86" s="303">
        <f t="shared" si="89"/>
        <v>2.01E-2</v>
      </c>
      <c r="AT86" s="303">
        <f t="shared" si="90"/>
        <v>2.01E-2</v>
      </c>
      <c r="AU86" s="303">
        <v>-0.02</v>
      </c>
      <c r="AV86" s="303"/>
      <c r="AW86" s="303">
        <v>1.8000000000000007</v>
      </c>
      <c r="AX86" s="303">
        <v>1.8000000000000007</v>
      </c>
      <c r="AY86" s="303">
        <v>-0.23999999999999977</v>
      </c>
      <c r="AZ86" s="303"/>
      <c r="BA86" s="303">
        <f t="shared" si="91"/>
        <v>4.5000000000000012E-2</v>
      </c>
      <c r="BB86" s="303">
        <f t="shared" si="92"/>
        <v>3.9E-2</v>
      </c>
      <c r="BC86" s="303">
        <f t="shared" si="93"/>
        <v>-2.18E-2</v>
      </c>
      <c r="BD86" s="303"/>
      <c r="BE86" s="303">
        <f t="shared" si="94"/>
        <v>4.0600000000000002E-3</v>
      </c>
      <c r="BF86" s="303">
        <f t="shared" si="95"/>
        <v>4.0600000000000002E-3</v>
      </c>
      <c r="BG86" s="303">
        <v>-3.0800000000000003E-3</v>
      </c>
      <c r="BH86" s="303"/>
      <c r="BI86" s="303">
        <f t="shared" si="96"/>
        <v>1.7200000000000006</v>
      </c>
      <c r="BJ86" s="303">
        <f t="shared" si="97"/>
        <v>1.0999999999999999</v>
      </c>
      <c r="BK86" s="303">
        <v>-0.36000000000000021</v>
      </c>
      <c r="BL86" s="303"/>
      <c r="BM86" s="303">
        <v>23.199999999999989</v>
      </c>
      <c r="BN86" s="303">
        <v>23.199999999999989</v>
      </c>
      <c r="BO86" s="303">
        <f t="shared" si="98"/>
        <v>-2.12</v>
      </c>
      <c r="BP86" s="303"/>
      <c r="BQ86" s="303">
        <v>0.72000000000000008</v>
      </c>
      <c r="BR86" s="303">
        <v>0.72000000000000008</v>
      </c>
      <c r="BS86" s="303">
        <v>-0.80000000000000049</v>
      </c>
      <c r="BT86" s="303"/>
      <c r="BU86" s="303">
        <v>26.800000000000011</v>
      </c>
      <c r="BV86" s="303">
        <f t="shared" si="99"/>
        <v>27.240000000000009</v>
      </c>
      <c r="BW86" s="303">
        <f t="shared" si="100"/>
        <v>-1.5</v>
      </c>
    </row>
    <row r="87" spans="3:75" x14ac:dyDescent="0.2">
      <c r="C87" s="304">
        <v>0.33</v>
      </c>
      <c r="D87" s="303">
        <v>0.33</v>
      </c>
      <c r="E87">
        <f t="shared" si="70"/>
        <v>-0.12000000000000001</v>
      </c>
      <c r="G87" s="303">
        <v>2.35E-2</v>
      </c>
      <c r="H87" s="303">
        <v>2.35E-2</v>
      </c>
      <c r="I87">
        <f t="shared" si="71"/>
        <v>-1.7500000000000002E-2</v>
      </c>
      <c r="K87">
        <v>1.9</v>
      </c>
      <c r="L87">
        <v>1.9</v>
      </c>
      <c r="M87">
        <f t="shared" si="72"/>
        <v>-0.16999999999999976</v>
      </c>
      <c r="O87" s="303">
        <f t="shared" si="73"/>
        <v>4.7500000000000014E-2</v>
      </c>
      <c r="P87" s="303">
        <f t="shared" si="74"/>
        <v>4.2000000000000003E-2</v>
      </c>
      <c r="Q87" s="303">
        <f t="shared" si="75"/>
        <v>-1.89E-2</v>
      </c>
      <c r="R87" s="303"/>
      <c r="S87" s="303">
        <f t="shared" si="76"/>
        <v>4.5800000000000007E-3</v>
      </c>
      <c r="T87" s="303">
        <f t="shared" si="77"/>
        <v>4.5800000000000007E-3</v>
      </c>
      <c r="U87" s="303">
        <f t="shared" si="78"/>
        <v>-2.4099999999999998E-3</v>
      </c>
      <c r="V87" s="303"/>
      <c r="W87" s="303">
        <f t="shared" si="79"/>
        <v>1.7200000000000006</v>
      </c>
      <c r="X87" s="303">
        <v>1.6300000000000006</v>
      </c>
      <c r="Y87" s="303">
        <f t="shared" si="80"/>
        <v>-0.28000000000000019</v>
      </c>
      <c r="Z87" s="303"/>
      <c r="AA87" s="303">
        <f t="shared" si="81"/>
        <v>23.599999999999987</v>
      </c>
      <c r="AB87" s="303">
        <v>23.599999999999987</v>
      </c>
      <c r="AC87" s="303">
        <f t="shared" si="82"/>
        <v>-2.3000000000000016</v>
      </c>
      <c r="AD87" s="303"/>
      <c r="AE87" s="303">
        <f t="shared" si="83"/>
        <v>0.8600000000000001</v>
      </c>
      <c r="AF87" s="303">
        <v>0.8600000000000001</v>
      </c>
      <c r="AG87" s="303">
        <f t="shared" si="84"/>
        <v>-0.65000000000000047</v>
      </c>
      <c r="AH87" s="303"/>
      <c r="AI87" s="303">
        <f t="shared" si="85"/>
        <v>27.150000000000013</v>
      </c>
      <c r="AJ87" s="303">
        <f t="shared" si="86"/>
        <v>27.52000000000001</v>
      </c>
      <c r="AK87" s="303">
        <f t="shared" si="87"/>
        <v>-1.2100000000000004</v>
      </c>
      <c r="AL87" s="303"/>
      <c r="AM87" s="303"/>
      <c r="AN87" s="303"/>
      <c r="AO87" s="303">
        <v>0.33</v>
      </c>
      <c r="AP87" s="303">
        <v>0.33</v>
      </c>
      <c r="AQ87" s="303">
        <f t="shared" si="88"/>
        <v>-0.16599999999999993</v>
      </c>
      <c r="AR87" s="303"/>
      <c r="AS87" s="303">
        <f t="shared" si="89"/>
        <v>2.2599999999999999E-2</v>
      </c>
      <c r="AT87" s="303">
        <f t="shared" si="90"/>
        <v>2.2599999999999999E-2</v>
      </c>
      <c r="AU87" s="303">
        <v>-1.7500000000000002E-2</v>
      </c>
      <c r="AV87" s="303"/>
      <c r="AW87" s="303">
        <v>1.9000000000000008</v>
      </c>
      <c r="AX87" s="303">
        <v>1.9000000000000008</v>
      </c>
      <c r="AY87" s="303">
        <v>-0.16999999999999976</v>
      </c>
      <c r="AZ87" s="303"/>
      <c r="BA87" s="303">
        <f t="shared" si="91"/>
        <v>4.7500000000000014E-2</v>
      </c>
      <c r="BB87" s="303">
        <f t="shared" si="92"/>
        <v>4.2000000000000003E-2</v>
      </c>
      <c r="BC87" s="303">
        <f t="shared" si="93"/>
        <v>-1.89E-2</v>
      </c>
      <c r="BD87" s="303"/>
      <c r="BE87" s="303">
        <f t="shared" si="94"/>
        <v>4.5599999999999998E-3</v>
      </c>
      <c r="BF87" s="303">
        <f t="shared" si="95"/>
        <v>4.5599999999999998E-3</v>
      </c>
      <c r="BG87" s="303">
        <v>-2.5900000000000003E-3</v>
      </c>
      <c r="BH87" s="303"/>
      <c r="BI87" s="303">
        <f t="shared" si="96"/>
        <v>1.8100000000000007</v>
      </c>
      <c r="BJ87" s="303">
        <f t="shared" si="97"/>
        <v>1.2</v>
      </c>
      <c r="BK87" s="303">
        <v>-0.28000000000000019</v>
      </c>
      <c r="BL87" s="303"/>
      <c r="BM87" s="303">
        <v>23.599999999999987</v>
      </c>
      <c r="BN87" s="303">
        <v>23.599999999999987</v>
      </c>
      <c r="BO87" s="303">
        <f t="shared" si="98"/>
        <v>-1.7600000000000002</v>
      </c>
      <c r="BP87" s="303"/>
      <c r="BQ87" s="303">
        <v>0.8600000000000001</v>
      </c>
      <c r="BR87" s="303">
        <v>0.8600000000000001</v>
      </c>
      <c r="BS87" s="303">
        <v>-0.65000000000000047</v>
      </c>
      <c r="BT87" s="303"/>
      <c r="BU87" s="303">
        <v>27.150000000000013</v>
      </c>
      <c r="BV87" s="303">
        <f t="shared" si="99"/>
        <v>27.52000000000001</v>
      </c>
      <c r="BW87" s="303">
        <f t="shared" si="100"/>
        <v>-1.25</v>
      </c>
    </row>
    <row r="88" spans="3:75" x14ac:dyDescent="0.2">
      <c r="C88" s="304">
        <v>0.36299999999999999</v>
      </c>
      <c r="D88" s="303">
        <v>0.36299999999999999</v>
      </c>
      <c r="E88">
        <f t="shared" si="70"/>
        <v>-0.1</v>
      </c>
      <c r="G88" s="303">
        <v>2.5999999999999999E-2</v>
      </c>
      <c r="H88" s="303">
        <v>2.5999999999999999E-2</v>
      </c>
      <c r="I88">
        <f t="shared" si="71"/>
        <v>-1.5000000000000001E-2</v>
      </c>
      <c r="K88">
        <v>2</v>
      </c>
      <c r="L88">
        <v>2</v>
      </c>
      <c r="M88">
        <f t="shared" si="72"/>
        <v>-9.9999999999999756E-2</v>
      </c>
      <c r="O88" s="303">
        <f t="shared" si="73"/>
        <v>5.0000000000000017E-2</v>
      </c>
      <c r="P88" s="303">
        <f t="shared" si="74"/>
        <v>4.5000000000000005E-2</v>
      </c>
      <c r="Q88" s="303">
        <f t="shared" si="75"/>
        <v>-1.6E-2</v>
      </c>
      <c r="R88" s="303"/>
      <c r="S88" s="303">
        <f t="shared" si="76"/>
        <v>5.0800000000000012E-3</v>
      </c>
      <c r="T88" s="303">
        <f t="shared" si="77"/>
        <v>5.0800000000000012E-3</v>
      </c>
      <c r="U88" s="303">
        <f t="shared" si="78"/>
        <v>-1.8999999999999998E-3</v>
      </c>
      <c r="V88" s="303"/>
      <c r="W88" s="303">
        <f t="shared" si="79"/>
        <v>1.8000000000000007</v>
      </c>
      <c r="X88" s="303">
        <v>1.7000000000000006</v>
      </c>
      <c r="Y88" s="303">
        <f t="shared" si="80"/>
        <v>-0.20000000000000018</v>
      </c>
      <c r="Z88" s="303"/>
      <c r="AA88" s="303">
        <f t="shared" si="81"/>
        <v>23.999999999999986</v>
      </c>
      <c r="AB88" s="303">
        <v>23.999999999999986</v>
      </c>
      <c r="AC88" s="303">
        <f t="shared" si="82"/>
        <v>-2.0000000000000018</v>
      </c>
      <c r="AD88" s="303"/>
      <c r="AE88" s="303">
        <f t="shared" si="83"/>
        <v>1</v>
      </c>
      <c r="AF88" s="303">
        <v>1</v>
      </c>
      <c r="AG88" s="303">
        <f t="shared" si="84"/>
        <v>-0.50000000000000044</v>
      </c>
      <c r="AH88" s="303"/>
      <c r="AI88" s="303">
        <f t="shared" si="85"/>
        <v>27.500000000000014</v>
      </c>
      <c r="AJ88" s="303">
        <f t="shared" si="86"/>
        <v>27.800000000000011</v>
      </c>
      <c r="AK88" s="303">
        <f t="shared" si="87"/>
        <v>-1.0000000000000004</v>
      </c>
      <c r="AL88" s="303"/>
      <c r="AM88" s="303"/>
      <c r="AN88" s="303"/>
      <c r="AO88" s="303">
        <v>0.36299999999999999</v>
      </c>
      <c r="AP88" s="303">
        <v>0.36299999999999999</v>
      </c>
      <c r="AQ88" s="303">
        <f t="shared" si="88"/>
        <v>-0.13999999999999993</v>
      </c>
      <c r="AR88" s="303"/>
      <c r="AS88" s="303">
        <f t="shared" si="89"/>
        <v>2.5099999999999997E-2</v>
      </c>
      <c r="AT88" s="303">
        <f t="shared" si="90"/>
        <v>2.5099999999999997E-2</v>
      </c>
      <c r="AU88" s="303">
        <v>-1.5000000000000001E-2</v>
      </c>
      <c r="AV88" s="303"/>
      <c r="AW88" s="303">
        <v>2.0000000000000009</v>
      </c>
      <c r="AX88" s="303">
        <v>2.0000000000000009</v>
      </c>
      <c r="AY88" s="303">
        <v>-9.9999999999999756E-2</v>
      </c>
      <c r="AZ88" s="303"/>
      <c r="BA88" s="303">
        <f t="shared" si="91"/>
        <v>5.0000000000000017E-2</v>
      </c>
      <c r="BB88" s="303">
        <f t="shared" si="92"/>
        <v>4.5000000000000005E-2</v>
      </c>
      <c r="BC88" s="303">
        <f t="shared" si="93"/>
        <v>-1.6E-2</v>
      </c>
      <c r="BD88" s="303"/>
      <c r="BE88" s="303">
        <f t="shared" si="94"/>
        <v>5.0600000000000003E-3</v>
      </c>
      <c r="BF88" s="303">
        <f t="shared" si="95"/>
        <v>5.0600000000000003E-3</v>
      </c>
      <c r="BG88" s="303">
        <v>-2.1000000000000003E-3</v>
      </c>
      <c r="BH88" s="303"/>
      <c r="BI88" s="303">
        <f t="shared" si="96"/>
        <v>1.9000000000000008</v>
      </c>
      <c r="BJ88" s="303">
        <f t="shared" si="97"/>
        <v>1.3</v>
      </c>
      <c r="BK88" s="303">
        <v>-0.20000000000000018</v>
      </c>
      <c r="BL88" s="303"/>
      <c r="BM88" s="303">
        <v>23.999999999999986</v>
      </c>
      <c r="BN88" s="303">
        <v>23.999999999999986</v>
      </c>
      <c r="BO88" s="303">
        <f t="shared" si="98"/>
        <v>-1.4000000000000004</v>
      </c>
      <c r="BP88" s="303"/>
      <c r="BQ88" s="303">
        <v>1</v>
      </c>
      <c r="BR88" s="303">
        <v>1</v>
      </c>
      <c r="BS88" s="303">
        <v>-0.50000000000000044</v>
      </c>
      <c r="BT88" s="303"/>
      <c r="BU88" s="303">
        <v>27.500000000000014</v>
      </c>
      <c r="BV88" s="303">
        <f t="shared" si="99"/>
        <v>27.800000000000011</v>
      </c>
      <c r="BW88" s="303">
        <f t="shared" si="100"/>
        <v>-1</v>
      </c>
    </row>
    <row r="89" spans="3:75" x14ac:dyDescent="0.2">
      <c r="C89" s="304">
        <v>0.39600000000000002</v>
      </c>
      <c r="D89" s="303">
        <v>0.39600000000000002</v>
      </c>
      <c r="E89">
        <f t="shared" si="70"/>
        <v>-0.08</v>
      </c>
      <c r="G89" s="303">
        <v>2.8500000000000001E-2</v>
      </c>
      <c r="H89" s="303">
        <v>2.8500000000000001E-2</v>
      </c>
      <c r="I89">
        <f t="shared" si="71"/>
        <v>-1.2500000000000001E-2</v>
      </c>
      <c r="K89">
        <v>2.1</v>
      </c>
      <c r="L89">
        <v>2.1</v>
      </c>
      <c r="M89">
        <f t="shared" si="72"/>
        <v>-2.9999999999999749E-2</v>
      </c>
      <c r="O89" s="303">
        <f t="shared" si="73"/>
        <v>5.2500000000000019E-2</v>
      </c>
      <c r="P89" s="303">
        <f t="shared" si="74"/>
        <v>4.8000000000000008E-2</v>
      </c>
      <c r="Q89" s="303">
        <f t="shared" si="75"/>
        <v>-1.3100000000000001E-2</v>
      </c>
      <c r="R89" s="303"/>
      <c r="S89" s="303">
        <f t="shared" si="76"/>
        <v>5.5800000000000016E-3</v>
      </c>
      <c r="T89" s="303">
        <f t="shared" si="77"/>
        <v>5.5800000000000016E-3</v>
      </c>
      <c r="U89" s="303">
        <f t="shared" si="78"/>
        <v>-1.3899999999999997E-3</v>
      </c>
      <c r="V89" s="303"/>
      <c r="W89" s="303">
        <f t="shared" si="79"/>
        <v>1.8800000000000008</v>
      </c>
      <c r="X89" s="303">
        <v>1.7700000000000007</v>
      </c>
      <c r="Y89" s="303">
        <f t="shared" si="80"/>
        <v>-0.12000000000000018</v>
      </c>
      <c r="Z89" s="303"/>
      <c r="AA89" s="303">
        <f t="shared" si="81"/>
        <v>24.399999999999984</v>
      </c>
      <c r="AB89" s="303">
        <v>24.399999999999984</v>
      </c>
      <c r="AC89" s="303">
        <f t="shared" si="82"/>
        <v>-1.7000000000000017</v>
      </c>
      <c r="AD89" s="303"/>
      <c r="AE89" s="303">
        <f t="shared" si="83"/>
        <v>1.1400000000000001</v>
      </c>
      <c r="AF89" s="303">
        <v>1.1400000000000001</v>
      </c>
      <c r="AG89" s="303">
        <f t="shared" si="84"/>
        <v>-0.35000000000000042</v>
      </c>
      <c r="AH89" s="303"/>
      <c r="AI89" s="303">
        <f t="shared" si="85"/>
        <v>27.850000000000016</v>
      </c>
      <c r="AJ89" s="303">
        <f t="shared" si="86"/>
        <v>28.080000000000013</v>
      </c>
      <c r="AK89" s="303">
        <f t="shared" si="87"/>
        <v>-0.79000000000000048</v>
      </c>
      <c r="AL89" s="303"/>
      <c r="AM89" s="303"/>
      <c r="AN89" s="303"/>
      <c r="AO89" s="303">
        <v>0.39600000000000002</v>
      </c>
      <c r="AP89" s="303">
        <v>0.39600000000000002</v>
      </c>
      <c r="AQ89" s="303">
        <f t="shared" si="88"/>
        <v>-0.11399999999999993</v>
      </c>
      <c r="AR89" s="303"/>
      <c r="AS89" s="303">
        <f t="shared" si="89"/>
        <v>2.7599999999999996E-2</v>
      </c>
      <c r="AT89" s="303">
        <f t="shared" si="90"/>
        <v>2.7599999999999996E-2</v>
      </c>
      <c r="AU89" s="303">
        <v>-1.2500000000000001E-2</v>
      </c>
      <c r="AV89" s="303"/>
      <c r="AW89" s="303">
        <v>2.100000000000001</v>
      </c>
      <c r="AX89" s="303">
        <v>2.100000000000001</v>
      </c>
      <c r="AY89" s="303">
        <v>-2.9999999999999749E-2</v>
      </c>
      <c r="AZ89" s="303"/>
      <c r="BA89" s="303">
        <f t="shared" si="91"/>
        <v>5.2500000000000019E-2</v>
      </c>
      <c r="BB89" s="303">
        <f t="shared" si="92"/>
        <v>4.8000000000000008E-2</v>
      </c>
      <c r="BC89" s="303">
        <f t="shared" si="93"/>
        <v>-1.3100000000000001E-2</v>
      </c>
      <c r="BD89" s="303"/>
      <c r="BE89" s="303">
        <f t="shared" si="94"/>
        <v>5.5600000000000007E-3</v>
      </c>
      <c r="BF89" s="303">
        <f t="shared" si="95"/>
        <v>5.5600000000000007E-3</v>
      </c>
      <c r="BG89" s="303">
        <v>-1.6100000000000003E-3</v>
      </c>
      <c r="BH89" s="303"/>
      <c r="BI89" s="303">
        <f t="shared" si="96"/>
        <v>1.9900000000000009</v>
      </c>
      <c r="BJ89" s="303">
        <f t="shared" si="97"/>
        <v>1.4000000000000001</v>
      </c>
      <c r="BK89" s="303">
        <v>-0.12000000000000018</v>
      </c>
      <c r="BL89" s="303"/>
      <c r="BM89" s="303">
        <v>24.399999999999984</v>
      </c>
      <c r="BN89" s="303">
        <v>24.399999999999984</v>
      </c>
      <c r="BO89" s="303">
        <f t="shared" si="98"/>
        <v>-1.0400000000000005</v>
      </c>
      <c r="BP89" s="303"/>
      <c r="BQ89" s="303">
        <v>1.1400000000000001</v>
      </c>
      <c r="BR89" s="303">
        <v>1.1400000000000001</v>
      </c>
      <c r="BS89" s="303">
        <v>-0.35000000000000042</v>
      </c>
      <c r="BT89" s="303"/>
      <c r="BU89" s="303">
        <v>27.850000000000016</v>
      </c>
      <c r="BV89" s="303">
        <f t="shared" si="99"/>
        <v>28.080000000000013</v>
      </c>
      <c r="BW89" s="303">
        <f t="shared" si="100"/>
        <v>-0.75</v>
      </c>
    </row>
    <row r="90" spans="3:75" x14ac:dyDescent="0.2">
      <c r="C90" s="304">
        <v>0.42899999999999999</v>
      </c>
      <c r="D90" s="303">
        <v>0.42899999999999999</v>
      </c>
      <c r="E90">
        <f t="shared" si="70"/>
        <v>-0.06</v>
      </c>
      <c r="G90" s="303">
        <v>3.1E-2</v>
      </c>
      <c r="H90" s="303">
        <v>3.1E-2</v>
      </c>
      <c r="I90">
        <f t="shared" si="71"/>
        <v>-0.01</v>
      </c>
      <c r="K90">
        <v>2.2000000000000002</v>
      </c>
      <c r="L90">
        <v>2.2000000000000002</v>
      </c>
      <c r="M90">
        <f t="shared" si="72"/>
        <v>4.0000000000000258E-2</v>
      </c>
      <c r="O90" s="303">
        <f t="shared" si="73"/>
        <v>5.5000000000000021E-2</v>
      </c>
      <c r="P90" s="303">
        <f t="shared" si="74"/>
        <v>5.1000000000000011E-2</v>
      </c>
      <c r="Q90" s="303">
        <f t="shared" si="75"/>
        <v>-1.0200000000000001E-2</v>
      </c>
      <c r="R90" s="303"/>
      <c r="S90" s="303">
        <f t="shared" si="76"/>
        <v>6.0800000000000021E-3</v>
      </c>
      <c r="T90" s="303">
        <f t="shared" si="77"/>
        <v>6.0800000000000021E-3</v>
      </c>
      <c r="U90" s="303">
        <f t="shared" si="78"/>
        <v>-8.7999999999999971E-4</v>
      </c>
      <c r="V90" s="303"/>
      <c r="W90" s="303">
        <f t="shared" si="79"/>
        <v>1.9600000000000009</v>
      </c>
      <c r="X90" s="303">
        <v>1.8400000000000007</v>
      </c>
      <c r="Y90" s="303">
        <f t="shared" si="80"/>
        <v>-4.0000000000000174E-2</v>
      </c>
      <c r="Z90" s="303"/>
      <c r="AA90" s="303">
        <f t="shared" si="81"/>
        <v>24.799999999999983</v>
      </c>
      <c r="AB90" s="303">
        <v>24.799999999999983</v>
      </c>
      <c r="AC90" s="303">
        <f t="shared" si="82"/>
        <v>-1.4000000000000017</v>
      </c>
      <c r="AD90" s="303"/>
      <c r="AE90" s="303">
        <f t="shared" si="83"/>
        <v>1.2800000000000002</v>
      </c>
      <c r="AF90" s="303">
        <v>1.2800000000000002</v>
      </c>
      <c r="AG90" s="303">
        <f t="shared" si="84"/>
        <v>-0.20000000000000043</v>
      </c>
      <c r="AH90" s="303"/>
      <c r="AI90" s="303">
        <f t="shared" si="85"/>
        <v>28.200000000000017</v>
      </c>
      <c r="AJ90" s="303">
        <f t="shared" si="86"/>
        <v>28.360000000000014</v>
      </c>
      <c r="AK90" s="303">
        <f t="shared" si="87"/>
        <v>-0.58000000000000052</v>
      </c>
      <c r="AL90" s="303"/>
      <c r="AM90" s="303"/>
      <c r="AN90" s="303"/>
      <c r="AO90" s="303">
        <v>0.42899999999999999</v>
      </c>
      <c r="AP90" s="303">
        <v>0.42899999999999999</v>
      </c>
      <c r="AQ90" s="303">
        <f t="shared" si="88"/>
        <v>-8.7999999999999939E-2</v>
      </c>
      <c r="AR90" s="303"/>
      <c r="AS90" s="303">
        <f t="shared" si="89"/>
        <v>3.0099999999999995E-2</v>
      </c>
      <c r="AT90" s="303">
        <f t="shared" si="90"/>
        <v>3.0099999999999995E-2</v>
      </c>
      <c r="AU90" s="303">
        <v>-0.01</v>
      </c>
      <c r="AV90" s="303"/>
      <c r="AW90" s="303">
        <v>2.2000000000000011</v>
      </c>
      <c r="AX90" s="303">
        <v>2.2000000000000011</v>
      </c>
      <c r="AY90" s="303">
        <v>4.0000000000000258E-2</v>
      </c>
      <c r="AZ90" s="303"/>
      <c r="BA90" s="303">
        <f t="shared" si="91"/>
        <v>5.5000000000000021E-2</v>
      </c>
      <c r="BB90" s="303">
        <f t="shared" si="92"/>
        <v>5.1000000000000011E-2</v>
      </c>
      <c r="BC90" s="303">
        <f t="shared" si="93"/>
        <v>-1.0200000000000001E-2</v>
      </c>
      <c r="BD90" s="303"/>
      <c r="BE90" s="303">
        <f t="shared" si="94"/>
        <v>6.0600000000000011E-3</v>
      </c>
      <c r="BF90" s="303">
        <f t="shared" si="95"/>
        <v>6.0600000000000011E-3</v>
      </c>
      <c r="BG90" s="303">
        <v>-1.1200000000000003E-3</v>
      </c>
      <c r="BH90" s="303"/>
      <c r="BI90" s="303">
        <f t="shared" si="96"/>
        <v>2.080000000000001</v>
      </c>
      <c r="BJ90" s="303">
        <f t="shared" si="97"/>
        <v>1.5000000000000002</v>
      </c>
      <c r="BK90" s="303">
        <v>-4.0000000000000174E-2</v>
      </c>
      <c r="BL90" s="303"/>
      <c r="BM90" s="303">
        <v>24.799999999999983</v>
      </c>
      <c r="BN90" s="303">
        <v>24.799999999999983</v>
      </c>
      <c r="BO90" s="303">
        <f t="shared" si="98"/>
        <v>-0.68000000000000049</v>
      </c>
      <c r="BP90" s="303"/>
      <c r="BQ90" s="303">
        <v>1.2800000000000002</v>
      </c>
      <c r="BR90" s="303">
        <v>1.2800000000000002</v>
      </c>
      <c r="BS90" s="303">
        <v>-0.20000000000000043</v>
      </c>
      <c r="BT90" s="303"/>
      <c r="BU90" s="303">
        <v>28.200000000000017</v>
      </c>
      <c r="BV90" s="303">
        <f t="shared" si="99"/>
        <v>28.360000000000014</v>
      </c>
      <c r="BW90" s="303">
        <f t="shared" si="100"/>
        <v>-0.5</v>
      </c>
    </row>
    <row r="91" spans="3:75" x14ac:dyDescent="0.2">
      <c r="C91" s="304">
        <v>0.46200000000000002</v>
      </c>
      <c r="D91" s="303">
        <v>0.46200000000000002</v>
      </c>
      <c r="E91">
        <f t="shared" si="70"/>
        <v>-3.9999999999999994E-2</v>
      </c>
      <c r="G91" s="303">
        <v>3.3500000000000002E-2</v>
      </c>
      <c r="H91" s="303">
        <v>3.3500000000000002E-2</v>
      </c>
      <c r="I91">
        <f t="shared" si="71"/>
        <v>-7.4999999999999997E-3</v>
      </c>
      <c r="K91">
        <v>2.2999999999999998</v>
      </c>
      <c r="L91">
        <v>2.2999999999999998</v>
      </c>
      <c r="M91">
        <f t="shared" si="72"/>
        <v>0.11000000000000026</v>
      </c>
      <c r="O91" s="303">
        <f t="shared" si="73"/>
        <v>5.7500000000000023E-2</v>
      </c>
      <c r="P91" s="303">
        <f t="shared" si="74"/>
        <v>5.4000000000000013E-2</v>
      </c>
      <c r="Q91" s="303">
        <f t="shared" si="75"/>
        <v>-7.3000000000000009E-3</v>
      </c>
      <c r="R91" s="303"/>
      <c r="S91" s="303">
        <f t="shared" si="76"/>
        <v>6.5800000000000025E-3</v>
      </c>
      <c r="T91" s="303">
        <f t="shared" si="77"/>
        <v>6.5800000000000025E-3</v>
      </c>
      <c r="U91" s="303">
        <f t="shared" si="78"/>
        <v>-3.6999999999999967E-4</v>
      </c>
      <c r="V91" s="303"/>
      <c r="W91" s="303">
        <f t="shared" si="79"/>
        <v>2.0400000000000009</v>
      </c>
      <c r="X91" s="303">
        <v>1.9100000000000008</v>
      </c>
      <c r="Y91" s="303">
        <f t="shared" si="80"/>
        <v>3.9999999999999827E-2</v>
      </c>
      <c r="Z91" s="303"/>
      <c r="AA91" s="303">
        <f t="shared" si="81"/>
        <v>25.199999999999982</v>
      </c>
      <c r="AB91" s="303">
        <v>25.199999999999982</v>
      </c>
      <c r="AC91" s="303">
        <f t="shared" si="82"/>
        <v>-1.1000000000000016</v>
      </c>
      <c r="AD91" s="303"/>
      <c r="AE91" s="303">
        <f t="shared" si="83"/>
        <v>1.4200000000000004</v>
      </c>
      <c r="AF91" s="303">
        <v>1.4200000000000004</v>
      </c>
      <c r="AG91" s="303">
        <f t="shared" si="84"/>
        <v>-5.0000000000000433E-2</v>
      </c>
      <c r="AH91" s="303"/>
      <c r="AI91" s="303">
        <f t="shared" si="85"/>
        <v>28.550000000000018</v>
      </c>
      <c r="AJ91" s="303">
        <f t="shared" si="86"/>
        <v>28.640000000000015</v>
      </c>
      <c r="AK91" s="303">
        <f t="shared" si="87"/>
        <v>-0.37000000000000055</v>
      </c>
      <c r="AL91" s="303"/>
      <c r="AM91" s="303"/>
      <c r="AN91" s="303"/>
      <c r="AO91" s="303">
        <v>0.46200000000000002</v>
      </c>
      <c r="AP91" s="303">
        <v>0.46200000000000002</v>
      </c>
      <c r="AQ91" s="303">
        <f t="shared" si="88"/>
        <v>-6.1999999999999944E-2</v>
      </c>
      <c r="AR91" s="303"/>
      <c r="AS91" s="303">
        <f t="shared" si="89"/>
        <v>3.2599999999999997E-2</v>
      </c>
      <c r="AT91" s="303">
        <f t="shared" si="90"/>
        <v>3.2599999999999997E-2</v>
      </c>
      <c r="AU91" s="303">
        <v>-7.4999999999999997E-3</v>
      </c>
      <c r="AV91" s="303"/>
      <c r="AW91" s="303">
        <v>2.3000000000000012</v>
      </c>
      <c r="AX91" s="303">
        <v>2.3000000000000012</v>
      </c>
      <c r="AY91" s="303">
        <v>0.11000000000000026</v>
      </c>
      <c r="AZ91" s="303"/>
      <c r="BA91" s="303">
        <f t="shared" si="91"/>
        <v>5.7500000000000023E-2</v>
      </c>
      <c r="BB91" s="303">
        <f t="shared" si="92"/>
        <v>5.4000000000000013E-2</v>
      </c>
      <c r="BC91" s="303">
        <f t="shared" si="93"/>
        <v>-7.3000000000000009E-3</v>
      </c>
      <c r="BD91" s="303"/>
      <c r="BE91" s="303">
        <f t="shared" si="94"/>
        <v>6.5600000000000016E-3</v>
      </c>
      <c r="BF91" s="303">
        <f t="shared" si="95"/>
        <v>6.5600000000000016E-3</v>
      </c>
      <c r="BG91" s="303">
        <v>-6.3000000000000035E-4</v>
      </c>
      <c r="BH91" s="303"/>
      <c r="BI91" s="303">
        <f t="shared" si="96"/>
        <v>2.1700000000000008</v>
      </c>
      <c r="BJ91" s="303">
        <f t="shared" si="97"/>
        <v>1.6000000000000003</v>
      </c>
      <c r="BK91" s="303">
        <v>3.9999999999999827E-2</v>
      </c>
      <c r="BL91" s="303"/>
      <c r="BM91" s="303">
        <v>25.199999999999982</v>
      </c>
      <c r="BN91" s="303">
        <v>25.199999999999982</v>
      </c>
      <c r="BO91" s="303">
        <f t="shared" si="98"/>
        <v>-0.32000000000000051</v>
      </c>
      <c r="BP91" s="303"/>
      <c r="BQ91" s="303">
        <v>1.4200000000000004</v>
      </c>
      <c r="BR91" s="303">
        <v>1.4200000000000004</v>
      </c>
      <c r="BS91" s="303">
        <v>-5.0000000000000433E-2</v>
      </c>
      <c r="BT91" s="303"/>
      <c r="BU91" s="303">
        <v>28.550000000000018</v>
      </c>
      <c r="BV91" s="303">
        <f t="shared" si="99"/>
        <v>28.640000000000015</v>
      </c>
      <c r="BW91" s="303">
        <f t="shared" si="100"/>
        <v>-0.25</v>
      </c>
    </row>
    <row r="92" spans="3:75" x14ac:dyDescent="0.2">
      <c r="C92" s="304">
        <v>0.495</v>
      </c>
      <c r="D92" s="303">
        <v>0.495</v>
      </c>
      <c r="E92">
        <f t="shared" si="70"/>
        <v>-1.9999999999999993E-2</v>
      </c>
      <c r="G92" s="303">
        <v>3.5999999999999997E-2</v>
      </c>
      <c r="H92" s="303">
        <v>3.5999999999999997E-2</v>
      </c>
      <c r="I92">
        <f t="shared" si="71"/>
        <v>-4.9999999999999992E-3</v>
      </c>
      <c r="K92">
        <v>2.4</v>
      </c>
      <c r="L92">
        <v>2.4</v>
      </c>
      <c r="M92">
        <f t="shared" si="72"/>
        <v>0.18000000000000027</v>
      </c>
      <c r="O92" s="303">
        <f t="shared" si="73"/>
        <v>6.0000000000000026E-2</v>
      </c>
      <c r="P92" s="303">
        <f t="shared" si="74"/>
        <v>5.7000000000000016E-2</v>
      </c>
      <c r="Q92" s="303">
        <f t="shared" si="75"/>
        <v>-4.4000000000000011E-3</v>
      </c>
      <c r="R92" s="303"/>
      <c r="S92" s="303">
        <f t="shared" si="76"/>
        <v>7.080000000000003E-3</v>
      </c>
      <c r="T92" s="303">
        <f t="shared" si="77"/>
        <v>7.080000000000003E-3</v>
      </c>
      <c r="U92" s="303">
        <f t="shared" si="78"/>
        <v>1.4000000000000037E-4</v>
      </c>
      <c r="V92" s="303"/>
      <c r="W92" s="303">
        <f t="shared" si="79"/>
        <v>2.120000000000001</v>
      </c>
      <c r="X92" s="303">
        <v>1.9800000000000009</v>
      </c>
      <c r="Y92" s="303">
        <f t="shared" si="80"/>
        <v>0.11999999999999983</v>
      </c>
      <c r="Z92" s="303"/>
      <c r="AA92" s="303">
        <f t="shared" si="81"/>
        <v>25.59999999999998</v>
      </c>
      <c r="AB92" s="303">
        <v>25.59999999999998</v>
      </c>
      <c r="AC92" s="303">
        <f t="shared" si="82"/>
        <v>-0.8000000000000016</v>
      </c>
      <c r="AD92" s="303"/>
      <c r="AE92" s="303">
        <f t="shared" si="83"/>
        <v>1.5600000000000005</v>
      </c>
      <c r="AF92" s="303">
        <v>1.5600000000000005</v>
      </c>
      <c r="AG92" s="303">
        <f t="shared" si="84"/>
        <v>9.9999999999999561E-2</v>
      </c>
      <c r="AH92" s="303"/>
      <c r="AI92" s="303">
        <f t="shared" si="85"/>
        <v>28.90000000000002</v>
      </c>
      <c r="AJ92" s="303">
        <f t="shared" si="86"/>
        <v>28.920000000000016</v>
      </c>
      <c r="AK92" s="303">
        <f t="shared" si="87"/>
        <v>-0.16000000000000056</v>
      </c>
      <c r="AL92" s="303"/>
      <c r="AM92" s="303"/>
      <c r="AN92" s="303"/>
      <c r="AO92" s="303">
        <v>0.495</v>
      </c>
      <c r="AP92" s="303">
        <v>0.495</v>
      </c>
      <c r="AQ92" s="303">
        <f t="shared" si="88"/>
        <v>-3.5999999999999949E-2</v>
      </c>
      <c r="AR92" s="303"/>
      <c r="AS92" s="303">
        <f t="shared" si="89"/>
        <v>3.5099999999999999E-2</v>
      </c>
      <c r="AT92" s="303">
        <f t="shared" si="90"/>
        <v>3.5099999999999999E-2</v>
      </c>
      <c r="AU92" s="303">
        <v>-4.9999999999999992E-3</v>
      </c>
      <c r="AV92" s="303"/>
      <c r="AW92" s="303">
        <v>2.4000000000000012</v>
      </c>
      <c r="AX92" s="303">
        <v>2.4000000000000012</v>
      </c>
      <c r="AY92" s="303">
        <v>0.18000000000000027</v>
      </c>
      <c r="AZ92" s="303"/>
      <c r="BA92" s="303">
        <f t="shared" si="91"/>
        <v>6.0000000000000026E-2</v>
      </c>
      <c r="BB92" s="303">
        <f t="shared" si="92"/>
        <v>5.7000000000000016E-2</v>
      </c>
      <c r="BC92" s="303">
        <f t="shared" si="93"/>
        <v>-4.4000000000000011E-3</v>
      </c>
      <c r="BD92" s="303"/>
      <c r="BE92" s="303">
        <f t="shared" si="94"/>
        <v>7.060000000000002E-3</v>
      </c>
      <c r="BF92" s="303">
        <f t="shared" si="95"/>
        <v>7.060000000000002E-3</v>
      </c>
      <c r="BG92" s="303">
        <v>-1.4000000000000037E-4</v>
      </c>
      <c r="BH92" s="303"/>
      <c r="BI92" s="303">
        <f t="shared" si="96"/>
        <v>2.2600000000000007</v>
      </c>
      <c r="BJ92" s="303">
        <f t="shared" si="97"/>
        <v>1.7000000000000004</v>
      </c>
      <c r="BK92" s="303">
        <v>0.11999999999999983</v>
      </c>
      <c r="BL92" s="303"/>
      <c r="BM92" s="303">
        <v>25.59999999999998</v>
      </c>
      <c r="BN92" s="303">
        <v>25.59999999999998</v>
      </c>
      <c r="BO92" s="303">
        <f t="shared" si="98"/>
        <v>3.999999999999948E-2</v>
      </c>
      <c r="BP92" s="303"/>
      <c r="BQ92" s="303">
        <v>1.5600000000000005</v>
      </c>
      <c r="BR92" s="303">
        <v>1.5600000000000005</v>
      </c>
      <c r="BS92" s="303">
        <v>9.9999999999999561E-2</v>
      </c>
      <c r="BT92" s="303"/>
      <c r="BU92" s="303">
        <v>28.90000000000002</v>
      </c>
      <c r="BV92" s="303">
        <f t="shared" si="99"/>
        <v>28.920000000000016</v>
      </c>
      <c r="BW92" s="303">
        <f t="shared" si="100"/>
        <v>0</v>
      </c>
    </row>
    <row r="93" spans="3:75" x14ac:dyDescent="0.2">
      <c r="C93" s="304">
        <v>0.52800000000000002</v>
      </c>
      <c r="D93" s="303">
        <v>0.52800000000000002</v>
      </c>
      <c r="E93">
        <f t="shared" si="70"/>
        <v>0</v>
      </c>
      <c r="G93" s="303">
        <v>3.85E-2</v>
      </c>
      <c r="H93" s="303">
        <v>3.85E-2</v>
      </c>
      <c r="I93">
        <f t="shared" si="71"/>
        <v>-2.4999999999999992E-3</v>
      </c>
      <c r="K93">
        <v>2.5</v>
      </c>
      <c r="L93">
        <v>2.5</v>
      </c>
      <c r="M93">
        <f t="shared" si="72"/>
        <v>0.25000000000000028</v>
      </c>
      <c r="O93" s="303">
        <f t="shared" si="73"/>
        <v>6.2500000000000028E-2</v>
      </c>
      <c r="P93" s="303">
        <f t="shared" si="74"/>
        <v>6.0000000000000019E-2</v>
      </c>
      <c r="Q93" s="303">
        <f t="shared" si="75"/>
        <v>-1.5000000000000013E-3</v>
      </c>
      <c r="R93" s="303"/>
      <c r="S93" s="303">
        <f t="shared" si="76"/>
        <v>7.5800000000000034E-3</v>
      </c>
      <c r="T93" s="303">
        <f t="shared" si="77"/>
        <v>7.5800000000000034E-3</v>
      </c>
      <c r="U93" s="303">
        <f t="shared" si="78"/>
        <v>6.500000000000004E-4</v>
      </c>
      <c r="V93" s="303"/>
      <c r="W93" s="303">
        <f t="shared" si="79"/>
        <v>2.2000000000000011</v>
      </c>
      <c r="X93" s="303">
        <v>2.0500000000000007</v>
      </c>
      <c r="Y93" s="303">
        <f t="shared" si="80"/>
        <v>0.19999999999999984</v>
      </c>
      <c r="Z93" s="303"/>
      <c r="AA93" s="303">
        <f t="shared" si="81"/>
        <v>25.999999999999979</v>
      </c>
      <c r="AB93" s="303">
        <v>25.999999999999979</v>
      </c>
      <c r="AC93" s="303">
        <f t="shared" si="82"/>
        <v>-0.50000000000000155</v>
      </c>
      <c r="AD93" s="303"/>
      <c r="AE93" s="303">
        <f t="shared" si="83"/>
        <v>1.7000000000000006</v>
      </c>
      <c r="AF93" s="303">
        <v>1.7000000000000006</v>
      </c>
      <c r="AG93" s="303">
        <f t="shared" si="84"/>
        <v>0.24999999999999956</v>
      </c>
      <c r="AH93" s="303"/>
      <c r="AI93" s="303">
        <f t="shared" si="85"/>
        <v>29.250000000000021</v>
      </c>
      <c r="AJ93" s="303">
        <f t="shared" si="86"/>
        <v>29.200000000000017</v>
      </c>
      <c r="AK93" s="303">
        <f t="shared" si="87"/>
        <v>4.9999999999999434E-2</v>
      </c>
      <c r="AL93" s="303"/>
      <c r="AM93" s="303"/>
      <c r="AN93" s="303"/>
      <c r="AO93" s="303">
        <v>0.52800000000000002</v>
      </c>
      <c r="AP93" s="303">
        <v>0.52800000000000002</v>
      </c>
      <c r="AQ93" s="303">
        <f t="shared" si="88"/>
        <v>-9.9999999999999499E-3</v>
      </c>
      <c r="AR93" s="303"/>
      <c r="AS93" s="303">
        <f t="shared" si="89"/>
        <v>3.7600000000000001E-2</v>
      </c>
      <c r="AT93" s="303">
        <f t="shared" si="90"/>
        <v>3.7600000000000001E-2</v>
      </c>
      <c r="AU93" s="303">
        <v>-2.4999999999999992E-3</v>
      </c>
      <c r="AV93" s="303"/>
      <c r="AW93" s="303">
        <v>2.5000000000000013</v>
      </c>
      <c r="AX93" s="303">
        <v>2.5000000000000013</v>
      </c>
      <c r="AY93" s="303">
        <v>0.25000000000000028</v>
      </c>
      <c r="AZ93" s="303"/>
      <c r="BA93" s="303">
        <f t="shared" si="91"/>
        <v>6.2500000000000028E-2</v>
      </c>
      <c r="BB93" s="303">
        <f t="shared" si="92"/>
        <v>6.0000000000000019E-2</v>
      </c>
      <c r="BC93" s="303">
        <f t="shared" si="93"/>
        <v>-1.5000000000000013E-3</v>
      </c>
      <c r="BD93" s="303"/>
      <c r="BE93" s="303">
        <f t="shared" si="94"/>
        <v>7.5600000000000025E-3</v>
      </c>
      <c r="BF93" s="303">
        <f t="shared" si="95"/>
        <v>7.5600000000000025E-3</v>
      </c>
      <c r="BG93" s="303">
        <v>3.4999999999999962E-4</v>
      </c>
      <c r="BH93" s="303"/>
      <c r="BI93" s="303">
        <f t="shared" si="96"/>
        <v>2.3500000000000005</v>
      </c>
      <c r="BJ93" s="303">
        <f t="shared" si="97"/>
        <v>1.8000000000000005</v>
      </c>
      <c r="BK93" s="303">
        <v>0.19999999999999984</v>
      </c>
      <c r="BL93" s="303"/>
      <c r="BM93" s="303">
        <v>25.999999999999979</v>
      </c>
      <c r="BN93" s="303">
        <v>25.999999999999979</v>
      </c>
      <c r="BO93" s="303">
        <f t="shared" si="98"/>
        <v>0.39999999999999947</v>
      </c>
      <c r="BP93" s="303"/>
      <c r="BQ93" s="303">
        <v>1.7000000000000006</v>
      </c>
      <c r="BR93" s="303">
        <v>1.7000000000000006</v>
      </c>
      <c r="BS93" s="303">
        <v>0.24999999999999956</v>
      </c>
      <c r="BT93" s="303"/>
      <c r="BU93" s="303">
        <v>29.250000000000021</v>
      </c>
      <c r="BV93" s="303">
        <f t="shared" si="99"/>
        <v>29.200000000000017</v>
      </c>
      <c r="BW93" s="303">
        <f t="shared" si="100"/>
        <v>0.25</v>
      </c>
    </row>
    <row r="94" spans="3:75" x14ac:dyDescent="0.2">
      <c r="C94" s="304">
        <v>0.56100000000000005</v>
      </c>
      <c r="D94" s="303">
        <v>0.56100000000000005</v>
      </c>
      <c r="E94">
        <f t="shared" si="70"/>
        <v>0.02</v>
      </c>
      <c r="G94" s="303">
        <v>4.1000000000000002E-2</v>
      </c>
      <c r="H94" s="303">
        <v>4.1000000000000002E-2</v>
      </c>
      <c r="I94">
        <f t="shared" si="71"/>
        <v>0</v>
      </c>
      <c r="K94">
        <v>2.6</v>
      </c>
      <c r="L94">
        <v>2.6</v>
      </c>
      <c r="M94">
        <f t="shared" si="72"/>
        <v>0.32000000000000028</v>
      </c>
      <c r="O94" s="303">
        <f t="shared" si="73"/>
        <v>6.500000000000003E-2</v>
      </c>
      <c r="P94" s="303">
        <f t="shared" si="74"/>
        <v>6.3000000000000014E-2</v>
      </c>
      <c r="Q94" s="303">
        <f t="shared" si="75"/>
        <v>1.3999999999999985E-3</v>
      </c>
      <c r="R94" s="303"/>
      <c r="S94" s="303">
        <f t="shared" si="76"/>
        <v>8.0800000000000038E-3</v>
      </c>
      <c r="T94" s="303">
        <f t="shared" si="77"/>
        <v>8.0800000000000038E-3</v>
      </c>
      <c r="U94" s="303">
        <f t="shared" si="78"/>
        <v>1.1600000000000004E-3</v>
      </c>
      <c r="V94" s="303"/>
      <c r="W94" s="303">
        <f t="shared" si="79"/>
        <v>2.2800000000000011</v>
      </c>
      <c r="X94" s="303">
        <v>2.1200000000000006</v>
      </c>
      <c r="Y94" s="303">
        <f t="shared" si="80"/>
        <v>0.27999999999999986</v>
      </c>
      <c r="Z94" s="303"/>
      <c r="AA94" s="303">
        <f t="shared" si="81"/>
        <v>26.399999999999977</v>
      </c>
      <c r="AB94" s="303">
        <v>26.399999999999977</v>
      </c>
      <c r="AC94" s="303">
        <f t="shared" si="82"/>
        <v>-0.20000000000000157</v>
      </c>
      <c r="AD94" s="303"/>
      <c r="AE94" s="303">
        <f t="shared" si="83"/>
        <v>1.8400000000000007</v>
      </c>
      <c r="AF94" s="303">
        <v>1.8400000000000007</v>
      </c>
      <c r="AG94" s="303">
        <f t="shared" si="84"/>
        <v>0.39999999999999958</v>
      </c>
      <c r="AH94" s="303"/>
      <c r="AI94" s="303">
        <f t="shared" si="85"/>
        <v>29.600000000000023</v>
      </c>
      <c r="AJ94" s="303">
        <f t="shared" si="86"/>
        <v>29.480000000000018</v>
      </c>
      <c r="AK94" s="303">
        <f t="shared" si="87"/>
        <v>0.25999999999999945</v>
      </c>
      <c r="AL94" s="303"/>
      <c r="AM94" s="303"/>
      <c r="AN94" s="303"/>
      <c r="AO94" s="303">
        <v>0.56100000000000005</v>
      </c>
      <c r="AP94" s="303">
        <v>0.56100000000000005</v>
      </c>
      <c r="AQ94" s="303">
        <f t="shared" si="88"/>
        <v>1.6000000000000049E-2</v>
      </c>
      <c r="AR94" s="303"/>
      <c r="AS94" s="303">
        <f t="shared" si="89"/>
        <v>4.0100000000000004E-2</v>
      </c>
      <c r="AT94" s="303">
        <f t="shared" si="90"/>
        <v>4.0100000000000004E-2</v>
      </c>
      <c r="AU94" s="303">
        <v>0</v>
      </c>
      <c r="AV94" s="303"/>
      <c r="AW94" s="303">
        <v>2.6000000000000014</v>
      </c>
      <c r="AX94" s="303">
        <v>2.6000000000000014</v>
      </c>
      <c r="AY94" s="303">
        <v>0.32000000000000028</v>
      </c>
      <c r="AZ94" s="303"/>
      <c r="BA94" s="303">
        <f t="shared" si="91"/>
        <v>6.500000000000003E-2</v>
      </c>
      <c r="BB94" s="303">
        <f t="shared" si="92"/>
        <v>6.3000000000000014E-2</v>
      </c>
      <c r="BC94" s="303">
        <f t="shared" si="93"/>
        <v>1.3999999999999985E-3</v>
      </c>
      <c r="BD94" s="303"/>
      <c r="BE94" s="303">
        <f t="shared" si="94"/>
        <v>8.0600000000000029E-3</v>
      </c>
      <c r="BF94" s="303">
        <f t="shared" si="95"/>
        <v>8.0600000000000029E-3</v>
      </c>
      <c r="BG94" s="303">
        <v>8.399999999999996E-4</v>
      </c>
      <c r="BH94" s="303"/>
      <c r="BI94" s="303">
        <f t="shared" si="96"/>
        <v>2.4400000000000004</v>
      </c>
      <c r="BJ94" s="303">
        <f t="shared" si="97"/>
        <v>1.9000000000000006</v>
      </c>
      <c r="BK94" s="303">
        <v>0.27999999999999986</v>
      </c>
      <c r="BL94" s="303"/>
      <c r="BM94" s="303">
        <v>26.399999999999977</v>
      </c>
      <c r="BN94" s="303">
        <v>26.399999999999977</v>
      </c>
      <c r="BO94" s="303">
        <f t="shared" si="98"/>
        <v>0.75999999999999945</v>
      </c>
      <c r="BP94" s="303"/>
      <c r="BQ94" s="303">
        <v>1.8400000000000007</v>
      </c>
      <c r="BR94" s="303">
        <v>1.8400000000000007</v>
      </c>
      <c r="BS94" s="303">
        <v>0.39999999999999958</v>
      </c>
      <c r="BT94" s="303"/>
      <c r="BU94" s="303">
        <v>29.600000000000023</v>
      </c>
      <c r="BV94" s="303">
        <f t="shared" si="99"/>
        <v>29.480000000000018</v>
      </c>
      <c r="BW94" s="303">
        <f t="shared" si="100"/>
        <v>0.5</v>
      </c>
    </row>
    <row r="95" spans="3:75" x14ac:dyDescent="0.2">
      <c r="C95" s="304">
        <v>0.59399999999999997</v>
      </c>
      <c r="D95" s="303">
        <v>0.59399999999999997</v>
      </c>
      <c r="E95">
        <f t="shared" si="70"/>
        <v>0.04</v>
      </c>
      <c r="G95" s="303">
        <v>4.3499999999999997E-2</v>
      </c>
      <c r="H95" s="303">
        <v>4.3499999999999997E-2</v>
      </c>
      <c r="I95">
        <f t="shared" si="71"/>
        <v>2.5000000000000001E-3</v>
      </c>
      <c r="K95">
        <v>2.7</v>
      </c>
      <c r="L95">
        <v>2.7</v>
      </c>
      <c r="M95">
        <f t="shared" si="72"/>
        <v>0.39000000000000029</v>
      </c>
      <c r="O95" s="303">
        <f t="shared" si="73"/>
        <v>6.7500000000000032E-2</v>
      </c>
      <c r="P95" s="303">
        <f t="shared" si="74"/>
        <v>6.6000000000000017E-2</v>
      </c>
      <c r="Q95" s="303">
        <f t="shared" si="75"/>
        <v>4.2999999999999983E-3</v>
      </c>
      <c r="R95" s="303"/>
      <c r="S95" s="303">
        <f t="shared" si="76"/>
        <v>8.5800000000000043E-3</v>
      </c>
      <c r="T95" s="303">
        <f t="shared" si="77"/>
        <v>8.5800000000000043E-3</v>
      </c>
      <c r="U95" s="303">
        <f t="shared" si="78"/>
        <v>1.6700000000000005E-3</v>
      </c>
      <c r="V95" s="303"/>
      <c r="W95" s="303">
        <f t="shared" si="79"/>
        <v>2.3600000000000012</v>
      </c>
      <c r="X95" s="303">
        <v>2.1900000000000004</v>
      </c>
      <c r="Y95" s="303">
        <f t="shared" si="80"/>
        <v>0.35999999999999988</v>
      </c>
      <c r="Z95" s="303"/>
      <c r="AA95" s="303">
        <f t="shared" si="81"/>
        <v>26.799999999999976</v>
      </c>
      <c r="AB95" s="303">
        <v>26.799999999999976</v>
      </c>
      <c r="AC95" s="303">
        <f t="shared" si="82"/>
        <v>9.9999999999998423E-2</v>
      </c>
      <c r="AD95" s="303"/>
      <c r="AE95" s="303">
        <f t="shared" si="83"/>
        <v>1.9800000000000009</v>
      </c>
      <c r="AF95" s="303">
        <v>1.9800000000000009</v>
      </c>
      <c r="AG95" s="303">
        <f t="shared" si="84"/>
        <v>0.5499999999999996</v>
      </c>
      <c r="AH95" s="303"/>
      <c r="AI95" s="303">
        <f t="shared" si="85"/>
        <v>29.950000000000024</v>
      </c>
      <c r="AJ95" s="303">
        <f t="shared" si="86"/>
        <v>29.760000000000019</v>
      </c>
      <c r="AK95" s="303">
        <f t="shared" si="87"/>
        <v>0.46999999999999942</v>
      </c>
      <c r="AL95" s="303"/>
      <c r="AM95" s="303"/>
      <c r="AN95" s="303"/>
      <c r="AO95" s="303">
        <v>0.59399999999999997</v>
      </c>
      <c r="AP95" s="303">
        <v>0.59399999999999997</v>
      </c>
      <c r="AQ95" s="303">
        <f t="shared" si="88"/>
        <v>4.2000000000000051E-2</v>
      </c>
      <c r="AR95" s="303"/>
      <c r="AS95" s="303">
        <f t="shared" si="89"/>
        <v>4.2600000000000006E-2</v>
      </c>
      <c r="AT95" s="303">
        <f t="shared" si="90"/>
        <v>4.2600000000000006E-2</v>
      </c>
      <c r="AU95" s="303">
        <v>2.5000000000000001E-3</v>
      </c>
      <c r="AV95" s="303"/>
      <c r="AW95" s="303">
        <v>2.7000000000000015</v>
      </c>
      <c r="AX95" s="303">
        <v>2.7000000000000015</v>
      </c>
      <c r="AY95" s="303">
        <v>0.39000000000000029</v>
      </c>
      <c r="AZ95" s="303"/>
      <c r="BA95" s="303">
        <f t="shared" si="91"/>
        <v>6.7500000000000032E-2</v>
      </c>
      <c r="BB95" s="303">
        <f t="shared" si="92"/>
        <v>6.6000000000000017E-2</v>
      </c>
      <c r="BC95" s="303">
        <f t="shared" si="93"/>
        <v>4.2999999999999983E-3</v>
      </c>
      <c r="BD95" s="303"/>
      <c r="BE95" s="303">
        <f t="shared" si="94"/>
        <v>8.5600000000000034E-3</v>
      </c>
      <c r="BF95" s="303">
        <f t="shared" si="95"/>
        <v>8.5600000000000034E-3</v>
      </c>
      <c r="BG95" s="303">
        <v>1.3299999999999996E-3</v>
      </c>
      <c r="BH95" s="303"/>
      <c r="BI95" s="303">
        <f t="shared" si="96"/>
        <v>2.5300000000000002</v>
      </c>
      <c r="BJ95" s="303">
        <f t="shared" si="97"/>
        <v>2.0000000000000004</v>
      </c>
      <c r="BK95" s="303">
        <v>0.35999999999999988</v>
      </c>
      <c r="BL95" s="303"/>
      <c r="BM95" s="303">
        <v>26.799999999999976</v>
      </c>
      <c r="BN95" s="303">
        <v>26.799999999999976</v>
      </c>
      <c r="BO95" s="303">
        <f t="shared" si="98"/>
        <v>1.1199999999999994</v>
      </c>
      <c r="BP95" s="303"/>
      <c r="BQ95" s="303">
        <v>1.9800000000000009</v>
      </c>
      <c r="BR95" s="303">
        <v>1.9800000000000009</v>
      </c>
      <c r="BS95" s="303">
        <v>0.5499999999999996</v>
      </c>
      <c r="BT95" s="303"/>
      <c r="BU95" s="303">
        <v>29.950000000000024</v>
      </c>
      <c r="BV95" s="303">
        <f t="shared" si="99"/>
        <v>29.760000000000019</v>
      </c>
      <c r="BW95" s="303">
        <f t="shared" si="100"/>
        <v>0.75</v>
      </c>
    </row>
    <row r="96" spans="3:75" x14ac:dyDescent="0.2">
      <c r="C96" s="304">
        <v>0.627</v>
      </c>
      <c r="D96" s="303">
        <v>0.627</v>
      </c>
      <c r="E96">
        <f t="shared" si="70"/>
        <v>0.06</v>
      </c>
      <c r="G96" s="303">
        <v>4.5999999999999999E-2</v>
      </c>
      <c r="H96" s="303">
        <v>4.5999999999999999E-2</v>
      </c>
      <c r="I96">
        <f t="shared" si="71"/>
        <v>5.0000000000000001E-3</v>
      </c>
      <c r="K96">
        <v>2.8</v>
      </c>
      <c r="L96">
        <v>2.8</v>
      </c>
      <c r="M96">
        <f t="shared" si="72"/>
        <v>0.4600000000000003</v>
      </c>
      <c r="O96" s="303">
        <f t="shared" si="73"/>
        <v>7.0000000000000034E-2</v>
      </c>
      <c r="P96" s="303">
        <f t="shared" si="74"/>
        <v>6.900000000000002E-2</v>
      </c>
      <c r="Q96" s="303">
        <f t="shared" si="75"/>
        <v>7.1999999999999981E-3</v>
      </c>
      <c r="R96" s="303"/>
      <c r="S96" s="303">
        <f t="shared" si="76"/>
        <v>9.0800000000000047E-3</v>
      </c>
      <c r="T96" s="303">
        <f t="shared" si="77"/>
        <v>9.0800000000000047E-3</v>
      </c>
      <c r="U96" s="303">
        <f t="shared" si="78"/>
        <v>2.1800000000000005E-3</v>
      </c>
      <c r="V96" s="303"/>
      <c r="W96" s="303">
        <f t="shared" si="79"/>
        <v>2.4400000000000013</v>
      </c>
      <c r="X96" s="303">
        <v>2.2600000000000002</v>
      </c>
      <c r="Y96" s="303">
        <f t="shared" si="80"/>
        <v>0.43999999999999989</v>
      </c>
      <c r="Z96" s="303"/>
      <c r="AA96" s="303">
        <f t="shared" si="81"/>
        <v>27.199999999999974</v>
      </c>
      <c r="AB96" s="303">
        <v>27.199999999999974</v>
      </c>
      <c r="AC96" s="303">
        <f t="shared" si="82"/>
        <v>0.39999999999999841</v>
      </c>
      <c r="AD96" s="303"/>
      <c r="AE96" s="303">
        <f t="shared" si="83"/>
        <v>2.120000000000001</v>
      </c>
      <c r="AF96" s="303">
        <v>2.120000000000001</v>
      </c>
      <c r="AG96" s="303">
        <f t="shared" si="84"/>
        <v>0.69999999999999962</v>
      </c>
      <c r="AH96" s="303"/>
      <c r="AI96" s="303">
        <f t="shared" si="85"/>
        <v>30.300000000000026</v>
      </c>
      <c r="AJ96" s="303">
        <f t="shared" si="86"/>
        <v>30.04000000000002</v>
      </c>
      <c r="AK96" s="303">
        <f t="shared" si="87"/>
        <v>0.67999999999999938</v>
      </c>
      <c r="AL96" s="303"/>
      <c r="AM96" s="303"/>
      <c r="AN96" s="303"/>
      <c r="AO96" s="303">
        <v>0.627</v>
      </c>
      <c r="AP96" s="303">
        <v>0.627</v>
      </c>
      <c r="AQ96" s="303">
        <f t="shared" si="88"/>
        <v>6.8000000000000047E-2</v>
      </c>
      <c r="AR96" s="303"/>
      <c r="AS96" s="303">
        <f t="shared" si="89"/>
        <v>4.5100000000000008E-2</v>
      </c>
      <c r="AT96" s="303">
        <f t="shared" si="90"/>
        <v>4.5100000000000008E-2</v>
      </c>
      <c r="AU96" s="303">
        <v>5.0000000000000001E-3</v>
      </c>
      <c r="AV96" s="303"/>
      <c r="AW96" s="303">
        <v>2.8000000000000016</v>
      </c>
      <c r="AX96" s="303">
        <v>2.8000000000000016</v>
      </c>
      <c r="AY96" s="303">
        <v>0.4600000000000003</v>
      </c>
      <c r="AZ96" s="303"/>
      <c r="BA96" s="303">
        <f t="shared" si="91"/>
        <v>7.0000000000000034E-2</v>
      </c>
      <c r="BB96" s="303">
        <f t="shared" si="92"/>
        <v>6.900000000000002E-2</v>
      </c>
      <c r="BC96" s="303">
        <f t="shared" si="93"/>
        <v>7.1999999999999981E-3</v>
      </c>
      <c r="BD96" s="303"/>
      <c r="BE96" s="303">
        <f t="shared" si="94"/>
        <v>9.0600000000000038E-3</v>
      </c>
      <c r="BF96" s="303">
        <f t="shared" si="95"/>
        <v>9.0600000000000038E-3</v>
      </c>
      <c r="BG96" s="303">
        <v>1.8199999999999996E-3</v>
      </c>
      <c r="BH96" s="303"/>
      <c r="BI96" s="303">
        <f t="shared" si="96"/>
        <v>2.62</v>
      </c>
      <c r="BJ96" s="303">
        <f t="shared" si="97"/>
        <v>2.1000000000000005</v>
      </c>
      <c r="BK96" s="303">
        <v>0.43999999999999989</v>
      </c>
      <c r="BL96" s="303"/>
      <c r="BM96" s="303">
        <v>27.199999999999974</v>
      </c>
      <c r="BN96" s="303">
        <v>27.199999999999974</v>
      </c>
      <c r="BO96" s="303">
        <f t="shared" si="98"/>
        <v>1.4799999999999995</v>
      </c>
      <c r="BP96" s="303"/>
      <c r="BQ96" s="303">
        <v>2.120000000000001</v>
      </c>
      <c r="BR96" s="303">
        <v>2.120000000000001</v>
      </c>
      <c r="BS96" s="303">
        <v>0.69999999999999962</v>
      </c>
      <c r="BT96" s="303"/>
      <c r="BU96" s="303">
        <v>30.300000000000026</v>
      </c>
      <c r="BV96" s="303">
        <f t="shared" si="99"/>
        <v>30.04000000000002</v>
      </c>
      <c r="BW96" s="303">
        <f t="shared" si="100"/>
        <v>1</v>
      </c>
    </row>
    <row r="97" spans="3:75" x14ac:dyDescent="0.2">
      <c r="C97" s="304">
        <v>0.66</v>
      </c>
      <c r="D97" s="303">
        <v>0.66</v>
      </c>
      <c r="E97">
        <f t="shared" si="70"/>
        <v>0.08</v>
      </c>
      <c r="G97" s="303">
        <v>4.8500000000000001E-2</v>
      </c>
      <c r="H97" s="303">
        <v>4.8500000000000001E-2</v>
      </c>
      <c r="I97">
        <f t="shared" si="71"/>
        <v>7.4999999999999997E-3</v>
      </c>
      <c r="K97">
        <v>2.9</v>
      </c>
      <c r="L97">
        <v>2.9</v>
      </c>
      <c r="M97">
        <f t="shared" si="72"/>
        <v>0.53000000000000025</v>
      </c>
      <c r="O97" s="303">
        <f t="shared" si="73"/>
        <v>7.2500000000000037E-2</v>
      </c>
      <c r="P97" s="303">
        <f t="shared" si="74"/>
        <v>7.2000000000000022E-2</v>
      </c>
      <c r="Q97" s="303">
        <f t="shared" si="75"/>
        <v>1.0099999999999998E-2</v>
      </c>
      <c r="R97" s="303"/>
      <c r="S97" s="303">
        <f t="shared" si="76"/>
        <v>9.5800000000000052E-3</v>
      </c>
      <c r="T97" s="303">
        <f t="shared" si="77"/>
        <v>9.5800000000000052E-3</v>
      </c>
      <c r="U97" s="303">
        <f t="shared" si="78"/>
        <v>2.6900000000000006E-3</v>
      </c>
      <c r="V97" s="303"/>
      <c r="W97" s="303">
        <f t="shared" si="79"/>
        <v>2.5200000000000014</v>
      </c>
      <c r="X97" s="303">
        <v>2.33</v>
      </c>
      <c r="Y97" s="303">
        <f t="shared" si="80"/>
        <v>0.51999999999999991</v>
      </c>
      <c r="Z97" s="303"/>
      <c r="AA97" s="303">
        <f t="shared" si="81"/>
        <v>27.599999999999973</v>
      </c>
      <c r="AB97" s="303">
        <v>27.599999999999973</v>
      </c>
      <c r="AC97" s="303">
        <f t="shared" si="82"/>
        <v>0.6999999999999984</v>
      </c>
      <c r="AD97" s="303"/>
      <c r="AE97" s="303">
        <f t="shared" si="83"/>
        <v>2.2600000000000011</v>
      </c>
      <c r="AF97" s="303">
        <v>2.2600000000000011</v>
      </c>
      <c r="AG97" s="303">
        <f t="shared" si="84"/>
        <v>0.84999999999999964</v>
      </c>
      <c r="AH97" s="303"/>
      <c r="AI97" s="303">
        <f t="shared" si="85"/>
        <v>30.650000000000027</v>
      </c>
      <c r="AJ97" s="303">
        <f t="shared" si="86"/>
        <v>30.320000000000022</v>
      </c>
      <c r="AK97" s="303">
        <f t="shared" si="87"/>
        <v>0.88999999999999935</v>
      </c>
      <c r="AL97" s="303"/>
      <c r="AM97" s="303"/>
      <c r="AN97" s="303"/>
      <c r="AO97" s="303">
        <v>0.66</v>
      </c>
      <c r="AP97" s="303">
        <v>0.66</v>
      </c>
      <c r="AQ97" s="303">
        <f t="shared" si="88"/>
        <v>9.4000000000000042E-2</v>
      </c>
      <c r="AR97" s="303"/>
      <c r="AS97" s="303">
        <f t="shared" si="89"/>
        <v>4.760000000000001E-2</v>
      </c>
      <c r="AT97" s="303">
        <f t="shared" si="90"/>
        <v>4.760000000000001E-2</v>
      </c>
      <c r="AU97" s="303">
        <v>7.4999999999999997E-3</v>
      </c>
      <c r="AV97" s="303"/>
      <c r="AW97" s="303">
        <v>2.9000000000000017</v>
      </c>
      <c r="AX97" s="303">
        <v>2.9000000000000017</v>
      </c>
      <c r="AY97" s="303">
        <v>0.53000000000000025</v>
      </c>
      <c r="AZ97" s="303"/>
      <c r="BA97" s="303">
        <f t="shared" si="91"/>
        <v>7.2500000000000037E-2</v>
      </c>
      <c r="BB97" s="303">
        <f t="shared" si="92"/>
        <v>7.2000000000000022E-2</v>
      </c>
      <c r="BC97" s="303">
        <f t="shared" si="93"/>
        <v>1.0099999999999998E-2</v>
      </c>
      <c r="BD97" s="303"/>
      <c r="BE97" s="303">
        <f t="shared" si="94"/>
        <v>9.5600000000000043E-3</v>
      </c>
      <c r="BF97" s="303">
        <f t="shared" si="95"/>
        <v>9.5600000000000043E-3</v>
      </c>
      <c r="BG97" s="303">
        <v>2.3099999999999996E-3</v>
      </c>
      <c r="BH97" s="303"/>
      <c r="BI97" s="303">
        <f t="shared" si="96"/>
        <v>2.71</v>
      </c>
      <c r="BJ97" s="303">
        <f t="shared" si="97"/>
        <v>2.2000000000000006</v>
      </c>
      <c r="BK97" s="303">
        <v>0.51999999999999991</v>
      </c>
      <c r="BL97" s="303"/>
      <c r="BM97" s="303">
        <v>27.599999999999973</v>
      </c>
      <c r="BN97" s="303">
        <v>27.599999999999973</v>
      </c>
      <c r="BO97" s="303">
        <f t="shared" si="98"/>
        <v>1.8399999999999994</v>
      </c>
      <c r="BP97" s="303"/>
      <c r="BQ97" s="303">
        <v>2.2600000000000011</v>
      </c>
      <c r="BR97" s="303">
        <v>2.2600000000000011</v>
      </c>
      <c r="BS97" s="303">
        <v>0.84999999999999964</v>
      </c>
      <c r="BT97" s="303"/>
      <c r="BU97" s="303">
        <v>30.650000000000027</v>
      </c>
      <c r="BV97" s="303">
        <f t="shared" si="99"/>
        <v>30.320000000000022</v>
      </c>
      <c r="BW97" s="303">
        <f t="shared" si="100"/>
        <v>1.25</v>
      </c>
    </row>
    <row r="98" spans="3:75" x14ac:dyDescent="0.2">
      <c r="C98" s="304">
        <v>0.69299999999999995</v>
      </c>
      <c r="D98" s="303">
        <v>0.69299999999999995</v>
      </c>
      <c r="E98">
        <f t="shared" si="70"/>
        <v>0.1</v>
      </c>
      <c r="G98" s="303">
        <v>5.0999999999999997E-2</v>
      </c>
      <c r="H98" s="303">
        <v>5.0999999999999997E-2</v>
      </c>
      <c r="I98">
        <f t="shared" si="71"/>
        <v>0.01</v>
      </c>
      <c r="K98">
        <v>3</v>
      </c>
      <c r="L98">
        <v>3</v>
      </c>
      <c r="M98">
        <f t="shared" si="72"/>
        <v>0.60000000000000031</v>
      </c>
      <c r="O98" s="303">
        <f t="shared" si="73"/>
        <v>7.5000000000000039E-2</v>
      </c>
      <c r="P98" s="303">
        <f t="shared" si="74"/>
        <v>7.5000000000000025E-2</v>
      </c>
      <c r="Q98" s="303">
        <f t="shared" si="75"/>
        <v>1.2999999999999998E-2</v>
      </c>
      <c r="R98" s="303"/>
      <c r="S98" s="303">
        <f t="shared" si="76"/>
        <v>1.0080000000000006E-2</v>
      </c>
      <c r="T98" s="303">
        <f t="shared" si="77"/>
        <v>1.0080000000000006E-2</v>
      </c>
      <c r="U98" s="303">
        <f t="shared" si="78"/>
        <v>3.2000000000000006E-3</v>
      </c>
      <c r="V98" s="303"/>
      <c r="W98" s="303">
        <f t="shared" si="79"/>
        <v>2.6000000000000014</v>
      </c>
      <c r="X98" s="303">
        <v>2.4</v>
      </c>
      <c r="Y98" s="303">
        <f t="shared" si="80"/>
        <v>0.59999999999999987</v>
      </c>
      <c r="Z98" s="303"/>
      <c r="AA98" s="303">
        <f t="shared" si="81"/>
        <v>27.999999999999972</v>
      </c>
      <c r="AB98" s="303">
        <v>27.999999999999972</v>
      </c>
      <c r="AC98" s="303">
        <f t="shared" si="82"/>
        <v>0.99999999999999845</v>
      </c>
      <c r="AD98" s="303"/>
      <c r="AE98" s="303">
        <f t="shared" si="83"/>
        <v>2.4000000000000012</v>
      </c>
      <c r="AF98" s="303">
        <v>2.4000000000000012</v>
      </c>
      <c r="AG98" s="303">
        <f t="shared" si="84"/>
        <v>0.99999999999999967</v>
      </c>
      <c r="AH98" s="303"/>
      <c r="AI98" s="303">
        <f t="shared" si="85"/>
        <v>31.000000000000028</v>
      </c>
      <c r="AJ98" s="303">
        <f t="shared" si="86"/>
        <v>30.600000000000023</v>
      </c>
      <c r="AK98" s="303">
        <f t="shared" si="87"/>
        <v>1.0999999999999994</v>
      </c>
      <c r="AL98" s="303"/>
      <c r="AM98" s="303"/>
      <c r="AN98" s="303"/>
      <c r="AO98" s="303">
        <v>0.69299999999999995</v>
      </c>
      <c r="AP98" s="303">
        <v>0.69299999999999995</v>
      </c>
      <c r="AQ98" s="303">
        <f t="shared" si="88"/>
        <v>0.12000000000000004</v>
      </c>
      <c r="AR98" s="303"/>
      <c r="AS98" s="303">
        <f t="shared" si="89"/>
        <v>5.0100000000000013E-2</v>
      </c>
      <c r="AT98" s="303">
        <f t="shared" si="90"/>
        <v>5.0100000000000013E-2</v>
      </c>
      <c r="AU98" s="303">
        <v>0.01</v>
      </c>
      <c r="AV98" s="303"/>
      <c r="AW98" s="303">
        <v>3.0000000000000018</v>
      </c>
      <c r="AX98" s="303">
        <v>3.0000000000000018</v>
      </c>
      <c r="AY98" s="303">
        <v>0.60000000000000031</v>
      </c>
      <c r="AZ98" s="303"/>
      <c r="BA98" s="303">
        <f t="shared" si="91"/>
        <v>7.5000000000000039E-2</v>
      </c>
      <c r="BB98" s="303">
        <f t="shared" si="92"/>
        <v>7.5000000000000025E-2</v>
      </c>
      <c r="BC98" s="303">
        <f t="shared" si="93"/>
        <v>1.2999999999999998E-2</v>
      </c>
      <c r="BD98" s="303"/>
      <c r="BE98" s="303">
        <f t="shared" si="94"/>
        <v>1.0060000000000005E-2</v>
      </c>
      <c r="BF98" s="303">
        <f t="shared" si="95"/>
        <v>1.0060000000000005E-2</v>
      </c>
      <c r="BG98" s="303">
        <v>2.7999999999999995E-3</v>
      </c>
      <c r="BH98" s="303"/>
      <c r="BI98" s="303">
        <f t="shared" si="96"/>
        <v>2.8</v>
      </c>
      <c r="BJ98" s="303">
        <f t="shared" si="97"/>
        <v>2.3000000000000007</v>
      </c>
      <c r="BK98" s="303">
        <v>0.59999999999999987</v>
      </c>
      <c r="BL98" s="303"/>
      <c r="BM98" s="303">
        <v>27.999999999999972</v>
      </c>
      <c r="BN98" s="303">
        <v>27.999999999999972</v>
      </c>
      <c r="BO98" s="303">
        <f t="shared" si="98"/>
        <v>2.1999999999999993</v>
      </c>
      <c r="BP98" s="303"/>
      <c r="BQ98" s="303">
        <v>2.4000000000000012</v>
      </c>
      <c r="BR98" s="303">
        <v>2.4000000000000012</v>
      </c>
      <c r="BS98" s="303">
        <v>0.99999999999999967</v>
      </c>
      <c r="BT98" s="303"/>
      <c r="BU98" s="303">
        <v>31.000000000000028</v>
      </c>
      <c r="BV98" s="303">
        <f t="shared" si="99"/>
        <v>30.600000000000023</v>
      </c>
      <c r="BW98" s="303">
        <f t="shared" si="100"/>
        <v>1.5</v>
      </c>
    </row>
    <row r="99" spans="3:75" x14ac:dyDescent="0.2">
      <c r="C99" s="304">
        <v>0.72599999999999998</v>
      </c>
      <c r="D99" s="303">
        <v>0.72599999999999998</v>
      </c>
      <c r="E99">
        <f t="shared" si="70"/>
        <v>0.12000000000000001</v>
      </c>
      <c r="G99" s="303">
        <v>5.3499999999999999E-2</v>
      </c>
      <c r="H99" s="303">
        <v>5.3499999999999999E-2</v>
      </c>
      <c r="I99">
        <f t="shared" si="71"/>
        <v>1.2500000000000001E-2</v>
      </c>
      <c r="K99">
        <v>3.1</v>
      </c>
      <c r="L99">
        <v>3.1</v>
      </c>
      <c r="M99">
        <f t="shared" si="72"/>
        <v>0.67000000000000037</v>
      </c>
      <c r="O99" s="303">
        <f t="shared" si="73"/>
        <v>7.7500000000000041E-2</v>
      </c>
      <c r="P99" s="303">
        <f t="shared" si="74"/>
        <v>7.8000000000000028E-2</v>
      </c>
      <c r="Q99" s="303">
        <f t="shared" si="75"/>
        <v>1.5899999999999997E-2</v>
      </c>
      <c r="R99" s="303"/>
      <c r="S99" s="303">
        <f t="shared" si="76"/>
        <v>1.0580000000000006E-2</v>
      </c>
      <c r="T99" s="303">
        <f t="shared" si="77"/>
        <v>1.0580000000000006E-2</v>
      </c>
      <c r="U99" s="303">
        <f t="shared" si="78"/>
        <v>3.7100000000000006E-3</v>
      </c>
      <c r="V99" s="303"/>
      <c r="W99" s="303">
        <f t="shared" si="79"/>
        <v>2.6800000000000015</v>
      </c>
      <c r="X99" s="303">
        <v>2.4699999999999998</v>
      </c>
      <c r="Y99" s="303">
        <f t="shared" si="80"/>
        <v>0.67999999999999983</v>
      </c>
      <c r="Z99" s="303"/>
      <c r="AA99" s="303">
        <f t="shared" si="81"/>
        <v>28.39999999999997</v>
      </c>
      <c r="AB99" s="303">
        <v>28.39999999999997</v>
      </c>
      <c r="AC99" s="303">
        <f t="shared" si="82"/>
        <v>1.2999999999999985</v>
      </c>
      <c r="AD99" s="303"/>
      <c r="AE99" s="303">
        <f t="shared" si="83"/>
        <v>2.5400000000000014</v>
      </c>
      <c r="AF99" s="303">
        <v>2.5400000000000014</v>
      </c>
      <c r="AG99" s="303">
        <f t="shared" si="84"/>
        <v>1.1499999999999997</v>
      </c>
      <c r="AH99" s="303"/>
      <c r="AI99" s="303">
        <f t="shared" si="85"/>
        <v>31.35000000000003</v>
      </c>
      <c r="AJ99" s="303">
        <f t="shared" si="86"/>
        <v>30.880000000000024</v>
      </c>
      <c r="AK99" s="303">
        <f t="shared" si="87"/>
        <v>1.3099999999999994</v>
      </c>
      <c r="AL99" s="303"/>
      <c r="AM99" s="303"/>
      <c r="AN99" s="303"/>
      <c r="AO99" s="303">
        <v>0.72599999999999998</v>
      </c>
      <c r="AP99" s="303">
        <v>0.72599999999999998</v>
      </c>
      <c r="AQ99" s="303">
        <f t="shared" si="88"/>
        <v>0.14600000000000005</v>
      </c>
      <c r="AR99" s="303"/>
      <c r="AS99" s="303">
        <f t="shared" si="89"/>
        <v>5.2600000000000015E-2</v>
      </c>
      <c r="AT99" s="303">
        <f t="shared" si="90"/>
        <v>5.2600000000000015E-2</v>
      </c>
      <c r="AU99" s="303">
        <v>1.2500000000000001E-2</v>
      </c>
      <c r="AV99" s="303"/>
      <c r="AW99" s="303">
        <v>3.1000000000000019</v>
      </c>
      <c r="AX99" s="303">
        <v>3.1000000000000019</v>
      </c>
      <c r="AY99" s="303">
        <v>0.67000000000000037</v>
      </c>
      <c r="AZ99" s="303"/>
      <c r="BA99" s="303">
        <f t="shared" si="91"/>
        <v>7.7500000000000041E-2</v>
      </c>
      <c r="BB99" s="303">
        <f t="shared" si="92"/>
        <v>7.8000000000000028E-2</v>
      </c>
      <c r="BC99" s="303">
        <f t="shared" si="93"/>
        <v>1.5899999999999997E-2</v>
      </c>
      <c r="BD99" s="303"/>
      <c r="BE99" s="303">
        <f t="shared" si="94"/>
        <v>1.0560000000000005E-2</v>
      </c>
      <c r="BF99" s="303">
        <f t="shared" si="95"/>
        <v>1.0560000000000005E-2</v>
      </c>
      <c r="BG99" s="303">
        <v>3.2899999999999995E-3</v>
      </c>
      <c r="BH99" s="303"/>
      <c r="BI99" s="303">
        <f t="shared" si="96"/>
        <v>2.8899999999999997</v>
      </c>
      <c r="BJ99" s="303">
        <f t="shared" si="97"/>
        <v>2.4000000000000008</v>
      </c>
      <c r="BK99" s="303">
        <v>0.67999999999999983</v>
      </c>
      <c r="BL99" s="303"/>
      <c r="BM99" s="303">
        <v>28.39999999999997</v>
      </c>
      <c r="BN99" s="303">
        <v>28.39999999999997</v>
      </c>
      <c r="BO99" s="303">
        <f t="shared" si="98"/>
        <v>2.5599999999999992</v>
      </c>
      <c r="BP99" s="303"/>
      <c r="BQ99" s="303">
        <v>2.5400000000000014</v>
      </c>
      <c r="BR99" s="303">
        <v>2.5400000000000014</v>
      </c>
      <c r="BS99" s="303">
        <v>1.1499999999999997</v>
      </c>
      <c r="BT99" s="303"/>
      <c r="BU99" s="303">
        <v>31.35000000000003</v>
      </c>
      <c r="BV99" s="303">
        <f t="shared" si="99"/>
        <v>30.880000000000024</v>
      </c>
      <c r="BW99" s="303">
        <f t="shared" si="100"/>
        <v>1.75</v>
      </c>
    </row>
    <row r="100" spans="3:75" x14ac:dyDescent="0.2">
      <c r="C100" s="304">
        <v>0.75900000000000001</v>
      </c>
      <c r="D100" s="303">
        <v>0.75900000000000001</v>
      </c>
      <c r="E100">
        <f t="shared" si="70"/>
        <v>0.14000000000000001</v>
      </c>
      <c r="G100" s="303">
        <v>5.6000000000000001E-2</v>
      </c>
      <c r="H100" s="303">
        <v>5.6000000000000001E-2</v>
      </c>
      <c r="I100">
        <f t="shared" si="71"/>
        <v>1.5000000000000001E-2</v>
      </c>
      <c r="K100">
        <v>3.2</v>
      </c>
      <c r="L100">
        <v>3.2</v>
      </c>
      <c r="M100">
        <f t="shared" si="72"/>
        <v>0.74000000000000044</v>
      </c>
      <c r="O100" s="303">
        <f t="shared" si="73"/>
        <v>8.0000000000000043E-2</v>
      </c>
      <c r="P100" s="303">
        <f t="shared" si="74"/>
        <v>8.100000000000003E-2</v>
      </c>
      <c r="Q100" s="303">
        <f t="shared" si="75"/>
        <v>1.8799999999999997E-2</v>
      </c>
      <c r="R100" s="303"/>
      <c r="S100" s="303">
        <f t="shared" si="76"/>
        <v>1.1080000000000007E-2</v>
      </c>
      <c r="T100" s="303">
        <f t="shared" si="77"/>
        <v>1.1080000000000007E-2</v>
      </c>
      <c r="U100" s="303">
        <f t="shared" si="78"/>
        <v>4.2200000000000007E-3</v>
      </c>
      <c r="V100" s="303"/>
      <c r="W100" s="303">
        <f t="shared" si="79"/>
        <v>2.7600000000000016</v>
      </c>
      <c r="X100" s="303">
        <v>2.5399999999999996</v>
      </c>
      <c r="Y100" s="303">
        <f t="shared" si="80"/>
        <v>0.75999999999999979</v>
      </c>
      <c r="Z100" s="303"/>
      <c r="AA100" s="303">
        <f t="shared" si="81"/>
        <v>28.799999999999969</v>
      </c>
      <c r="AB100" s="303">
        <v>28.799999999999969</v>
      </c>
      <c r="AC100" s="303">
        <f t="shared" si="82"/>
        <v>1.5999999999999985</v>
      </c>
      <c r="AD100" s="303"/>
      <c r="AE100" s="303">
        <f t="shared" si="83"/>
        <v>2.6800000000000015</v>
      </c>
      <c r="AF100" s="303">
        <v>2.6800000000000015</v>
      </c>
      <c r="AG100" s="303">
        <f t="shared" si="84"/>
        <v>1.2999999999999996</v>
      </c>
      <c r="AH100" s="303"/>
      <c r="AI100" s="303">
        <f t="shared" si="85"/>
        <v>31.700000000000031</v>
      </c>
      <c r="AJ100" s="303">
        <f t="shared" si="86"/>
        <v>31.160000000000025</v>
      </c>
      <c r="AK100" s="303">
        <f t="shared" si="87"/>
        <v>1.5199999999999994</v>
      </c>
      <c r="AL100" s="303"/>
      <c r="AM100" s="303"/>
      <c r="AN100" s="303"/>
      <c r="AO100" s="303">
        <v>0.75900000000000001</v>
      </c>
      <c r="AP100" s="303">
        <v>0.75900000000000001</v>
      </c>
      <c r="AQ100" s="303">
        <f t="shared" si="88"/>
        <v>0.17200000000000004</v>
      </c>
      <c r="AR100" s="303"/>
      <c r="AS100" s="303">
        <f t="shared" si="89"/>
        <v>5.5100000000000017E-2</v>
      </c>
      <c r="AT100" s="303">
        <f t="shared" si="90"/>
        <v>5.5100000000000017E-2</v>
      </c>
      <c r="AU100" s="303">
        <v>1.5000000000000001E-2</v>
      </c>
      <c r="AV100" s="303"/>
      <c r="AW100" s="303">
        <v>3.200000000000002</v>
      </c>
      <c r="AX100" s="303">
        <v>3.200000000000002</v>
      </c>
      <c r="AY100" s="303">
        <v>0.74000000000000044</v>
      </c>
      <c r="AZ100" s="303"/>
      <c r="BA100" s="303">
        <f t="shared" si="91"/>
        <v>8.0000000000000043E-2</v>
      </c>
      <c r="BB100" s="303">
        <f t="shared" si="92"/>
        <v>8.100000000000003E-2</v>
      </c>
      <c r="BC100" s="303">
        <f t="shared" si="93"/>
        <v>1.8799999999999997E-2</v>
      </c>
      <c r="BD100" s="303"/>
      <c r="BE100" s="303">
        <f t="shared" si="94"/>
        <v>1.1060000000000006E-2</v>
      </c>
      <c r="BF100" s="303">
        <f t="shared" si="95"/>
        <v>1.1060000000000006E-2</v>
      </c>
      <c r="BG100" s="303">
        <v>3.7799999999999995E-3</v>
      </c>
      <c r="BH100" s="303"/>
      <c r="BI100" s="303">
        <f t="shared" si="96"/>
        <v>2.9799999999999995</v>
      </c>
      <c r="BJ100" s="303">
        <f t="shared" si="97"/>
        <v>2.5000000000000009</v>
      </c>
      <c r="BK100" s="303">
        <v>0.75999999999999979</v>
      </c>
      <c r="BL100" s="303"/>
      <c r="BM100" s="303">
        <v>28.799999999999969</v>
      </c>
      <c r="BN100" s="303">
        <v>28.799999999999969</v>
      </c>
      <c r="BO100" s="303">
        <f t="shared" si="98"/>
        <v>2.919999999999999</v>
      </c>
      <c r="BP100" s="303"/>
      <c r="BQ100" s="303">
        <v>2.6800000000000015</v>
      </c>
      <c r="BR100" s="303">
        <v>2.6800000000000015</v>
      </c>
      <c r="BS100" s="303">
        <v>1.2999999999999996</v>
      </c>
      <c r="BT100" s="303"/>
      <c r="BU100" s="303">
        <v>31.700000000000031</v>
      </c>
      <c r="BV100" s="303">
        <f t="shared" si="99"/>
        <v>31.160000000000025</v>
      </c>
      <c r="BW100" s="303">
        <f t="shared" si="100"/>
        <v>2</v>
      </c>
    </row>
    <row r="101" spans="3:75" x14ac:dyDescent="0.2">
      <c r="C101" s="304">
        <v>0.79200000000000004</v>
      </c>
      <c r="D101" s="303">
        <v>0.79200000000000004</v>
      </c>
      <c r="E101">
        <f t="shared" si="70"/>
        <v>0.16</v>
      </c>
      <c r="G101" s="303">
        <v>5.8500000000000003E-2</v>
      </c>
      <c r="H101" s="303">
        <v>5.8500000000000003E-2</v>
      </c>
      <c r="I101">
        <f t="shared" si="71"/>
        <v>1.7500000000000002E-2</v>
      </c>
      <c r="K101">
        <v>3.3</v>
      </c>
      <c r="L101">
        <v>3.3</v>
      </c>
      <c r="M101">
        <f t="shared" si="72"/>
        <v>0.8100000000000005</v>
      </c>
      <c r="O101" s="303">
        <f t="shared" si="73"/>
        <v>8.2500000000000046E-2</v>
      </c>
      <c r="P101" s="303">
        <f t="shared" si="74"/>
        <v>8.4000000000000033E-2</v>
      </c>
      <c r="Q101" s="303">
        <f t="shared" si="75"/>
        <v>2.1699999999999997E-2</v>
      </c>
      <c r="R101" s="303"/>
      <c r="S101" s="303">
        <f t="shared" si="76"/>
        <v>1.1580000000000007E-2</v>
      </c>
      <c r="T101" s="303">
        <f t="shared" si="77"/>
        <v>1.1580000000000007E-2</v>
      </c>
      <c r="U101" s="303">
        <f t="shared" si="78"/>
        <v>4.7300000000000007E-3</v>
      </c>
      <c r="V101" s="303"/>
      <c r="W101" s="303">
        <f t="shared" si="79"/>
        <v>2.8400000000000016</v>
      </c>
      <c r="X101" s="303">
        <v>2.6099999999999994</v>
      </c>
      <c r="Y101" s="303">
        <f t="shared" si="80"/>
        <v>0.83999999999999975</v>
      </c>
      <c r="Z101" s="303"/>
      <c r="AA101" s="303">
        <f t="shared" si="81"/>
        <v>29.199999999999967</v>
      </c>
      <c r="AB101" s="303">
        <v>29.199999999999967</v>
      </c>
      <c r="AC101" s="303">
        <f t="shared" si="82"/>
        <v>1.8999999999999986</v>
      </c>
      <c r="AD101" s="303"/>
      <c r="AE101" s="303">
        <f t="shared" si="83"/>
        <v>2.8200000000000016</v>
      </c>
      <c r="AF101" s="303">
        <v>2.8200000000000016</v>
      </c>
      <c r="AG101" s="303">
        <f t="shared" si="84"/>
        <v>1.4499999999999995</v>
      </c>
      <c r="AH101" s="303"/>
      <c r="AI101" s="303">
        <f t="shared" si="85"/>
        <v>32.050000000000033</v>
      </c>
      <c r="AJ101" s="303">
        <f t="shared" si="86"/>
        <v>31.440000000000026</v>
      </c>
      <c r="AK101" s="303">
        <f t="shared" si="87"/>
        <v>1.7299999999999993</v>
      </c>
      <c r="AL101" s="303"/>
      <c r="AM101" s="303"/>
      <c r="AN101" s="303"/>
      <c r="AO101" s="303">
        <v>0.79200000000000004</v>
      </c>
      <c r="AP101" s="303">
        <v>0.79200000000000004</v>
      </c>
      <c r="AQ101" s="303">
        <f t="shared" si="88"/>
        <v>0.19800000000000004</v>
      </c>
      <c r="AR101" s="303"/>
      <c r="AS101" s="303">
        <f t="shared" si="89"/>
        <v>5.7600000000000019E-2</v>
      </c>
      <c r="AT101" s="303">
        <f t="shared" si="90"/>
        <v>5.7600000000000019E-2</v>
      </c>
      <c r="AU101" s="303">
        <v>1.7500000000000002E-2</v>
      </c>
      <c r="AV101" s="303"/>
      <c r="AW101" s="303">
        <v>3.300000000000002</v>
      </c>
      <c r="AX101" s="303">
        <v>3.300000000000002</v>
      </c>
      <c r="AY101" s="303">
        <v>0.8100000000000005</v>
      </c>
      <c r="AZ101" s="303"/>
      <c r="BA101" s="303">
        <f t="shared" si="91"/>
        <v>8.2500000000000046E-2</v>
      </c>
      <c r="BB101" s="303">
        <f t="shared" si="92"/>
        <v>8.4000000000000033E-2</v>
      </c>
      <c r="BC101" s="303">
        <f t="shared" si="93"/>
        <v>2.1699999999999997E-2</v>
      </c>
      <c r="BD101" s="303"/>
      <c r="BE101" s="303">
        <f t="shared" si="94"/>
        <v>1.1560000000000006E-2</v>
      </c>
      <c r="BF101" s="303">
        <f t="shared" si="95"/>
        <v>1.1560000000000006E-2</v>
      </c>
      <c r="BG101" s="303">
        <v>4.2699999999999995E-3</v>
      </c>
      <c r="BH101" s="303"/>
      <c r="BI101" s="303">
        <f t="shared" si="96"/>
        <v>3.0699999999999994</v>
      </c>
      <c r="BJ101" s="303">
        <f t="shared" si="97"/>
        <v>2.600000000000001</v>
      </c>
      <c r="BK101" s="303">
        <v>0.83999999999999975</v>
      </c>
      <c r="BL101" s="303"/>
      <c r="BM101" s="303">
        <v>29.199999999999967</v>
      </c>
      <c r="BN101" s="303">
        <v>29.199999999999967</v>
      </c>
      <c r="BO101" s="303">
        <f t="shared" si="98"/>
        <v>3.2799999999999989</v>
      </c>
      <c r="BP101" s="303"/>
      <c r="BQ101" s="303">
        <v>2.8200000000000016</v>
      </c>
      <c r="BR101" s="303">
        <v>2.8200000000000016</v>
      </c>
      <c r="BS101" s="303">
        <v>1.4499999999999995</v>
      </c>
      <c r="BT101" s="303"/>
      <c r="BU101" s="303">
        <v>32.050000000000033</v>
      </c>
      <c r="BV101" s="303">
        <f t="shared" si="99"/>
        <v>31.440000000000026</v>
      </c>
      <c r="BW101" s="303">
        <f t="shared" si="100"/>
        <v>2.25</v>
      </c>
    </row>
    <row r="102" spans="3:75" x14ac:dyDescent="0.2">
      <c r="C102" s="304">
        <v>0.82499999999999996</v>
      </c>
      <c r="D102" s="303">
        <v>0.82499999999999996</v>
      </c>
      <c r="E102">
        <f t="shared" si="70"/>
        <v>0.18</v>
      </c>
      <c r="G102" s="303">
        <v>6.0999999999999999E-2</v>
      </c>
      <c r="H102" s="303">
        <v>6.0999999999999999E-2</v>
      </c>
      <c r="I102">
        <f t="shared" si="71"/>
        <v>0.02</v>
      </c>
      <c r="K102">
        <v>3.4</v>
      </c>
      <c r="L102">
        <v>3.4</v>
      </c>
      <c r="M102">
        <f t="shared" si="72"/>
        <v>0.88000000000000056</v>
      </c>
      <c r="O102" s="303">
        <f t="shared" si="73"/>
        <v>8.5000000000000048E-2</v>
      </c>
      <c r="P102" s="303">
        <f t="shared" si="74"/>
        <v>8.7000000000000036E-2</v>
      </c>
      <c r="Q102" s="303">
        <f t="shared" si="75"/>
        <v>2.4599999999999997E-2</v>
      </c>
      <c r="R102" s="303"/>
      <c r="S102" s="303">
        <f t="shared" si="76"/>
        <v>1.2080000000000007E-2</v>
      </c>
      <c r="T102" s="303">
        <f t="shared" si="77"/>
        <v>1.2080000000000007E-2</v>
      </c>
      <c r="U102" s="303">
        <f t="shared" si="78"/>
        <v>5.2400000000000007E-3</v>
      </c>
      <c r="V102" s="303"/>
      <c r="W102" s="303">
        <f t="shared" si="79"/>
        <v>2.9200000000000017</v>
      </c>
      <c r="X102" s="303">
        <v>2.6799999999999993</v>
      </c>
      <c r="Y102" s="303">
        <f t="shared" si="80"/>
        <v>0.91999999999999971</v>
      </c>
      <c r="Z102" s="303"/>
      <c r="AA102" s="303">
        <f t="shared" si="81"/>
        <v>29.599999999999966</v>
      </c>
      <c r="AB102" s="303">
        <v>29.599999999999966</v>
      </c>
      <c r="AC102" s="303">
        <f t="shared" si="82"/>
        <v>2.1999999999999984</v>
      </c>
      <c r="AD102" s="303"/>
      <c r="AE102" s="303">
        <f t="shared" si="83"/>
        <v>2.9600000000000017</v>
      </c>
      <c r="AF102" s="303">
        <v>2.9600000000000017</v>
      </c>
      <c r="AG102" s="303">
        <f t="shared" si="84"/>
        <v>1.5999999999999994</v>
      </c>
      <c r="AH102" s="303"/>
      <c r="AI102" s="303">
        <f t="shared" si="85"/>
        <v>32.400000000000034</v>
      </c>
      <c r="AJ102" s="303">
        <f t="shared" si="86"/>
        <v>31.720000000000027</v>
      </c>
      <c r="AK102" s="303">
        <f t="shared" si="87"/>
        <v>1.9399999999999993</v>
      </c>
      <c r="AL102" s="303"/>
      <c r="AM102" s="303"/>
      <c r="AN102" s="303"/>
      <c r="AO102" s="303">
        <v>0.82499999999999996</v>
      </c>
      <c r="AP102" s="303">
        <v>0.82499999999999996</v>
      </c>
      <c r="AQ102" s="303">
        <f t="shared" si="88"/>
        <v>0.22400000000000003</v>
      </c>
      <c r="AR102" s="303"/>
      <c r="AS102" s="303">
        <f t="shared" si="89"/>
        <v>6.0100000000000021E-2</v>
      </c>
      <c r="AT102" s="303">
        <f t="shared" si="90"/>
        <v>6.0100000000000021E-2</v>
      </c>
      <c r="AU102" s="303">
        <v>0.02</v>
      </c>
      <c r="AV102" s="303"/>
      <c r="AW102" s="303">
        <v>3.4000000000000021</v>
      </c>
      <c r="AX102" s="303">
        <v>3.4000000000000021</v>
      </c>
      <c r="AY102" s="303">
        <v>0.88000000000000056</v>
      </c>
      <c r="AZ102" s="303"/>
      <c r="BA102" s="303">
        <f t="shared" si="91"/>
        <v>8.5000000000000048E-2</v>
      </c>
      <c r="BB102" s="303">
        <f t="shared" si="92"/>
        <v>8.7000000000000036E-2</v>
      </c>
      <c r="BC102" s="303">
        <f t="shared" si="93"/>
        <v>2.4599999999999997E-2</v>
      </c>
      <c r="BD102" s="303"/>
      <c r="BE102" s="303">
        <f t="shared" si="94"/>
        <v>1.2060000000000006E-2</v>
      </c>
      <c r="BF102" s="303">
        <f t="shared" si="95"/>
        <v>1.2060000000000006E-2</v>
      </c>
      <c r="BG102" s="303">
        <v>4.7599999999999995E-3</v>
      </c>
      <c r="BH102" s="303"/>
      <c r="BI102" s="303">
        <f t="shared" si="96"/>
        <v>3.1599999999999993</v>
      </c>
      <c r="BJ102" s="303">
        <f t="shared" si="97"/>
        <v>2.7000000000000011</v>
      </c>
      <c r="BK102" s="303">
        <v>0.91999999999999971</v>
      </c>
      <c r="BL102" s="303"/>
      <c r="BM102" s="303">
        <v>29.599999999999966</v>
      </c>
      <c r="BN102" s="303">
        <v>29.599999999999966</v>
      </c>
      <c r="BO102" s="303">
        <f t="shared" si="98"/>
        <v>3.6399999999999988</v>
      </c>
      <c r="BP102" s="303"/>
      <c r="BQ102" s="303">
        <v>2.9600000000000017</v>
      </c>
      <c r="BR102" s="303">
        <v>2.9600000000000017</v>
      </c>
      <c r="BS102" s="303">
        <v>1.5999999999999994</v>
      </c>
      <c r="BT102" s="303"/>
      <c r="BU102" s="303">
        <v>32.400000000000034</v>
      </c>
      <c r="BV102" s="303">
        <f t="shared" si="99"/>
        <v>31.720000000000027</v>
      </c>
      <c r="BW102" s="303">
        <f t="shared" si="100"/>
        <v>2.5</v>
      </c>
    </row>
    <row r="103" spans="3:75" x14ac:dyDescent="0.2">
      <c r="C103" s="304">
        <v>0.85799999999999998</v>
      </c>
      <c r="D103" s="303">
        <v>0.85799999999999998</v>
      </c>
      <c r="E103">
        <f t="shared" si="70"/>
        <v>0.19999999999999998</v>
      </c>
      <c r="G103" s="303">
        <v>6.3500000000000001E-2</v>
      </c>
      <c r="H103" s="303">
        <v>6.3500000000000001E-2</v>
      </c>
      <c r="I103">
        <f t="shared" si="71"/>
        <v>2.2499999999999999E-2</v>
      </c>
      <c r="K103">
        <v>3.5</v>
      </c>
      <c r="L103">
        <v>3.5</v>
      </c>
      <c r="M103">
        <f t="shared" si="72"/>
        <v>0.95000000000000062</v>
      </c>
      <c r="O103" s="303">
        <f t="shared" si="73"/>
        <v>8.750000000000005E-2</v>
      </c>
      <c r="P103" s="303">
        <f t="shared" si="74"/>
        <v>9.0000000000000038E-2</v>
      </c>
      <c r="Q103" s="303">
        <f t="shared" si="75"/>
        <v>2.7499999999999997E-2</v>
      </c>
      <c r="R103" s="303"/>
      <c r="S103" s="303">
        <f t="shared" si="76"/>
        <v>1.2580000000000008E-2</v>
      </c>
      <c r="T103" s="303">
        <f t="shared" si="77"/>
        <v>1.2580000000000008E-2</v>
      </c>
      <c r="U103" s="303">
        <f t="shared" si="78"/>
        <v>5.7500000000000008E-3</v>
      </c>
      <c r="V103" s="303"/>
      <c r="W103" s="303">
        <f t="shared" si="79"/>
        <v>3.0000000000000018</v>
      </c>
      <c r="X103" s="303">
        <v>2.7499999999999991</v>
      </c>
      <c r="Y103" s="303">
        <f t="shared" si="80"/>
        <v>0.99999999999999967</v>
      </c>
      <c r="Z103" s="303"/>
      <c r="AA103" s="303">
        <f t="shared" si="81"/>
        <v>29.999999999999964</v>
      </c>
      <c r="AB103" s="303">
        <v>29.999999999999964</v>
      </c>
      <c r="AC103" s="303">
        <f t="shared" si="82"/>
        <v>2.4999999999999982</v>
      </c>
      <c r="AD103" s="303"/>
      <c r="AE103" s="303">
        <f t="shared" si="83"/>
        <v>3.1000000000000019</v>
      </c>
      <c r="AF103" s="303">
        <v>3.1000000000000019</v>
      </c>
      <c r="AG103" s="303">
        <f t="shared" si="84"/>
        <v>1.7499999999999993</v>
      </c>
      <c r="AH103" s="303"/>
      <c r="AI103" s="303">
        <f t="shared" si="85"/>
        <v>32.750000000000036</v>
      </c>
      <c r="AJ103" s="303">
        <f t="shared" si="86"/>
        <v>32.000000000000028</v>
      </c>
      <c r="AK103" s="303">
        <f t="shared" si="87"/>
        <v>2.1499999999999995</v>
      </c>
      <c r="AL103" s="303"/>
      <c r="AM103" s="303"/>
      <c r="AN103" s="303"/>
      <c r="AO103" s="303">
        <v>0.85799999999999998</v>
      </c>
      <c r="AP103" s="303">
        <v>0.85799999999999998</v>
      </c>
      <c r="AQ103" s="303">
        <f t="shared" si="88"/>
        <v>0.25000000000000006</v>
      </c>
      <c r="AR103" s="303"/>
      <c r="AS103" s="303">
        <f t="shared" si="89"/>
        <v>6.2600000000000017E-2</v>
      </c>
      <c r="AT103" s="303">
        <f t="shared" si="90"/>
        <v>6.2600000000000017E-2</v>
      </c>
      <c r="AU103" s="303">
        <v>2.2499999999999999E-2</v>
      </c>
      <c r="AV103" s="303"/>
      <c r="AW103" s="303">
        <v>3.5000000000000022</v>
      </c>
      <c r="AX103" s="303">
        <v>3.5000000000000022</v>
      </c>
      <c r="AY103" s="303">
        <v>0.95000000000000062</v>
      </c>
      <c r="AZ103" s="303"/>
      <c r="BA103" s="303">
        <f t="shared" si="91"/>
        <v>8.750000000000005E-2</v>
      </c>
      <c r="BB103" s="303">
        <f t="shared" si="92"/>
        <v>9.0000000000000038E-2</v>
      </c>
      <c r="BC103" s="303">
        <f t="shared" si="93"/>
        <v>2.7499999999999997E-2</v>
      </c>
      <c r="BD103" s="303"/>
      <c r="BE103" s="303">
        <f t="shared" si="94"/>
        <v>1.2560000000000007E-2</v>
      </c>
      <c r="BF103" s="303">
        <f t="shared" si="95"/>
        <v>1.2560000000000007E-2</v>
      </c>
      <c r="BG103" s="303">
        <v>5.2499999999999995E-3</v>
      </c>
      <c r="BH103" s="303"/>
      <c r="BI103" s="303">
        <f t="shared" si="96"/>
        <v>3.2499999999999991</v>
      </c>
      <c r="BJ103" s="303">
        <f t="shared" si="97"/>
        <v>2.8000000000000012</v>
      </c>
      <c r="BK103" s="303">
        <v>0.99999999999999967</v>
      </c>
      <c r="BL103" s="303"/>
      <c r="BM103" s="303">
        <v>29.999999999999964</v>
      </c>
      <c r="BN103" s="303">
        <v>29.999999999999964</v>
      </c>
      <c r="BO103" s="303">
        <f t="shared" si="98"/>
        <v>3.9999999999999987</v>
      </c>
      <c r="BP103" s="303"/>
      <c r="BQ103" s="303">
        <v>3.1000000000000019</v>
      </c>
      <c r="BR103" s="303">
        <v>3.1000000000000019</v>
      </c>
      <c r="BS103" s="303">
        <v>1.7499999999999993</v>
      </c>
      <c r="BT103" s="303"/>
      <c r="BU103" s="303">
        <v>32.750000000000036</v>
      </c>
      <c r="BV103" s="303">
        <f t="shared" si="99"/>
        <v>32.000000000000028</v>
      </c>
      <c r="BW103" s="303">
        <f t="shared" si="100"/>
        <v>2.75</v>
      </c>
    </row>
    <row r="104" spans="3:75" x14ac:dyDescent="0.2">
      <c r="C104" s="304">
        <v>0.89100000000000001</v>
      </c>
      <c r="D104" s="303">
        <v>0.89100000000000001</v>
      </c>
      <c r="E104">
        <f t="shared" si="70"/>
        <v>0.21999999999999997</v>
      </c>
      <c r="G104" s="303">
        <v>6.6000000000000003E-2</v>
      </c>
      <c r="H104" s="303">
        <v>6.6000000000000003E-2</v>
      </c>
      <c r="I104">
        <f t="shared" si="71"/>
        <v>2.4999999999999998E-2</v>
      </c>
      <c r="K104">
        <v>3.6</v>
      </c>
      <c r="L104">
        <v>3.6</v>
      </c>
      <c r="M104">
        <f t="shared" si="72"/>
        <v>1.0200000000000007</v>
      </c>
      <c r="O104" s="303">
        <f t="shared" si="73"/>
        <v>9.0000000000000052E-2</v>
      </c>
      <c r="P104" s="303">
        <f t="shared" si="74"/>
        <v>9.3000000000000041E-2</v>
      </c>
      <c r="Q104" s="303">
        <f t="shared" si="75"/>
        <v>3.0399999999999996E-2</v>
      </c>
      <c r="R104" s="303"/>
      <c r="S104" s="303">
        <f t="shared" si="76"/>
        <v>1.3080000000000008E-2</v>
      </c>
      <c r="T104" s="303">
        <f t="shared" si="77"/>
        <v>1.3080000000000008E-2</v>
      </c>
      <c r="U104" s="303">
        <f t="shared" si="78"/>
        <v>6.2600000000000008E-3</v>
      </c>
      <c r="V104" s="303"/>
      <c r="W104" s="303">
        <f t="shared" si="79"/>
        <v>3.0800000000000018</v>
      </c>
      <c r="X104" s="303">
        <v>2.819999999999999</v>
      </c>
      <c r="Y104" s="303">
        <f t="shared" si="80"/>
        <v>1.0799999999999996</v>
      </c>
      <c r="Z104" s="303"/>
      <c r="AA104" s="303">
        <f t="shared" si="81"/>
        <v>30.399999999999963</v>
      </c>
      <c r="AB104" s="303">
        <v>30.399999999999963</v>
      </c>
      <c r="AC104" s="303">
        <f t="shared" si="82"/>
        <v>2.799999999999998</v>
      </c>
      <c r="AD104" s="303"/>
      <c r="AE104" s="303">
        <f t="shared" si="83"/>
        <v>3.240000000000002</v>
      </c>
      <c r="AF104" s="303">
        <v>3.240000000000002</v>
      </c>
      <c r="AG104" s="303">
        <f t="shared" si="84"/>
        <v>1.8999999999999992</v>
      </c>
      <c r="AH104" s="303"/>
      <c r="AI104" s="303">
        <f t="shared" si="85"/>
        <v>33.100000000000037</v>
      </c>
      <c r="AJ104" s="303">
        <f t="shared" si="86"/>
        <v>32.28000000000003</v>
      </c>
      <c r="AK104" s="303">
        <f t="shared" si="87"/>
        <v>2.3599999999999994</v>
      </c>
      <c r="AL104" s="303"/>
      <c r="AM104" s="303"/>
      <c r="AN104" s="303"/>
      <c r="AO104" s="303">
        <v>0.89100000000000001</v>
      </c>
      <c r="AP104" s="303">
        <v>0.89100000000000001</v>
      </c>
      <c r="AQ104" s="303">
        <f t="shared" si="88"/>
        <v>0.27600000000000008</v>
      </c>
      <c r="AR104" s="303"/>
      <c r="AS104" s="303">
        <f t="shared" si="89"/>
        <v>6.5100000000000019E-2</v>
      </c>
      <c r="AT104" s="303">
        <f t="shared" si="90"/>
        <v>6.5100000000000019E-2</v>
      </c>
      <c r="AU104" s="303">
        <v>2.4999999999999998E-2</v>
      </c>
      <c r="AV104" s="303"/>
      <c r="AW104" s="303">
        <v>3.6000000000000023</v>
      </c>
      <c r="AX104" s="303">
        <v>3.6000000000000023</v>
      </c>
      <c r="AY104" s="303">
        <v>1.0200000000000007</v>
      </c>
      <c r="AZ104" s="303"/>
      <c r="BA104" s="303">
        <f t="shared" si="91"/>
        <v>9.0000000000000052E-2</v>
      </c>
      <c r="BB104" s="303">
        <f t="shared" si="92"/>
        <v>9.3000000000000041E-2</v>
      </c>
      <c r="BC104" s="303">
        <f t="shared" si="93"/>
        <v>3.0399999999999996E-2</v>
      </c>
      <c r="BD104" s="303"/>
      <c r="BE104" s="303">
        <f t="shared" si="94"/>
        <v>1.3060000000000007E-2</v>
      </c>
      <c r="BF104" s="303">
        <f t="shared" si="95"/>
        <v>1.3060000000000007E-2</v>
      </c>
      <c r="BG104" s="303">
        <v>5.7399999999999994E-3</v>
      </c>
      <c r="BH104" s="303"/>
      <c r="BI104" s="303">
        <f t="shared" si="96"/>
        <v>3.339999999999999</v>
      </c>
      <c r="BJ104" s="303">
        <f t="shared" si="97"/>
        <v>2.9000000000000012</v>
      </c>
      <c r="BK104" s="303">
        <v>1.0799999999999996</v>
      </c>
      <c r="BL104" s="303"/>
      <c r="BM104" s="303">
        <v>30.399999999999963</v>
      </c>
      <c r="BN104" s="303">
        <v>30.399999999999963</v>
      </c>
      <c r="BO104" s="303">
        <f t="shared" si="98"/>
        <v>4.3599999999999985</v>
      </c>
      <c r="BP104" s="303"/>
      <c r="BQ104" s="303">
        <v>3.240000000000002</v>
      </c>
      <c r="BR104" s="303">
        <v>3.240000000000002</v>
      </c>
      <c r="BS104" s="303">
        <v>1.8999999999999992</v>
      </c>
      <c r="BT104" s="303"/>
      <c r="BU104" s="303">
        <v>33.100000000000037</v>
      </c>
      <c r="BV104" s="303">
        <f t="shared" si="99"/>
        <v>32.28000000000003</v>
      </c>
      <c r="BW104" s="303">
        <f t="shared" si="100"/>
        <v>3</v>
      </c>
    </row>
    <row r="105" spans="3:75" x14ac:dyDescent="0.2">
      <c r="C105" s="304">
        <v>0.92400000000000004</v>
      </c>
      <c r="D105" s="303">
        <v>0.92400000000000004</v>
      </c>
      <c r="E105">
        <f t="shared" si="70"/>
        <v>0.23999999999999996</v>
      </c>
      <c r="G105" s="303">
        <v>6.8500000000000005E-2</v>
      </c>
      <c r="H105" s="303">
        <v>6.8500000000000005E-2</v>
      </c>
      <c r="I105">
        <f t="shared" si="71"/>
        <v>2.7499999999999997E-2</v>
      </c>
      <c r="K105">
        <v>3.7</v>
      </c>
      <c r="L105">
        <v>3.7</v>
      </c>
      <c r="M105">
        <f t="shared" si="72"/>
        <v>1.0900000000000007</v>
      </c>
      <c r="O105" s="303">
        <f t="shared" si="73"/>
        <v>9.2500000000000054E-2</v>
      </c>
      <c r="P105" s="303">
        <f t="shared" si="74"/>
        <v>9.6000000000000044E-2</v>
      </c>
      <c r="Q105" s="303">
        <f t="shared" si="75"/>
        <v>3.3299999999999996E-2</v>
      </c>
      <c r="R105" s="303"/>
      <c r="S105" s="303">
        <f t="shared" si="76"/>
        <v>1.3580000000000009E-2</v>
      </c>
      <c r="T105" s="303">
        <f t="shared" si="77"/>
        <v>1.3580000000000009E-2</v>
      </c>
      <c r="U105" s="303">
        <f t="shared" si="78"/>
        <v>6.7700000000000008E-3</v>
      </c>
      <c r="V105" s="303"/>
      <c r="W105" s="303">
        <f t="shared" si="79"/>
        <v>3.1600000000000019</v>
      </c>
      <c r="X105" s="303">
        <v>2.8899999999999988</v>
      </c>
      <c r="Y105" s="303">
        <f t="shared" si="80"/>
        <v>1.1599999999999997</v>
      </c>
      <c r="Z105" s="303"/>
      <c r="AA105" s="303">
        <f t="shared" si="81"/>
        <v>30.799999999999962</v>
      </c>
      <c r="AB105" s="303">
        <v>30.799999999999962</v>
      </c>
      <c r="AC105" s="303">
        <f t="shared" si="82"/>
        <v>3.0999999999999979</v>
      </c>
      <c r="AD105" s="303"/>
      <c r="AE105" s="303">
        <f t="shared" si="83"/>
        <v>3.3800000000000021</v>
      </c>
      <c r="AF105" s="303">
        <v>3.3800000000000021</v>
      </c>
      <c r="AG105" s="303">
        <f t="shared" si="84"/>
        <v>2.0499999999999994</v>
      </c>
      <c r="AH105" s="303"/>
      <c r="AI105" s="303">
        <f t="shared" si="85"/>
        <v>33.450000000000038</v>
      </c>
      <c r="AJ105" s="303">
        <f t="shared" si="86"/>
        <v>32.560000000000031</v>
      </c>
      <c r="AK105" s="303">
        <f t="shared" si="87"/>
        <v>2.5699999999999994</v>
      </c>
      <c r="AL105" s="303"/>
      <c r="AM105" s="303"/>
      <c r="AN105" s="303"/>
      <c r="AO105" s="303">
        <v>0.92400000000000004</v>
      </c>
      <c r="AP105" s="303">
        <v>0.92400000000000004</v>
      </c>
      <c r="AQ105" s="303">
        <f t="shared" si="88"/>
        <v>0.3020000000000001</v>
      </c>
      <c r="AR105" s="303"/>
      <c r="AS105" s="303">
        <f t="shared" si="89"/>
        <v>6.7600000000000021E-2</v>
      </c>
      <c r="AT105" s="303">
        <f t="shared" si="90"/>
        <v>6.7600000000000021E-2</v>
      </c>
      <c r="AU105" s="303">
        <v>2.7499999999999997E-2</v>
      </c>
      <c r="AV105" s="303"/>
      <c r="AW105" s="303">
        <v>3.7000000000000024</v>
      </c>
      <c r="AX105" s="303">
        <v>3.7000000000000024</v>
      </c>
      <c r="AY105" s="303">
        <v>1.0900000000000007</v>
      </c>
      <c r="AZ105" s="303"/>
      <c r="BA105" s="303">
        <f t="shared" si="91"/>
        <v>9.2500000000000054E-2</v>
      </c>
      <c r="BB105" s="303">
        <f t="shared" si="92"/>
        <v>9.6000000000000044E-2</v>
      </c>
      <c r="BC105" s="303">
        <f t="shared" si="93"/>
        <v>3.3299999999999996E-2</v>
      </c>
      <c r="BD105" s="303"/>
      <c r="BE105" s="303">
        <f t="shared" si="94"/>
        <v>1.3560000000000008E-2</v>
      </c>
      <c r="BF105" s="303">
        <f t="shared" si="95"/>
        <v>1.3560000000000008E-2</v>
      </c>
      <c r="BG105" s="303">
        <v>6.2299999999999994E-3</v>
      </c>
      <c r="BH105" s="303"/>
      <c r="BI105" s="303">
        <f t="shared" si="96"/>
        <v>3.4299999999999988</v>
      </c>
      <c r="BJ105" s="303">
        <f t="shared" si="97"/>
        <v>3.0000000000000013</v>
      </c>
      <c r="BK105" s="303">
        <v>1.1599999999999997</v>
      </c>
      <c r="BL105" s="303"/>
      <c r="BM105" s="303">
        <v>30.799999999999962</v>
      </c>
      <c r="BN105" s="303">
        <v>30.799999999999962</v>
      </c>
      <c r="BO105" s="303">
        <f t="shared" si="98"/>
        <v>4.7199999999999989</v>
      </c>
      <c r="BP105" s="303"/>
      <c r="BQ105" s="303">
        <v>3.3800000000000021</v>
      </c>
      <c r="BR105" s="303">
        <v>3.3800000000000021</v>
      </c>
      <c r="BS105" s="303">
        <v>2.0499999999999994</v>
      </c>
      <c r="BT105" s="303"/>
      <c r="BU105" s="303">
        <v>33.450000000000038</v>
      </c>
      <c r="BV105" s="303">
        <f t="shared" si="99"/>
        <v>32.560000000000031</v>
      </c>
      <c r="BW105" s="303">
        <f t="shared" si="100"/>
        <v>3.25</v>
      </c>
    </row>
    <row r="106" spans="3:75" x14ac:dyDescent="0.2">
      <c r="C106" s="304">
        <v>0.95699999999999996</v>
      </c>
      <c r="D106" s="303">
        <v>0.95699999999999996</v>
      </c>
      <c r="E106">
        <f t="shared" si="70"/>
        <v>0.25999999999999995</v>
      </c>
      <c r="G106" s="303">
        <v>7.0999999999999994E-2</v>
      </c>
      <c r="H106" s="303">
        <v>7.0999999999999994E-2</v>
      </c>
      <c r="I106">
        <f t="shared" si="71"/>
        <v>2.9999999999999995E-2</v>
      </c>
      <c r="K106">
        <v>3.8</v>
      </c>
      <c r="L106">
        <v>3.8</v>
      </c>
      <c r="M106">
        <f t="shared" si="72"/>
        <v>1.1600000000000008</v>
      </c>
      <c r="O106" s="303">
        <f t="shared" si="73"/>
        <v>9.5000000000000057E-2</v>
      </c>
      <c r="P106" s="303">
        <f t="shared" si="74"/>
        <v>9.9000000000000046E-2</v>
      </c>
      <c r="Q106" s="303">
        <f t="shared" si="75"/>
        <v>3.6199999999999996E-2</v>
      </c>
      <c r="R106" s="303"/>
      <c r="S106" s="303">
        <f t="shared" si="76"/>
        <v>1.4080000000000009E-2</v>
      </c>
      <c r="T106" s="303">
        <f t="shared" si="77"/>
        <v>1.4080000000000009E-2</v>
      </c>
      <c r="U106" s="303">
        <f t="shared" si="78"/>
        <v>7.2800000000000009E-3</v>
      </c>
      <c r="V106" s="303"/>
      <c r="W106" s="303">
        <f t="shared" si="79"/>
        <v>3.240000000000002</v>
      </c>
      <c r="X106" s="303">
        <v>2.9599999999999986</v>
      </c>
      <c r="Y106" s="303">
        <f t="shared" si="80"/>
        <v>1.2399999999999998</v>
      </c>
      <c r="Z106" s="303"/>
      <c r="AA106" s="303">
        <f t="shared" si="81"/>
        <v>31.19999999999996</v>
      </c>
      <c r="AB106" s="303">
        <v>31.19999999999996</v>
      </c>
      <c r="AC106" s="303">
        <f t="shared" si="82"/>
        <v>3.3999999999999977</v>
      </c>
      <c r="AD106" s="303"/>
      <c r="AE106" s="303">
        <f t="shared" si="83"/>
        <v>3.5200000000000022</v>
      </c>
      <c r="AF106" s="303">
        <v>3.5200000000000022</v>
      </c>
      <c r="AG106" s="303">
        <f t="shared" si="84"/>
        <v>2.1999999999999993</v>
      </c>
      <c r="AH106" s="303"/>
      <c r="AI106" s="303">
        <f t="shared" si="85"/>
        <v>33.80000000000004</v>
      </c>
      <c r="AJ106" s="303">
        <f t="shared" si="86"/>
        <v>32.840000000000032</v>
      </c>
      <c r="AK106" s="303">
        <f t="shared" si="87"/>
        <v>2.7799999999999994</v>
      </c>
      <c r="AL106" s="303"/>
      <c r="AM106" s="303"/>
      <c r="AN106" s="303"/>
      <c r="AO106" s="303">
        <v>0.95699999999999996</v>
      </c>
      <c r="AP106" s="303">
        <v>0.95699999999999996</v>
      </c>
      <c r="AQ106" s="303">
        <f t="shared" si="88"/>
        <v>0.32800000000000012</v>
      </c>
      <c r="AR106" s="303"/>
      <c r="AS106" s="303">
        <f t="shared" si="89"/>
        <v>7.0100000000000023E-2</v>
      </c>
      <c r="AT106" s="303">
        <f t="shared" si="90"/>
        <v>7.0100000000000023E-2</v>
      </c>
      <c r="AU106" s="303">
        <v>2.9999999999999995E-2</v>
      </c>
      <c r="AV106" s="303"/>
      <c r="AW106" s="303">
        <v>3.8000000000000025</v>
      </c>
      <c r="AX106" s="303">
        <v>3.8000000000000025</v>
      </c>
      <c r="AY106" s="303">
        <v>1.1600000000000008</v>
      </c>
      <c r="AZ106" s="303"/>
      <c r="BA106" s="303">
        <f t="shared" si="91"/>
        <v>9.5000000000000057E-2</v>
      </c>
      <c r="BB106" s="303">
        <f t="shared" si="92"/>
        <v>9.9000000000000046E-2</v>
      </c>
      <c r="BC106" s="303">
        <f t="shared" si="93"/>
        <v>3.6199999999999996E-2</v>
      </c>
      <c r="BD106" s="303"/>
      <c r="BE106" s="303">
        <f t="shared" si="94"/>
        <v>1.4060000000000008E-2</v>
      </c>
      <c r="BF106" s="303">
        <f t="shared" si="95"/>
        <v>1.4060000000000008E-2</v>
      </c>
      <c r="BG106" s="303">
        <v>6.7199999999999994E-3</v>
      </c>
      <c r="BH106" s="303"/>
      <c r="BI106" s="303">
        <f t="shared" si="96"/>
        <v>3.5199999999999987</v>
      </c>
      <c r="BJ106" s="303">
        <f t="shared" si="97"/>
        <v>3.1000000000000014</v>
      </c>
      <c r="BK106" s="303">
        <v>1.2399999999999998</v>
      </c>
      <c r="BL106" s="303"/>
      <c r="BM106" s="303">
        <v>31.19999999999996</v>
      </c>
      <c r="BN106" s="303">
        <v>31.19999999999996</v>
      </c>
      <c r="BO106" s="303">
        <f t="shared" si="98"/>
        <v>5.0799999999999992</v>
      </c>
      <c r="BP106" s="303"/>
      <c r="BQ106" s="303">
        <v>3.5200000000000022</v>
      </c>
      <c r="BR106" s="303">
        <v>3.5200000000000022</v>
      </c>
      <c r="BS106" s="303">
        <v>2.1999999999999993</v>
      </c>
      <c r="BT106" s="303"/>
      <c r="BU106" s="303">
        <v>33.80000000000004</v>
      </c>
      <c r="BV106" s="303">
        <f t="shared" si="99"/>
        <v>32.840000000000032</v>
      </c>
      <c r="BW106" s="303">
        <f t="shared" si="100"/>
        <v>3.5</v>
      </c>
    </row>
    <row r="107" spans="3:75" x14ac:dyDescent="0.2">
      <c r="C107" s="304">
        <v>0.99</v>
      </c>
      <c r="D107" s="303">
        <v>0.99</v>
      </c>
      <c r="E107">
        <f t="shared" si="70"/>
        <v>0.27999999999999997</v>
      </c>
      <c r="G107" s="303">
        <v>7.3499999999999996E-2</v>
      </c>
      <c r="H107" s="303">
        <v>7.3499999999999996E-2</v>
      </c>
      <c r="I107">
        <f t="shared" si="71"/>
        <v>3.2499999999999994E-2</v>
      </c>
      <c r="K107">
        <v>3.9</v>
      </c>
      <c r="L107">
        <v>3.9</v>
      </c>
      <c r="M107">
        <f t="shared" si="72"/>
        <v>1.2300000000000009</v>
      </c>
      <c r="O107" s="303">
        <f t="shared" si="73"/>
        <v>9.7500000000000059E-2</v>
      </c>
      <c r="P107" s="303">
        <f t="shared" si="74"/>
        <v>0.10200000000000005</v>
      </c>
      <c r="Q107" s="303">
        <f t="shared" si="75"/>
        <v>3.9099999999999996E-2</v>
      </c>
      <c r="R107" s="303"/>
      <c r="S107" s="303">
        <f t="shared" si="76"/>
        <v>1.458000000000001E-2</v>
      </c>
      <c r="T107" s="303">
        <f t="shared" si="77"/>
        <v>1.458000000000001E-2</v>
      </c>
      <c r="U107" s="303">
        <f t="shared" si="78"/>
        <v>7.7900000000000009E-3</v>
      </c>
      <c r="V107" s="303"/>
      <c r="W107" s="303">
        <f t="shared" si="79"/>
        <v>3.3200000000000021</v>
      </c>
      <c r="X107" s="303">
        <v>3.0299999999999985</v>
      </c>
      <c r="Y107" s="303">
        <f t="shared" si="80"/>
        <v>1.3199999999999998</v>
      </c>
      <c r="Z107" s="303"/>
      <c r="AA107" s="303">
        <f t="shared" si="81"/>
        <v>31.599999999999959</v>
      </c>
      <c r="AB107" s="303">
        <v>31.599999999999959</v>
      </c>
      <c r="AC107" s="303">
        <f t="shared" si="82"/>
        <v>3.6999999999999975</v>
      </c>
      <c r="AD107" s="303"/>
      <c r="AE107" s="303">
        <f t="shared" si="83"/>
        <v>3.6600000000000024</v>
      </c>
      <c r="AF107" s="303">
        <v>3.6600000000000024</v>
      </c>
      <c r="AG107" s="303">
        <f t="shared" si="84"/>
        <v>2.3499999999999992</v>
      </c>
      <c r="AH107" s="303"/>
      <c r="AI107" s="303">
        <f t="shared" si="85"/>
        <v>34.150000000000041</v>
      </c>
      <c r="AJ107" s="303">
        <f t="shared" si="86"/>
        <v>33.120000000000033</v>
      </c>
      <c r="AK107" s="303">
        <f t="shared" si="87"/>
        <v>2.9899999999999993</v>
      </c>
      <c r="AL107" s="303"/>
      <c r="AM107" s="303"/>
      <c r="AN107" s="303"/>
      <c r="AO107" s="303">
        <v>0.99</v>
      </c>
      <c r="AP107" s="303">
        <v>0.99</v>
      </c>
      <c r="AQ107" s="303">
        <f t="shared" si="88"/>
        <v>0.35400000000000015</v>
      </c>
      <c r="AR107" s="303"/>
      <c r="AS107" s="303">
        <f t="shared" si="89"/>
        <v>7.2600000000000026E-2</v>
      </c>
      <c r="AT107" s="303">
        <f t="shared" si="90"/>
        <v>7.2600000000000026E-2</v>
      </c>
      <c r="AU107" s="303">
        <v>3.2499999999999994E-2</v>
      </c>
      <c r="AV107" s="303"/>
      <c r="AW107" s="303">
        <v>3.9000000000000026</v>
      </c>
      <c r="AX107" s="303">
        <v>3.9000000000000026</v>
      </c>
      <c r="AY107" s="303">
        <v>1.2300000000000009</v>
      </c>
      <c r="AZ107" s="303"/>
      <c r="BA107" s="303">
        <f t="shared" si="91"/>
        <v>9.7500000000000059E-2</v>
      </c>
      <c r="BB107" s="303">
        <f t="shared" si="92"/>
        <v>0.10200000000000005</v>
      </c>
      <c r="BC107" s="303">
        <f t="shared" si="93"/>
        <v>3.9099999999999996E-2</v>
      </c>
      <c r="BD107" s="303"/>
      <c r="BE107" s="303">
        <f t="shared" si="94"/>
        <v>1.4560000000000009E-2</v>
      </c>
      <c r="BF107" s="303">
        <f t="shared" si="95"/>
        <v>1.4560000000000009E-2</v>
      </c>
      <c r="BG107" s="303">
        <v>7.2099999999999994E-3</v>
      </c>
      <c r="BH107" s="303"/>
      <c r="BI107" s="303">
        <f t="shared" si="96"/>
        <v>3.6099999999999985</v>
      </c>
      <c r="BJ107" s="303">
        <f t="shared" si="97"/>
        <v>3.2000000000000015</v>
      </c>
      <c r="BK107" s="303">
        <v>1.3199999999999998</v>
      </c>
      <c r="BL107" s="303"/>
      <c r="BM107" s="303">
        <v>31.599999999999959</v>
      </c>
      <c r="BN107" s="303">
        <v>31.599999999999959</v>
      </c>
      <c r="BO107" s="303">
        <f t="shared" si="98"/>
        <v>5.4399999999999995</v>
      </c>
      <c r="BP107" s="303"/>
      <c r="BQ107" s="303">
        <v>3.6600000000000024</v>
      </c>
      <c r="BR107" s="303">
        <v>3.6600000000000024</v>
      </c>
      <c r="BS107" s="303">
        <v>2.3499999999999992</v>
      </c>
      <c r="BT107" s="303"/>
      <c r="BU107" s="303">
        <v>34.150000000000041</v>
      </c>
      <c r="BV107" s="303">
        <f t="shared" si="99"/>
        <v>33.120000000000033</v>
      </c>
      <c r="BW107" s="303">
        <f t="shared" si="100"/>
        <v>3.75</v>
      </c>
    </row>
    <row r="110" spans="3:75" x14ac:dyDescent="0.2">
      <c r="C110">
        <f t="shared" ref="C110:C139" si="101">_xlfn.NORM.DIST(C78,$C$40,$C$44,0)</f>
        <v>2.9654398433650673E-9</v>
      </c>
      <c r="D110">
        <f t="shared" ref="D110:D139" si="102">_xlfn.NORM.DIST(D78,$D$40,$D$44,0)</f>
        <v>3.2534406377125806E-7</v>
      </c>
      <c r="E110">
        <f t="shared" ref="E110:E139" si="103">_xlfn.NORM.DIST(E78,$E$40,$E$44,0)</f>
        <v>2.2777729933277948E-6</v>
      </c>
      <c r="G110">
        <f t="shared" ref="G110:G139" si="104">_xlfn.NORM.DIST(G78,$G$40,$G$44,0)</f>
        <v>1.0858060941541032</v>
      </c>
      <c r="H110">
        <f t="shared" ref="H110:H139" si="105">_xlfn.NORM.DIST(H78,$H$40,$H$44,0)</f>
        <v>0.85546421877972745</v>
      </c>
      <c r="I110">
        <f t="shared" ref="I110:I139" si="106">_xlfn.NORM.DIST(I78,$I$40,$I$44,0)</f>
        <v>1.914221361799367E-5</v>
      </c>
      <c r="K110">
        <f t="shared" ref="K110:K139" si="107">_xlfn.NORM.DIST(K78,$K$40,$K$44,0)</f>
        <v>3.3281148969028132E-2</v>
      </c>
      <c r="L110">
        <f t="shared" ref="L110:L139" si="108">_xlfn.NORM.DIST(L78,$L$40,$L$44,0)</f>
        <v>4.2088744911295738E-2</v>
      </c>
      <c r="M110">
        <f t="shared" ref="M110:M139" si="109">_xlfn.NORM.DIST(M78,$M$40,$M$44,0)</f>
        <v>3.4088875695404796E-5</v>
      </c>
      <c r="O110">
        <f t="shared" ref="O110:O139" si="110">_xlfn.NORM.DIST(O78,$O$40,$O$44,0)</f>
        <v>6.7430114489769153</v>
      </c>
      <c r="P110">
        <f t="shared" ref="P110:P139" si="111">_xlfn.NORM.DIST(P78,$P$40,$P$44,0)</f>
        <v>9.1120426533066554E-2</v>
      </c>
      <c r="Q110">
        <f t="shared" ref="Q110:Q139" si="112">_xlfn.NORM.DIST(Q78,$Q$40,$Q$44,0)</f>
        <v>9.1430179105409001E-2</v>
      </c>
      <c r="S110">
        <f t="shared" ref="S110:S139" si="113">_xlfn.NORM.DIST(S78,$S$40,$S$44,0)</f>
        <v>15.472259866429644</v>
      </c>
      <c r="T110">
        <f t="shared" ref="T110:T139" si="114">_xlfn.NORM.DIST(T78,$T$40,$T$44,0)</f>
        <v>0.65934529367908057</v>
      </c>
      <c r="U110">
        <f t="shared" ref="U110:U139" si="115">_xlfn.NORM.DIST(U78,$U$40,$U$44,0)</f>
        <v>3.0722679916363642</v>
      </c>
      <c r="W110">
        <f t="shared" ref="W110:W139" si="116">_xlfn.NORM.DIST(W78,$W$40,$W$44,0)</f>
        <v>0.19097478584324679</v>
      </c>
      <c r="X110">
        <f t="shared" ref="X110:X139" si="117">_xlfn.NORM.DIST(X78,$X$40,$X$44,0)</f>
        <v>0.21510093886953602</v>
      </c>
      <c r="Y110">
        <f t="shared" ref="Y110:Y139" si="118">_xlfn.NORM.DIST(Y78,$Y$40,$Y$44,0)</f>
        <v>7.2086068810721087E-3</v>
      </c>
      <c r="AA110">
        <f t="shared" ref="AA110:AA139" si="119">_xlfn.NORM.DIST(AA78,$AA$40,$AA$44,0)</f>
        <v>3.3658196007105561E-2</v>
      </c>
      <c r="AB110">
        <f t="shared" ref="AB110:AB139" si="120">_xlfn.NORM.DIST(AB78,$AB$40,$AB$44,0)</f>
        <v>3.2339861958928878E-2</v>
      </c>
      <c r="AC110">
        <f t="shared" ref="AC110:AC139" si="121">_xlfn.NORM.DIST(AC78,$AC$40,$AC$44,0)</f>
        <v>2.2509707614524008E-3</v>
      </c>
      <c r="AE110">
        <f t="shared" ref="AE110:AE139" si="122">_xlfn.NORM.DIST(AE78,$AE$40,$AE$44,0)</f>
        <v>9.1747094162274289E-3</v>
      </c>
      <c r="AF110">
        <f t="shared" ref="AF110:AF139" si="123">_xlfn.NORM.DIST(AF78,$AF$40,$AF$44,0)</f>
        <v>1.1188482427191128E-2</v>
      </c>
      <c r="AG110">
        <f t="shared" ref="AG110:AG139" si="124">_xlfn.NORM.DIST(AG78,$AG$40,$AG$44,0)</f>
        <v>8.0857625765079923E-6</v>
      </c>
      <c r="AI110">
        <f t="shared" ref="AI110:AI139" si="125">_xlfn.NORM.DIST(AI78,$AI$40,$AI$44,0)</f>
        <v>7.9583366288725997E-3</v>
      </c>
      <c r="AJ110">
        <f t="shared" ref="AJ110:AJ139" si="126">_xlfn.NORM.DIST(AJ78,$AJ$40,$AJ$44,0)</f>
        <v>1.2465762197288923E-3</v>
      </c>
      <c r="AK110">
        <f t="shared" ref="AK110:AK139" si="127">_xlfn.NORM.DIST(AK78,$AK$40,$AK$44,0)</f>
        <v>1.3042909171857591E-2</v>
      </c>
      <c r="AO110">
        <f t="shared" ref="AO110:AO139" si="128">_xlfn.NORM.DIST(AO78,$AO$40,$AO$44,0)</f>
        <v>7.6223498732738041E-8</v>
      </c>
      <c r="AP110">
        <f t="shared" ref="AP110:AP139" si="129">_xlfn.NORM.DIST(AP78,$AP$40,$AP$44,0)</f>
        <v>0.37759107368067629</v>
      </c>
      <c r="AQ110">
        <f t="shared" ref="AQ110:AQ139" si="130">_xlfn.NORM.DIST(AQ78,$AQ$40,$AQ$44,0)</f>
        <v>0.45857879197181478</v>
      </c>
      <c r="AS110">
        <f t="shared" ref="AS110:AS139" si="131">_xlfn.NORM.DIST(AS78,$AS$40,$AS$44,0)</f>
        <v>0.61346523140529297</v>
      </c>
      <c r="AT110">
        <f t="shared" ref="AT110:AT139" si="132">_xlfn.NORM.DIST(AT78,$AT$40,$AT$44,0)</f>
        <v>1.4004993254279463</v>
      </c>
      <c r="AU110">
        <f t="shared" ref="AU110:AU139" si="133">_xlfn.NORM.DIST(AU78,$AU$40,$AU$44,0)</f>
        <v>0.51201972096123671</v>
      </c>
      <c r="AW110">
        <f t="shared" ref="AW110:AW139" si="134">_xlfn.NORM.DIST(AW78,$AW$40,$AW$44,0)</f>
        <v>3.9969992547865804E-2</v>
      </c>
      <c r="AX110">
        <f t="shared" ref="AX110:AX139" si="135">_xlfn.NORM.DIST(AX78,$AX$40,$AX$44,0)</f>
        <v>4.3117590468733397E-2</v>
      </c>
      <c r="AY110">
        <f t="shared" ref="AY110:AY139" si="136">_xlfn.NORM.DIST(AY78,$AY$40,$AY$44,0)</f>
        <v>6.9905597519997226E-2</v>
      </c>
      <c r="BA110">
        <f t="shared" ref="BA110:BA139" si="137">_xlfn.NORM.DIST(BA78,$BA$40,$BA$44,0)</f>
        <v>3.7534660642691877</v>
      </c>
      <c r="BB110">
        <f t="shared" ref="BB110:BB139" si="138">_xlfn.NORM.DIST(BB78,$BB$40,$BB$44,0)</f>
        <v>0.12574308462402256</v>
      </c>
      <c r="BC110">
        <f t="shared" ref="BC110:BC139" si="139">_xlfn.NORM.DIST(BC78,$BC$40,$BC$44,0)</f>
        <v>2.1083849554513791E-3</v>
      </c>
      <c r="BE110">
        <f t="shared" ref="BE110:BE139" si="140">_xlfn.NORM.DIST(BE78,$BE$40,$BE$44,0)</f>
        <v>8.8210318519911564</v>
      </c>
      <c r="BF110">
        <f t="shared" ref="BF110:BF139" si="141">_xlfn.NORM.DIST(BF78,$BF$40,$BF$44,0)</f>
        <v>1.646535575743084</v>
      </c>
      <c r="BG110">
        <f t="shared" ref="BG110:BG139" si="142">_xlfn.NORM.DIST(BG78,$BG$40,$BG$44,0)</f>
        <v>1.9738413323809174</v>
      </c>
      <c r="BI110">
        <f t="shared" ref="BI110:BI139" si="143">_xlfn.NORM.DIST(BI78,$BI$40,$BI$44,0)</f>
        <v>0.18662218482528786</v>
      </c>
      <c r="BJ110">
        <f t="shared" ref="BJ110:BJ139" si="144">_xlfn.NORM.DIST(BJ78,$BJ$40,$BJ$44,0)</f>
        <v>5.2175349792900078E-3</v>
      </c>
      <c r="BK110">
        <f t="shared" ref="BK110:BK139" si="145">_xlfn.NORM.DIST(BK78,$BK$40,$BK$44,0)</f>
        <v>4.5694690321177534E-3</v>
      </c>
      <c r="BM110">
        <f t="shared" ref="BM110:BM139" si="146">_xlfn.NORM.DIST(BM78,$BM$40,$BM$44,0)</f>
        <v>1.9021103997372196E-2</v>
      </c>
      <c r="BN110">
        <f t="shared" ref="BN110:BN139" si="147">_xlfn.NORM.DIST(BN78,$BN$40,$BN$44,0)</f>
        <v>1.7795236081634663E-2</v>
      </c>
      <c r="BO110">
        <f t="shared" ref="BO110:BO139" si="148">_xlfn.NORM.DIST(BO78,$BO$40,$BO$44,0)</f>
        <v>4.5042887900853317E-3</v>
      </c>
      <c r="BQ110">
        <f t="shared" ref="BQ110:BQ139" si="149">_xlfn.NORM.DIST(BQ78,$BQ$40,$BQ$44,0)</f>
        <v>1.1387625774958842E-3</v>
      </c>
      <c r="BR110">
        <f t="shared" ref="BR110:BR139" si="150">_xlfn.NORM.DIST(BR78,$BR$40,$BR$44,0)</f>
        <v>4.9697451655393299E-3</v>
      </c>
      <c r="BS110">
        <f t="shared" ref="BS110:BS139" si="151">_xlfn.NORM.DIST(BS78,$BS$40,$BS$44,0)</f>
        <v>9.0395448235876165E-6</v>
      </c>
      <c r="BU110">
        <f t="shared" ref="BU110:BU139" si="152">_xlfn.NORM.DIST(BU78,$BU$40,$BU$44,0)</f>
        <v>8.5325694729851935E-5</v>
      </c>
      <c r="BV110">
        <f t="shared" ref="BV110:BV139" si="153">_xlfn.NORM.DIST(BV78,$BV$40,$BV$44,0)</f>
        <v>6.3436294568605167E-2</v>
      </c>
      <c r="BW110">
        <f t="shared" ref="BW110:BW139" si="154">_xlfn.NORM.DIST(BW78,$BW$40,$BW$44,0)</f>
        <v>1.3989010618486509E-4</v>
      </c>
    </row>
    <row r="111" spans="3:75" x14ac:dyDescent="0.2">
      <c r="C111">
        <f t="shared" si="101"/>
        <v>5.9123726364084757E-8</v>
      </c>
      <c r="D111">
        <f t="shared" si="102"/>
        <v>3.7030533379077087E-6</v>
      </c>
      <c r="E111">
        <f t="shared" si="103"/>
        <v>1.3953774527536642E-5</v>
      </c>
      <c r="G111">
        <f t="shared" si="104"/>
        <v>1.5053847721995401</v>
      </c>
      <c r="H111">
        <f t="shared" si="105"/>
        <v>1.2556989087040815</v>
      </c>
      <c r="I111">
        <f t="shared" si="106"/>
        <v>1.0480112593200122E-4</v>
      </c>
      <c r="K111">
        <f t="shared" si="107"/>
        <v>4.8687597174301003E-2</v>
      </c>
      <c r="L111">
        <f t="shared" si="108"/>
        <v>6.3493555158101345E-2</v>
      </c>
      <c r="M111">
        <f t="shared" si="109"/>
        <v>1.509641035581974E-4</v>
      </c>
      <c r="O111">
        <f t="shared" si="110"/>
        <v>10.16033081708502</v>
      </c>
      <c r="P111">
        <f t="shared" si="111"/>
        <v>0.24876958871996538</v>
      </c>
      <c r="Q111">
        <f t="shared" si="112"/>
        <v>0.21193009261515686</v>
      </c>
      <c r="S111">
        <f t="shared" si="113"/>
        <v>19.089250049372197</v>
      </c>
      <c r="T111">
        <f t="shared" si="114"/>
        <v>4.1315926539093706</v>
      </c>
      <c r="U111">
        <f t="shared" si="115"/>
        <v>4.0751229688892474</v>
      </c>
      <c r="W111">
        <f t="shared" si="116"/>
        <v>0.22316639295300697</v>
      </c>
      <c r="X111">
        <f t="shared" si="117"/>
        <v>0.26523344003800792</v>
      </c>
      <c r="Y111">
        <f t="shared" si="118"/>
        <v>1.3480708266544563E-2</v>
      </c>
      <c r="AA111">
        <f t="shared" si="119"/>
        <v>5.0184052111163585E-2</v>
      </c>
      <c r="AB111">
        <f t="shared" si="120"/>
        <v>5.3706541251536004E-2</v>
      </c>
      <c r="AC111">
        <f t="shared" si="121"/>
        <v>3.6612765562649644E-3</v>
      </c>
      <c r="AE111">
        <f t="shared" si="122"/>
        <v>1.3872415421089152E-2</v>
      </c>
      <c r="AF111">
        <f t="shared" si="123"/>
        <v>1.7104941979756483E-2</v>
      </c>
      <c r="AG111">
        <f t="shared" si="124"/>
        <v>3.8244940126842391E-5</v>
      </c>
      <c r="AI111">
        <f t="shared" si="125"/>
        <v>1.3677931280618344E-2</v>
      </c>
      <c r="AJ111">
        <f t="shared" si="126"/>
        <v>5.2582669755799616E-3</v>
      </c>
      <c r="AK111">
        <f t="shared" si="127"/>
        <v>1.7394153313960981E-2</v>
      </c>
      <c r="AO111">
        <f t="shared" si="128"/>
        <v>9.3819395597562098E-7</v>
      </c>
      <c r="AP111">
        <f t="shared" si="129"/>
        <v>0.38825175191219791</v>
      </c>
      <c r="AQ111">
        <f t="shared" si="130"/>
        <v>0.46318525743260835</v>
      </c>
      <c r="AS111">
        <f t="shared" si="131"/>
        <v>0.93117685491144986</v>
      </c>
      <c r="AT111">
        <f t="shared" si="132"/>
        <v>1.8980106675607959</v>
      </c>
      <c r="AU111">
        <f t="shared" si="133"/>
        <v>0.83650993573614774</v>
      </c>
      <c r="AW111">
        <f t="shared" si="134"/>
        <v>5.6600808425086274E-2</v>
      </c>
      <c r="AX111">
        <f t="shared" si="135"/>
        <v>6.3486176972591943E-2</v>
      </c>
      <c r="AY111">
        <f t="shared" si="136"/>
        <v>0.10178222901689545</v>
      </c>
      <c r="BA111">
        <f t="shared" si="137"/>
        <v>6.2538776525578976</v>
      </c>
      <c r="BB111">
        <f t="shared" si="138"/>
        <v>0.33101001851251161</v>
      </c>
      <c r="BC111">
        <f t="shared" si="139"/>
        <v>7.7200967806918801E-3</v>
      </c>
      <c r="BE111">
        <f t="shared" si="140"/>
        <v>11.977503609972837</v>
      </c>
      <c r="BF111">
        <f t="shared" si="141"/>
        <v>3.2346447338774165</v>
      </c>
      <c r="BG111">
        <f t="shared" si="142"/>
        <v>3.2101534918305248</v>
      </c>
      <c r="BI111">
        <f t="shared" si="143"/>
        <v>0.23087697391043499</v>
      </c>
      <c r="BJ111">
        <f t="shared" si="144"/>
        <v>9.7800188232377225E-3</v>
      </c>
      <c r="BK111">
        <f t="shared" si="145"/>
        <v>9.7578250392925999E-3</v>
      </c>
      <c r="BM111">
        <f t="shared" si="146"/>
        <v>2.9831388448751366E-2</v>
      </c>
      <c r="BN111">
        <f t="shared" si="147"/>
        <v>3.2267730741571125E-2</v>
      </c>
      <c r="BO111">
        <f t="shared" si="148"/>
        <v>7.1625967541548699E-3</v>
      </c>
      <c r="BQ111">
        <f t="shared" si="149"/>
        <v>2.3447311123180365E-3</v>
      </c>
      <c r="BR111">
        <f t="shared" si="150"/>
        <v>8.6360597631729517E-3</v>
      </c>
      <c r="BS111">
        <f t="shared" si="151"/>
        <v>4.5594256516351791E-5</v>
      </c>
      <c r="BU111">
        <f t="shared" si="152"/>
        <v>2.9106571190006642E-4</v>
      </c>
      <c r="BV111">
        <f t="shared" si="153"/>
        <v>8.9546111361230613E-2</v>
      </c>
      <c r="BW111">
        <f t="shared" si="154"/>
        <v>3.2538866134890372E-4</v>
      </c>
    </row>
    <row r="112" spans="3:75" x14ac:dyDescent="0.2">
      <c r="C112">
        <f t="shared" si="101"/>
        <v>9.4082820346737254E-7</v>
      </c>
      <c r="D112">
        <f t="shared" si="102"/>
        <v>3.4769236017157124E-5</v>
      </c>
      <c r="E112">
        <f t="shared" si="103"/>
        <v>7.6013590602140821E-5</v>
      </c>
      <c r="G112">
        <f t="shared" si="104"/>
        <v>2.0482088292429177</v>
      </c>
      <c r="H112">
        <f t="shared" si="105"/>
        <v>1.8006572738925701</v>
      </c>
      <c r="I112">
        <f t="shared" si="106"/>
        <v>5.1726378753035615E-4</v>
      </c>
      <c r="K112">
        <f t="shared" si="107"/>
        <v>6.938959642071249E-2</v>
      </c>
      <c r="L112">
        <f t="shared" si="108"/>
        <v>9.2748103219689626E-2</v>
      </c>
      <c r="M112">
        <f t="shared" si="109"/>
        <v>5.995311359675992E-4</v>
      </c>
      <c r="O112">
        <f t="shared" si="110"/>
        <v>14.479825353974377</v>
      </c>
      <c r="P112">
        <f t="shared" si="111"/>
        <v>0.62038734792710082</v>
      </c>
      <c r="Q112">
        <f t="shared" si="112"/>
        <v>0.46074871773366427</v>
      </c>
      <c r="S112">
        <f t="shared" si="113"/>
        <v>23.243063344812157</v>
      </c>
      <c r="T112">
        <f t="shared" si="114"/>
        <v>19.110794441972871</v>
      </c>
      <c r="U112">
        <f t="shared" si="115"/>
        <v>5.338438070863976</v>
      </c>
      <c r="W112">
        <f t="shared" si="116"/>
        <v>0.25759095676832172</v>
      </c>
      <c r="X112">
        <f t="shared" si="117"/>
        <v>0.32101503178140334</v>
      </c>
      <c r="Y112">
        <f t="shared" si="118"/>
        <v>2.4167446170997788E-2</v>
      </c>
      <c r="AA112">
        <f t="shared" si="119"/>
        <v>7.1321743309763333E-2</v>
      </c>
      <c r="AB112">
        <f t="shared" si="120"/>
        <v>8.3157834387411311E-2</v>
      </c>
      <c r="AC112">
        <f t="shared" si="121"/>
        <v>5.7948201654236088E-3</v>
      </c>
      <c r="AE112">
        <f t="shared" si="122"/>
        <v>2.0490199761936698E-2</v>
      </c>
      <c r="AF112">
        <f t="shared" si="123"/>
        <v>2.5484624431102647E-2</v>
      </c>
      <c r="AG112">
        <f t="shared" si="124"/>
        <v>1.6178988763046784E-4</v>
      </c>
      <c r="AI112">
        <f t="shared" si="125"/>
        <v>2.2440052012722873E-2</v>
      </c>
      <c r="AJ112">
        <f t="shared" si="126"/>
        <v>1.8351112927461371E-2</v>
      </c>
      <c r="AK112">
        <f t="shared" si="127"/>
        <v>2.2848783236119066E-2</v>
      </c>
      <c r="AO112">
        <f t="shared" si="128"/>
        <v>9.5694679985819241E-6</v>
      </c>
      <c r="AP112">
        <f t="shared" si="129"/>
        <v>0.39856739791815665</v>
      </c>
      <c r="AQ112">
        <f t="shared" si="130"/>
        <v>0.46737157397768564</v>
      </c>
      <c r="AS112">
        <f t="shared" si="131"/>
        <v>1.3787196609042907</v>
      </c>
      <c r="AT112">
        <f t="shared" si="132"/>
        <v>2.5264602078752638</v>
      </c>
      <c r="AU112">
        <f t="shared" si="133"/>
        <v>1.3236685357683646</v>
      </c>
      <c r="AW112">
        <f t="shared" si="134"/>
        <v>7.8275278572443457E-2</v>
      </c>
      <c r="AX112">
        <f t="shared" si="135"/>
        <v>9.0787171478590403E-2</v>
      </c>
      <c r="AY112">
        <f t="shared" si="136"/>
        <v>0.14396669327783482</v>
      </c>
      <c r="BA112">
        <f t="shared" si="137"/>
        <v>9.7922919981042078</v>
      </c>
      <c r="BB112">
        <f t="shared" si="138"/>
        <v>0.7971102804801431</v>
      </c>
      <c r="BC112">
        <f t="shared" si="139"/>
        <v>2.5802292114986379E-2</v>
      </c>
      <c r="BE112">
        <f t="shared" si="140"/>
        <v>15.947413065397642</v>
      </c>
      <c r="BF112">
        <f t="shared" si="141"/>
        <v>6.0310153729796241</v>
      </c>
      <c r="BG112">
        <f t="shared" si="142"/>
        <v>5.0692208745534701</v>
      </c>
      <c r="BI112">
        <f t="shared" si="143"/>
        <v>0.27986809850062627</v>
      </c>
      <c r="BJ112">
        <f t="shared" si="144"/>
        <v>1.7583133345190394E-2</v>
      </c>
      <c r="BK112">
        <f t="shared" si="145"/>
        <v>1.9707982135183027E-2</v>
      </c>
      <c r="BM112">
        <f t="shared" si="146"/>
        <v>4.4672954062430006E-2</v>
      </c>
      <c r="BN112">
        <f t="shared" si="147"/>
        <v>5.4370657719541776E-2</v>
      </c>
      <c r="BO112">
        <f t="shared" si="148"/>
        <v>1.104742407219402E-2</v>
      </c>
      <c r="BQ112">
        <f t="shared" si="149"/>
        <v>4.6190402867923941E-3</v>
      </c>
      <c r="BR112">
        <f t="shared" si="150"/>
        <v>1.4494338605018618E-2</v>
      </c>
      <c r="BS112">
        <f t="shared" si="151"/>
        <v>2.0352414719752415E-4</v>
      </c>
      <c r="BU112">
        <f t="shared" si="152"/>
        <v>9.0053369410541433E-4</v>
      </c>
      <c r="BV112">
        <f t="shared" si="153"/>
        <v>0.12102353128374795</v>
      </c>
      <c r="BW112">
        <f t="shared" si="154"/>
        <v>7.2127244985581462E-4</v>
      </c>
    </row>
    <row r="113" spans="3:75" x14ac:dyDescent="0.2">
      <c r="C113">
        <f t="shared" si="101"/>
        <v>1.1949086557073573E-5</v>
      </c>
      <c r="D113">
        <f t="shared" si="102"/>
        <v>2.6930748767442465E-4</v>
      </c>
      <c r="E113">
        <f t="shared" si="103"/>
        <v>3.6822144540048799E-4</v>
      </c>
      <c r="G113">
        <f t="shared" si="104"/>
        <v>2.7348431330869736</v>
      </c>
      <c r="H113">
        <f t="shared" si="105"/>
        <v>2.5225424180379439</v>
      </c>
      <c r="I113">
        <f t="shared" si="106"/>
        <v>2.3016036593435265E-3</v>
      </c>
      <c r="K113">
        <f t="shared" si="107"/>
        <v>9.6344376471389478E-2</v>
      </c>
      <c r="L113">
        <f t="shared" si="108"/>
        <v>0.13118740771193407</v>
      </c>
      <c r="M113">
        <f t="shared" si="109"/>
        <v>2.1351423178163609E-3</v>
      </c>
      <c r="O113">
        <f t="shared" si="110"/>
        <v>19.517326268849981</v>
      </c>
      <c r="P113">
        <f t="shared" si="111"/>
        <v>1.4132294415165927</v>
      </c>
      <c r="Q113">
        <f t="shared" si="112"/>
        <v>0.93951580954102509</v>
      </c>
      <c r="S113">
        <f t="shared" si="113"/>
        <v>27.929762844582655</v>
      </c>
      <c r="T113">
        <f t="shared" si="114"/>
        <v>65.252423246282547</v>
      </c>
      <c r="U113">
        <f t="shared" si="115"/>
        <v>6.9068427470816296</v>
      </c>
      <c r="W113">
        <f t="shared" si="116"/>
        <v>0.29368481130022328</v>
      </c>
      <c r="X113">
        <f t="shared" si="117"/>
        <v>0.38135863021494698</v>
      </c>
      <c r="Y113">
        <f t="shared" si="118"/>
        <v>4.1534165679577711E-2</v>
      </c>
      <c r="AA113">
        <f t="shared" si="119"/>
        <v>9.6618326035651125E-2</v>
      </c>
      <c r="AB113">
        <f t="shared" si="120"/>
        <v>0.12005109379314198</v>
      </c>
      <c r="AC113">
        <f t="shared" si="121"/>
        <v>8.9246694100886242E-3</v>
      </c>
      <c r="AE113">
        <f t="shared" si="122"/>
        <v>2.9564779099166195E-2</v>
      </c>
      <c r="AF113">
        <f t="shared" si="123"/>
        <v>3.700335320416951E-2</v>
      </c>
      <c r="AG113">
        <f t="shared" si="124"/>
        <v>6.121433683936925E-4</v>
      </c>
      <c r="AI113">
        <f t="shared" si="125"/>
        <v>3.5142498149941602E-2</v>
      </c>
      <c r="AJ113">
        <f t="shared" si="126"/>
        <v>5.2988077566397965E-2</v>
      </c>
      <c r="AK113">
        <f t="shared" si="127"/>
        <v>2.956336202566695E-2</v>
      </c>
      <c r="AO113">
        <f t="shared" si="128"/>
        <v>8.0886188341696986E-5</v>
      </c>
      <c r="AP113">
        <f t="shared" si="129"/>
        <v>0.4084950146576305</v>
      </c>
      <c r="AQ113">
        <f t="shared" si="130"/>
        <v>0.47112555925674665</v>
      </c>
      <c r="AS113">
        <f t="shared" si="131"/>
        <v>1.9912296112532135</v>
      </c>
      <c r="AT113">
        <f t="shared" si="132"/>
        <v>3.3031199441392247</v>
      </c>
      <c r="AU113">
        <f t="shared" si="133"/>
        <v>2.028668633005851</v>
      </c>
      <c r="AW113">
        <f t="shared" si="134"/>
        <v>0.10571583155710121</v>
      </c>
      <c r="AX113">
        <f t="shared" si="135"/>
        <v>0.12609283636916355</v>
      </c>
      <c r="AY113">
        <f t="shared" si="136"/>
        <v>0.19782545265188725</v>
      </c>
      <c r="BA113">
        <f t="shared" si="137"/>
        <v>14.409118650061956</v>
      </c>
      <c r="BB113">
        <f t="shared" si="138"/>
        <v>1.755965283080422</v>
      </c>
      <c r="BC113">
        <f t="shared" si="139"/>
        <v>7.8714825565337376E-2</v>
      </c>
      <c r="BE113">
        <f t="shared" si="140"/>
        <v>20.820501642187928</v>
      </c>
      <c r="BF113">
        <f t="shared" si="141"/>
        <v>10.672413905158448</v>
      </c>
      <c r="BG113">
        <f t="shared" si="142"/>
        <v>7.7724598489213843</v>
      </c>
      <c r="BI113">
        <f t="shared" si="143"/>
        <v>0.33241575272895402</v>
      </c>
      <c r="BJ113">
        <f t="shared" si="144"/>
        <v>3.0320412565024896E-2</v>
      </c>
      <c r="BK113">
        <f t="shared" si="145"/>
        <v>3.7647239574038364E-2</v>
      </c>
      <c r="BM113">
        <f t="shared" si="146"/>
        <v>6.3877709274888991E-2</v>
      </c>
      <c r="BN113">
        <f t="shared" si="147"/>
        <v>8.5131883308209325E-2</v>
      </c>
      <c r="BO113">
        <f t="shared" si="148"/>
        <v>1.6527143529399348E-2</v>
      </c>
      <c r="BQ113">
        <f t="shared" si="149"/>
        <v>8.7058122863095892E-3</v>
      </c>
      <c r="BR113">
        <f t="shared" si="150"/>
        <v>2.3495376617412033E-2</v>
      </c>
      <c r="BS113">
        <f t="shared" si="151"/>
        <v>8.0401468073952121E-4</v>
      </c>
      <c r="BU113">
        <f t="shared" si="152"/>
        <v>2.5270078470956757E-3</v>
      </c>
      <c r="BV113">
        <f t="shared" si="153"/>
        <v>0.15660552399245059</v>
      </c>
      <c r="BW113">
        <f t="shared" si="154"/>
        <v>1.523623933179237E-3</v>
      </c>
    </row>
    <row r="114" spans="3:75" x14ac:dyDescent="0.2">
      <c r="C114">
        <f t="shared" si="101"/>
        <v>1.211253195843018E-4</v>
      </c>
      <c r="D114">
        <f t="shared" si="102"/>
        <v>1.7207580454401284E-3</v>
      </c>
      <c r="E114">
        <f t="shared" si="103"/>
        <v>1.5861534273376898E-3</v>
      </c>
      <c r="G114">
        <f t="shared" si="104"/>
        <v>3.5836210531019272</v>
      </c>
      <c r="H114">
        <f t="shared" si="105"/>
        <v>3.4522939827962693</v>
      </c>
      <c r="I114">
        <f t="shared" si="106"/>
        <v>9.2325430237431231E-3</v>
      </c>
      <c r="K114">
        <f t="shared" si="107"/>
        <v>0.13032098931633002</v>
      </c>
      <c r="L114">
        <f t="shared" si="108"/>
        <v>0.17967637877102235</v>
      </c>
      <c r="M114">
        <f t="shared" si="109"/>
        <v>6.8189726608871744E-3</v>
      </c>
      <c r="O114">
        <f t="shared" si="110"/>
        <v>24.881630947759636</v>
      </c>
      <c r="P114">
        <f t="shared" si="111"/>
        <v>2.9406715540672677</v>
      </c>
      <c r="Q114">
        <f t="shared" si="112"/>
        <v>1.7968527958242808</v>
      </c>
      <c r="S114">
        <f t="shared" si="113"/>
        <v>33.121539411966268</v>
      </c>
      <c r="T114">
        <f t="shared" si="114"/>
        <v>164.4641354665595</v>
      </c>
      <c r="U114">
        <f t="shared" si="115"/>
        <v>8.8254487233984946</v>
      </c>
      <c r="W114">
        <f t="shared" si="116"/>
        <v>0.33073595957151114</v>
      </c>
      <c r="X114">
        <f t="shared" si="117"/>
        <v>0.44468543791756743</v>
      </c>
      <c r="Y114">
        <f t="shared" si="118"/>
        <v>6.8428481614491263E-2</v>
      </c>
      <c r="AA114">
        <f t="shared" si="119"/>
        <v>0.12476087208971468</v>
      </c>
      <c r="AB114">
        <f t="shared" si="120"/>
        <v>0.16159057850048106</v>
      </c>
      <c r="AC114">
        <f t="shared" si="121"/>
        <v>1.3374854309256683E-2</v>
      </c>
      <c r="AE114">
        <f t="shared" si="122"/>
        <v>4.1671335927868536E-2</v>
      </c>
      <c r="AF114">
        <f t="shared" si="123"/>
        <v>5.2361265658180813E-2</v>
      </c>
      <c r="AG114">
        <f t="shared" si="124"/>
        <v>2.0714731675822149E-3</v>
      </c>
      <c r="AI114">
        <f t="shared" si="125"/>
        <v>5.2534757480683009E-2</v>
      </c>
      <c r="AJ114">
        <f t="shared" si="126"/>
        <v>0.12658723081323875</v>
      </c>
      <c r="AK114">
        <f t="shared" si="127"/>
        <v>3.7676931533350402E-2</v>
      </c>
      <c r="AO114">
        <f t="shared" si="128"/>
        <v>5.6656841318200525E-4</v>
      </c>
      <c r="AP114">
        <f t="shared" si="129"/>
        <v>0.41799240649826369</v>
      </c>
      <c r="AQ114">
        <f t="shared" si="130"/>
        <v>0.47443622543660752</v>
      </c>
      <c r="AS114">
        <f t="shared" si="131"/>
        <v>2.8052288215178551</v>
      </c>
      <c r="AT114">
        <f t="shared" si="132"/>
        <v>4.2416447711890388</v>
      </c>
      <c r="AU114">
        <f t="shared" si="133"/>
        <v>3.0113879599427014</v>
      </c>
      <c r="AW114">
        <f t="shared" si="134"/>
        <v>0.13943405556851432</v>
      </c>
      <c r="AX114">
        <f t="shared" si="135"/>
        <v>0.17008928692399375</v>
      </c>
      <c r="AY114">
        <f t="shared" si="136"/>
        <v>0.26407809181826308</v>
      </c>
      <c r="BA114">
        <f t="shared" si="137"/>
        <v>19.925469681462793</v>
      </c>
      <c r="BB114">
        <f t="shared" si="138"/>
        <v>3.5386180085862868</v>
      </c>
      <c r="BC114">
        <f t="shared" si="139"/>
        <v>0.21918836333345507</v>
      </c>
      <c r="BE114">
        <f t="shared" si="140"/>
        <v>26.654414525732161</v>
      </c>
      <c r="BF114">
        <f t="shared" si="141"/>
        <v>17.924343660536916</v>
      </c>
      <c r="BG114">
        <f t="shared" si="142"/>
        <v>11.571179119515287</v>
      </c>
      <c r="BI114">
        <f t="shared" si="143"/>
        <v>0.38687014736974573</v>
      </c>
      <c r="BJ114">
        <f t="shared" si="144"/>
        <v>5.0148298326804439E-2</v>
      </c>
      <c r="BK114">
        <f t="shared" si="145"/>
        <v>6.8018329277503356E-2</v>
      </c>
      <c r="BM114">
        <f t="shared" si="146"/>
        <v>8.7214250399962889E-2</v>
      </c>
      <c r="BN114">
        <f t="shared" si="147"/>
        <v>0.1238657930272833</v>
      </c>
      <c r="BO114">
        <f t="shared" si="148"/>
        <v>2.3981747254108645E-2</v>
      </c>
      <c r="BQ114">
        <f t="shared" si="149"/>
        <v>1.5698772355211901E-2</v>
      </c>
      <c r="BR114">
        <f t="shared" si="150"/>
        <v>3.6784737700237574E-2</v>
      </c>
      <c r="BS114">
        <f t="shared" si="151"/>
        <v>2.810957267886239E-3</v>
      </c>
      <c r="BU114">
        <f t="shared" si="152"/>
        <v>6.4314799288146089E-3</v>
      </c>
      <c r="BV114">
        <f t="shared" si="153"/>
        <v>0.19402536063326051</v>
      </c>
      <c r="BW114">
        <f t="shared" si="154"/>
        <v>3.0671692484740966E-3</v>
      </c>
    </row>
    <row r="115" spans="3:75" x14ac:dyDescent="0.2">
      <c r="C115">
        <f t="shared" si="101"/>
        <v>9.7996601428209642E-4</v>
      </c>
      <c r="D115">
        <f t="shared" si="102"/>
        <v>9.0700418100542086E-3</v>
      </c>
      <c r="E115">
        <f t="shared" si="103"/>
        <v>6.0757457824930335E-3</v>
      </c>
      <c r="G115">
        <f t="shared" si="104"/>
        <v>4.6083261616305746</v>
      </c>
      <c r="H115">
        <f t="shared" si="105"/>
        <v>4.6157145192306634</v>
      </c>
      <c r="I115">
        <f t="shared" si="106"/>
        <v>3.3387544341830021E-2</v>
      </c>
      <c r="K115">
        <f t="shared" si="107"/>
        <v>0.17173481835339086</v>
      </c>
      <c r="L115">
        <f t="shared" si="108"/>
        <v>0.23828765530142965</v>
      </c>
      <c r="M115">
        <f t="shared" si="109"/>
        <v>1.9529364251429052E-2</v>
      </c>
      <c r="O115">
        <f t="shared" si="110"/>
        <v>30.001218200975313</v>
      </c>
      <c r="P115">
        <f t="shared" si="111"/>
        <v>5.5893906563951781</v>
      </c>
      <c r="Q115">
        <f t="shared" si="112"/>
        <v>3.2232156039008188</v>
      </c>
      <c r="S115">
        <f t="shared" si="113"/>
        <v>38.763516000142069</v>
      </c>
      <c r="T115">
        <f t="shared" si="114"/>
        <v>305.98661346455231</v>
      </c>
      <c r="U115">
        <f t="shared" si="115"/>
        <v>11.137453204876431</v>
      </c>
      <c r="W115">
        <f t="shared" si="116"/>
        <v>0.36790052083226366</v>
      </c>
      <c r="X115">
        <f t="shared" si="117"/>
        <v>0.50895965301206691</v>
      </c>
      <c r="Y115">
        <f t="shared" si="118"/>
        <v>0.10807493852631865</v>
      </c>
      <c r="AA115">
        <f t="shared" si="119"/>
        <v>0.1535601858687034</v>
      </c>
      <c r="AB115">
        <f t="shared" si="120"/>
        <v>0.20279297861494855</v>
      </c>
      <c r="AC115">
        <f t="shared" si="121"/>
        <v>1.9504316210157278E-2</v>
      </c>
      <c r="AE115">
        <f t="shared" si="122"/>
        <v>5.7376565458317132E-2</v>
      </c>
      <c r="AF115">
        <f t="shared" si="123"/>
        <v>7.2208014127964723E-2</v>
      </c>
      <c r="AG115">
        <f t="shared" si="124"/>
        <v>6.2694560589170558E-3</v>
      </c>
      <c r="AI115">
        <f t="shared" si="125"/>
        <v>7.4966314837717082E-2</v>
      </c>
      <c r="AJ115">
        <f t="shared" si="126"/>
        <v>0.25020594009971042</v>
      </c>
      <c r="AK115">
        <f t="shared" si="127"/>
        <v>4.7296411442476823E-2</v>
      </c>
      <c r="AO115">
        <f t="shared" si="128"/>
        <v>3.288681072793545E-3</v>
      </c>
      <c r="AP115">
        <f t="shared" si="129"/>
        <v>0.42701847557003347</v>
      </c>
      <c r="AQ115">
        <f t="shared" si="130"/>
        <v>0.47729383277546183</v>
      </c>
      <c r="AS115">
        <f t="shared" si="131"/>
        <v>3.8549328708600568</v>
      </c>
      <c r="AT115">
        <f t="shared" si="132"/>
        <v>5.3498587177239401</v>
      </c>
      <c r="AU115">
        <f t="shared" si="133"/>
        <v>4.3295826232679229</v>
      </c>
      <c r="AW115">
        <f t="shared" si="134"/>
        <v>0.17960197548108855</v>
      </c>
      <c r="AX115">
        <f t="shared" si="135"/>
        <v>0.2228353693485087</v>
      </c>
      <c r="AY115">
        <f t="shared" si="136"/>
        <v>0.34246220199590149</v>
      </c>
      <c r="BA115">
        <f t="shared" si="137"/>
        <v>25.893920171194182</v>
      </c>
      <c r="BB115">
        <f t="shared" si="138"/>
        <v>6.5233650818124778</v>
      </c>
      <c r="BC115">
        <f t="shared" si="139"/>
        <v>0.55711026040568867</v>
      </c>
      <c r="BE115">
        <f t="shared" si="140"/>
        <v>33.459859945146242</v>
      </c>
      <c r="BF115">
        <f t="shared" si="141"/>
        <v>28.571447368302152</v>
      </c>
      <c r="BG115">
        <f t="shared" si="142"/>
        <v>16.726250710586903</v>
      </c>
      <c r="BI115">
        <f t="shared" si="143"/>
        <v>0.44116826581651852</v>
      </c>
      <c r="BJ115">
        <f t="shared" si="144"/>
        <v>7.9553547887716014E-2</v>
      </c>
      <c r="BK115">
        <f t="shared" si="145"/>
        <v>0.11623063953356312</v>
      </c>
      <c r="BM115">
        <f t="shared" si="146"/>
        <v>0.11369962402817843</v>
      </c>
      <c r="BN115">
        <f t="shared" si="147"/>
        <v>0.16747193024402196</v>
      </c>
      <c r="BO115">
        <f t="shared" si="148"/>
        <v>3.3752822380851005E-2</v>
      </c>
      <c r="BQ115">
        <f t="shared" si="149"/>
        <v>2.7084506675961947E-2</v>
      </c>
      <c r="BR115">
        <f t="shared" si="150"/>
        <v>5.5622968253875776E-2</v>
      </c>
      <c r="BS115">
        <f t="shared" si="151"/>
        <v>8.697345807543104E-3</v>
      </c>
      <c r="BU115">
        <f t="shared" si="152"/>
        <v>1.4846119474356418E-2</v>
      </c>
      <c r="BV115">
        <f t="shared" si="153"/>
        <v>0.23015694689061564</v>
      </c>
      <c r="BW115">
        <f t="shared" si="154"/>
        <v>5.8840886872784147E-3</v>
      </c>
    </row>
    <row r="116" spans="3:75" x14ac:dyDescent="0.2">
      <c r="C116">
        <f t="shared" si="101"/>
        <v>6.3279485948571105E-3</v>
      </c>
      <c r="D116">
        <f t="shared" si="102"/>
        <v>3.9438180395411193E-2</v>
      </c>
      <c r="E116">
        <f t="shared" si="103"/>
        <v>2.069532632734955E-2</v>
      </c>
      <c r="G116">
        <f t="shared" si="104"/>
        <v>5.815617182547367</v>
      </c>
      <c r="H116">
        <f t="shared" si="105"/>
        <v>6.0288153689092256</v>
      </c>
      <c r="I116">
        <f t="shared" si="106"/>
        <v>0.10884787437462677</v>
      </c>
      <c r="K116">
        <f t="shared" si="107"/>
        <v>0.22047448202227168</v>
      </c>
      <c r="L116">
        <f t="shared" si="108"/>
        <v>0.30600168907166553</v>
      </c>
      <c r="M116">
        <f t="shared" si="109"/>
        <v>5.0157317041124361E-2</v>
      </c>
      <c r="O116">
        <f t="shared" si="110"/>
        <v>34.213732734836064</v>
      </c>
      <c r="P116">
        <f t="shared" si="111"/>
        <v>9.7043512762144051</v>
      </c>
      <c r="Q116">
        <f t="shared" si="112"/>
        <v>5.4229383084800276</v>
      </c>
      <c r="S116">
        <f t="shared" si="113"/>
        <v>44.771865907565342</v>
      </c>
      <c r="T116">
        <f t="shared" si="114"/>
        <v>420.23314775611129</v>
      </c>
      <c r="U116">
        <f t="shared" si="115"/>
        <v>13.881195065217497</v>
      </c>
      <c r="W116">
        <f t="shared" si="116"/>
        <v>0.40422990981480011</v>
      </c>
      <c r="X116">
        <f t="shared" si="117"/>
        <v>0.57177468383715724</v>
      </c>
      <c r="Y116">
        <f t="shared" si="118"/>
        <v>0.16363257788517571</v>
      </c>
      <c r="AA116">
        <f t="shared" si="119"/>
        <v>0.18016075393799799</v>
      </c>
      <c r="AB116">
        <f t="shared" si="120"/>
        <v>0.23728853582837098</v>
      </c>
      <c r="AC116">
        <f t="shared" si="121"/>
        <v>2.767688094519704E-2</v>
      </c>
      <c r="AE116">
        <f t="shared" si="122"/>
        <v>7.7173111654066665E-2</v>
      </c>
      <c r="AF116">
        <f t="shared" si="123"/>
        <v>9.7043595234987193E-2</v>
      </c>
      <c r="AG116">
        <f t="shared" si="124"/>
        <v>1.6970897138219893E-2</v>
      </c>
      <c r="AI116">
        <f t="shared" si="125"/>
        <v>0.10211532477491393</v>
      </c>
      <c r="AJ116">
        <f t="shared" si="126"/>
        <v>0.40916767184045599</v>
      </c>
      <c r="AK116">
        <f t="shared" si="127"/>
        <v>5.8480599370276817E-2</v>
      </c>
      <c r="AO116">
        <f t="shared" si="128"/>
        <v>1.58191291414281E-2</v>
      </c>
      <c r="AP116">
        <f t="shared" si="129"/>
        <v>0.435533516267401</v>
      </c>
      <c r="AQ116">
        <f t="shared" si="130"/>
        <v>0.47968993735801158</v>
      </c>
      <c r="AS116">
        <f t="shared" si="131"/>
        <v>5.1673386453823378</v>
      </c>
      <c r="AT116">
        <f t="shared" si="132"/>
        <v>6.6274796069928597</v>
      </c>
      <c r="AU116">
        <f t="shared" si="133"/>
        <v>6.0290527111604479</v>
      </c>
      <c r="AW116">
        <f t="shared" si="134"/>
        <v>0.22592629474746084</v>
      </c>
      <c r="AX116">
        <f t="shared" si="135"/>
        <v>0.28353841522763512</v>
      </c>
      <c r="AY116">
        <f t="shared" si="136"/>
        <v>0.43144255878904014</v>
      </c>
      <c r="BA116">
        <f t="shared" si="137"/>
        <v>31.623150126896551</v>
      </c>
      <c r="BB116">
        <f t="shared" si="138"/>
        <v>11.000943368285094</v>
      </c>
      <c r="BC116">
        <f t="shared" si="139"/>
        <v>1.292490997984042</v>
      </c>
      <c r="BE116">
        <f t="shared" si="140"/>
        <v>41.186615256412225</v>
      </c>
      <c r="BF116">
        <f t="shared" si="141"/>
        <v>43.224462171119526</v>
      </c>
      <c r="BG116">
        <f t="shared" si="142"/>
        <v>23.475856406659219</v>
      </c>
      <c r="BI116">
        <f t="shared" si="143"/>
        <v>0.49294530542247372</v>
      </c>
      <c r="BJ116">
        <f t="shared" si="144"/>
        <v>0.12104452837394025</v>
      </c>
      <c r="BK116">
        <f t="shared" si="145"/>
        <v>0.18785256926933233</v>
      </c>
      <c r="BM116">
        <f t="shared" si="146"/>
        <v>0.14153506934870819</v>
      </c>
      <c r="BN116">
        <f t="shared" si="147"/>
        <v>0.21040892446015458</v>
      </c>
      <c r="BO116">
        <f t="shared" si="148"/>
        <v>4.6077150744279829E-2</v>
      </c>
      <c r="BQ116">
        <f t="shared" si="149"/>
        <v>4.4706946868254965E-2</v>
      </c>
      <c r="BR116">
        <f t="shared" si="150"/>
        <v>8.1234760133124403E-2</v>
      </c>
      <c r="BS116">
        <f t="shared" si="151"/>
        <v>2.3815596425227372E-2</v>
      </c>
      <c r="BU116">
        <f t="shared" si="152"/>
        <v>3.1082267108272103E-2</v>
      </c>
      <c r="BV116">
        <f t="shared" si="153"/>
        <v>0.26139895230179616</v>
      </c>
      <c r="BW116">
        <f t="shared" si="154"/>
        <v>1.0757273038631275E-2</v>
      </c>
    </row>
    <row r="117" spans="3:75" x14ac:dyDescent="0.2">
      <c r="C117">
        <f t="shared" si="101"/>
        <v>3.2612997731469959E-2</v>
      </c>
      <c r="D117">
        <f t="shared" si="102"/>
        <v>0.14146289751235863</v>
      </c>
      <c r="E117">
        <f t="shared" si="103"/>
        <v>6.26849448536375E-2</v>
      </c>
      <c r="G117">
        <f t="shared" si="104"/>
        <v>7.2024439000428684</v>
      </c>
      <c r="H117">
        <f t="shared" si="105"/>
        <v>7.6928436002089864</v>
      </c>
      <c r="I117">
        <f t="shared" si="106"/>
        <v>0.31990996171726882</v>
      </c>
      <c r="K117">
        <f t="shared" si="107"/>
        <v>0.27574922205060987</v>
      </c>
      <c r="L117">
        <f t="shared" si="108"/>
        <v>0.38050277245347824</v>
      </c>
      <c r="M117">
        <f t="shared" si="109"/>
        <v>0.11552009171363441</v>
      </c>
      <c r="O117">
        <f t="shared" si="110"/>
        <v>36.903159546739161</v>
      </c>
      <c r="P117">
        <f t="shared" si="111"/>
        <v>15.390497287109602</v>
      </c>
      <c r="Q117">
        <f t="shared" si="112"/>
        <v>8.5575298149023098</v>
      </c>
      <c r="S117">
        <f t="shared" si="113"/>
        <v>51.033647513862931</v>
      </c>
      <c r="T117">
        <f t="shared" si="114"/>
        <v>426.02476373113694</v>
      </c>
      <c r="U117">
        <f t="shared" si="115"/>
        <v>17.086758866588234</v>
      </c>
      <c r="W117">
        <f t="shared" si="116"/>
        <v>0.43870798863810867</v>
      </c>
      <c r="X117">
        <f t="shared" si="117"/>
        <v>0.63048913670337459</v>
      </c>
      <c r="Y117">
        <f t="shared" si="118"/>
        <v>0.23750416439237113</v>
      </c>
      <c r="AA117">
        <f t="shared" si="119"/>
        <v>0.20147589160047732</v>
      </c>
      <c r="AB117">
        <f t="shared" si="120"/>
        <v>0.25887348061262128</v>
      </c>
      <c r="AC117">
        <f t="shared" si="121"/>
        <v>3.8216271092309954E-2</v>
      </c>
      <c r="AE117">
        <f t="shared" si="122"/>
        <v>0.10139856627388086</v>
      </c>
      <c r="AF117">
        <f t="shared" si="123"/>
        <v>0.1271026382947342</v>
      </c>
      <c r="AG117">
        <f t="shared" si="124"/>
        <v>4.1086971146000878E-2</v>
      </c>
      <c r="AI117">
        <f t="shared" si="125"/>
        <v>0.13277643782543275</v>
      </c>
      <c r="AJ117">
        <f t="shared" si="126"/>
        <v>0.55360625754068027</v>
      </c>
      <c r="AK117">
        <f t="shared" si="127"/>
        <v>7.122400648559446E-2</v>
      </c>
      <c r="AO117">
        <f t="shared" si="128"/>
        <v>6.3057216552065171E-2</v>
      </c>
      <c r="AP117">
        <f t="shared" si="129"/>
        <v>0.44349950496703944</v>
      </c>
      <c r="AQ117">
        <f t="shared" si="130"/>
        <v>0.48161743266407864</v>
      </c>
      <c r="AS117">
        <f t="shared" si="131"/>
        <v>6.7564506035756304</v>
      </c>
      <c r="AT117">
        <f t="shared" si="132"/>
        <v>8.0640378113710849</v>
      </c>
      <c r="AU117">
        <f t="shared" si="133"/>
        <v>8.131597180361279</v>
      </c>
      <c r="AW117">
        <f t="shared" si="134"/>
        <v>0.27754657419816359</v>
      </c>
      <c r="AX117">
        <f t="shared" si="135"/>
        <v>0.35039694287763268</v>
      </c>
      <c r="AY117">
        <f t="shared" si="136"/>
        <v>0.52803582394506166</v>
      </c>
      <c r="BA117">
        <f t="shared" si="137"/>
        <v>36.293641283483439</v>
      </c>
      <c r="BB117">
        <f t="shared" si="138"/>
        <v>16.971038414685111</v>
      </c>
      <c r="BC117">
        <f t="shared" si="139"/>
        <v>2.7370113835592238</v>
      </c>
      <c r="BE117">
        <f t="shared" si="140"/>
        <v>49.712442266030259</v>
      </c>
      <c r="BF117">
        <f t="shared" si="141"/>
        <v>62.063366947231025</v>
      </c>
      <c r="BG117">
        <f t="shared" si="142"/>
        <v>31.992350062648072</v>
      </c>
      <c r="BI117">
        <f t="shared" si="143"/>
        <v>0.53969529047447595</v>
      </c>
      <c r="BJ117">
        <f t="shared" si="144"/>
        <v>0.17664975119869944</v>
      </c>
      <c r="BK117">
        <f t="shared" si="145"/>
        <v>0.28715441364014876</v>
      </c>
      <c r="BM117">
        <f t="shared" si="146"/>
        <v>0.1682296543863524</v>
      </c>
      <c r="BN117">
        <f t="shared" si="147"/>
        <v>0.24565057153012651</v>
      </c>
      <c r="BO117">
        <f t="shared" si="148"/>
        <v>6.1010893803002293E-2</v>
      </c>
      <c r="BQ117">
        <f t="shared" si="149"/>
        <v>7.0603777708975454E-2</v>
      </c>
      <c r="BR117">
        <f t="shared" si="150"/>
        <v>0.1145858230686867</v>
      </c>
      <c r="BS117">
        <f t="shared" si="151"/>
        <v>5.7713633356446158E-2</v>
      </c>
      <c r="BU117">
        <f t="shared" si="152"/>
        <v>5.9021484660330803E-2</v>
      </c>
      <c r="BV117">
        <f t="shared" si="153"/>
        <v>0.28424822636645047</v>
      </c>
      <c r="BW117">
        <f t="shared" si="154"/>
        <v>1.8741600978221619E-2</v>
      </c>
    </row>
    <row r="118" spans="3:75" x14ac:dyDescent="0.2">
      <c r="C118">
        <f t="shared" si="101"/>
        <v>0.13415113383093891</v>
      </c>
      <c r="D118">
        <f t="shared" si="102"/>
        <v>0.41858757144051734</v>
      </c>
      <c r="E118">
        <f t="shared" si="103"/>
        <v>0.16883889534142127</v>
      </c>
      <c r="G118">
        <f t="shared" si="104"/>
        <v>8.7537759949855172</v>
      </c>
      <c r="H118">
        <f t="shared" si="105"/>
        <v>9.5896707736932285</v>
      </c>
      <c r="I118">
        <f t="shared" si="106"/>
        <v>0.84763310912674295</v>
      </c>
      <c r="K118">
        <f t="shared" si="107"/>
        <v>0.33598992113134052</v>
      </c>
      <c r="L118">
        <f t="shared" si="108"/>
        <v>0.45814563095817812</v>
      </c>
      <c r="M118">
        <f t="shared" si="109"/>
        <v>0.2385930494070459</v>
      </c>
      <c r="O118">
        <f t="shared" si="110"/>
        <v>37.646808652932897</v>
      </c>
      <c r="P118">
        <f t="shared" si="111"/>
        <v>22.295791617504566</v>
      </c>
      <c r="Q118">
        <f t="shared" si="112"/>
        <v>12.665741726227395</v>
      </c>
      <c r="S118">
        <f t="shared" si="113"/>
        <v>57.408659769150695</v>
      </c>
      <c r="T118">
        <f t="shared" si="114"/>
        <v>318.8130138577115</v>
      </c>
      <c r="U118">
        <f t="shared" si="115"/>
        <v>20.772290737646042</v>
      </c>
      <c r="W118">
        <f t="shared" si="116"/>
        <v>0.47029644589822039</v>
      </c>
      <c r="X118">
        <f t="shared" si="117"/>
        <v>0.68240376253775759</v>
      </c>
      <c r="Y118">
        <f t="shared" si="118"/>
        <v>0.33046796561042063</v>
      </c>
      <c r="AA118">
        <f t="shared" si="119"/>
        <v>0.21476688410731334</v>
      </c>
      <c r="AB118">
        <f t="shared" si="120"/>
        <v>0.26332090151264737</v>
      </c>
      <c r="AC118">
        <f t="shared" si="121"/>
        <v>5.1348081225249101E-2</v>
      </c>
      <c r="AE118">
        <f t="shared" si="122"/>
        <v>0.13014633910202142</v>
      </c>
      <c r="AF118">
        <f t="shared" si="123"/>
        <v>0.16223646098682815</v>
      </c>
      <c r="AG118">
        <f t="shared" si="124"/>
        <v>8.8966773492302254E-2</v>
      </c>
      <c r="AI118">
        <f t="shared" si="125"/>
        <v>0.164799706095242</v>
      </c>
      <c r="AJ118">
        <f t="shared" si="126"/>
        <v>0.61972162114515073</v>
      </c>
      <c r="AK118">
        <f t="shared" si="127"/>
        <v>8.5442106101396478E-2</v>
      </c>
      <c r="AO118">
        <f t="shared" si="128"/>
        <v>0.208294802601484</v>
      </c>
      <c r="AP118">
        <f t="shared" si="129"/>
        <v>0.45088038201737413</v>
      </c>
      <c r="AQ118">
        <f t="shared" si="130"/>
        <v>0.48307058468431402</v>
      </c>
      <c r="AS118">
        <f t="shared" si="131"/>
        <v>8.6173129411117344</v>
      </c>
      <c r="AT118">
        <f t="shared" si="132"/>
        <v>9.6372867052969973</v>
      </c>
      <c r="AU118">
        <f t="shared" si="133"/>
        <v>10.622490689739291</v>
      </c>
      <c r="AW118">
        <f t="shared" si="134"/>
        <v>0.33298017956006454</v>
      </c>
      <c r="AX118">
        <f t="shared" si="135"/>
        <v>0.42056132015372066</v>
      </c>
      <c r="AY118">
        <f t="shared" si="136"/>
        <v>0.62781813863325531</v>
      </c>
      <c r="BA118">
        <f t="shared" si="137"/>
        <v>39.144796775551121</v>
      </c>
      <c r="BB118">
        <f t="shared" si="138"/>
        <v>23.950089857800439</v>
      </c>
      <c r="BC118">
        <f t="shared" si="139"/>
        <v>5.2903985075120001</v>
      </c>
      <c r="BE118">
        <f t="shared" si="140"/>
        <v>58.837079733663145</v>
      </c>
      <c r="BF118">
        <f t="shared" si="141"/>
        <v>84.576448427354038</v>
      </c>
      <c r="BG118">
        <f t="shared" si="142"/>
        <v>42.332381230824353</v>
      </c>
      <c r="BI118">
        <f t="shared" si="143"/>
        <v>0.57896717962292921</v>
      </c>
      <c r="BJ118">
        <f t="shared" si="144"/>
        <v>0.24726528939135928</v>
      </c>
      <c r="BK118">
        <f t="shared" si="145"/>
        <v>0.41516018534641869</v>
      </c>
      <c r="BM118">
        <f t="shared" si="146"/>
        <v>0.19093014422647164</v>
      </c>
      <c r="BN118">
        <f t="shared" si="147"/>
        <v>0.26650348553105507</v>
      </c>
      <c r="BO118">
        <f t="shared" si="148"/>
        <v>7.8356568481176558E-2</v>
      </c>
      <c r="BQ118">
        <f t="shared" si="149"/>
        <v>0.1066791902365288</v>
      </c>
      <c r="BR118">
        <f t="shared" si="150"/>
        <v>0.15610654767056678</v>
      </c>
      <c r="BS118">
        <f t="shared" si="151"/>
        <v>0.12377632947371491</v>
      </c>
      <c r="BU118">
        <f t="shared" si="152"/>
        <v>0.10164950679765442</v>
      </c>
      <c r="BV118">
        <f t="shared" si="153"/>
        <v>0.29594148627368455</v>
      </c>
      <c r="BW118">
        <f t="shared" si="154"/>
        <v>3.1116640030363144E-2</v>
      </c>
    </row>
    <row r="119" spans="3:75" x14ac:dyDescent="0.2">
      <c r="C119">
        <f t="shared" si="101"/>
        <v>0.44042688792245294</v>
      </c>
      <c r="D119">
        <f t="shared" si="102"/>
        <v>1.0217583821292642</v>
      </c>
      <c r="E119">
        <f t="shared" si="103"/>
        <v>0.40438965826052159</v>
      </c>
      <c r="G119">
        <f t="shared" si="104"/>
        <v>10.441008405553271</v>
      </c>
      <c r="H119">
        <f t="shared" si="105"/>
        <v>11.67837367136082</v>
      </c>
      <c r="I119">
        <f t="shared" si="106"/>
        <v>2.0246986694863871</v>
      </c>
      <c r="K119">
        <f t="shared" si="107"/>
        <v>0.39883585381228781</v>
      </c>
      <c r="L119">
        <f t="shared" si="108"/>
        <v>0.53414724797123703</v>
      </c>
      <c r="M119">
        <f t="shared" si="109"/>
        <v>0.44191127878761227</v>
      </c>
      <c r="O119">
        <f t="shared" si="110"/>
        <v>36.324053436070734</v>
      </c>
      <c r="P119">
        <f t="shared" si="111"/>
        <v>29.503751445837899</v>
      </c>
      <c r="Q119">
        <f t="shared" si="112"/>
        <v>17.58252666525004</v>
      </c>
      <c r="S119">
        <f t="shared" si="113"/>
        <v>63.733473738948746</v>
      </c>
      <c r="T119">
        <f t="shared" si="114"/>
        <v>176.11400608134002</v>
      </c>
      <c r="U119">
        <f t="shared" si="115"/>
        <v>24.94025921784424</v>
      </c>
      <c r="W119">
        <f t="shared" si="116"/>
        <v>0.49798573989492345</v>
      </c>
      <c r="X119">
        <f t="shared" si="117"/>
        <v>0.72496382505268608</v>
      </c>
      <c r="Y119">
        <f t="shared" si="118"/>
        <v>0.44080263936647612</v>
      </c>
      <c r="AA119">
        <f t="shared" si="119"/>
        <v>0.21821916042672548</v>
      </c>
      <c r="AB119">
        <f t="shared" si="120"/>
        <v>0.249729626488151</v>
      </c>
      <c r="AC119">
        <f t="shared" si="121"/>
        <v>6.7134363714437886E-2</v>
      </c>
      <c r="AE119">
        <f t="shared" si="122"/>
        <v>0.16317981539900309</v>
      </c>
      <c r="AF119">
        <f t="shared" si="123"/>
        <v>0.20181273768777247</v>
      </c>
      <c r="AG119">
        <f t="shared" si="124"/>
        <v>0.17229629617320044</v>
      </c>
      <c r="AI119">
        <f t="shared" si="125"/>
        <v>0.19525276032305663</v>
      </c>
      <c r="AJ119">
        <f t="shared" si="126"/>
        <v>0.57396880146909868</v>
      </c>
      <c r="AK119">
        <f t="shared" si="127"/>
        <v>0.100959792695825</v>
      </c>
      <c r="AO119">
        <f t="shared" si="128"/>
        <v>0.57018197360884371</v>
      </c>
      <c r="AP119">
        <f t="shared" si="129"/>
        <v>0.45764232308343439</v>
      </c>
      <c r="AQ119">
        <f t="shared" si="130"/>
        <v>0.48404506034016492</v>
      </c>
      <c r="AS119">
        <f t="shared" si="131"/>
        <v>10.720787819493113</v>
      </c>
      <c r="AT119">
        <f t="shared" si="132"/>
        <v>11.312408291434275</v>
      </c>
      <c r="AU119">
        <f t="shared" si="133"/>
        <v>13.440040840046569</v>
      </c>
      <c r="AW119">
        <f t="shared" si="134"/>
        <v>0.39013446298766069</v>
      </c>
      <c r="AX119">
        <f t="shared" si="135"/>
        <v>0.49025153738349347</v>
      </c>
      <c r="AY119">
        <f t="shared" si="136"/>
        <v>0.72516092922201603</v>
      </c>
      <c r="BA119">
        <f t="shared" si="137"/>
        <v>39.676707934051436</v>
      </c>
      <c r="BB119">
        <f t="shared" si="138"/>
        <v>30.919048533679856</v>
      </c>
      <c r="BC119">
        <f t="shared" si="139"/>
        <v>9.3338942769436066</v>
      </c>
      <c r="BE119">
        <f t="shared" si="140"/>
        <v>68.283241827895679</v>
      </c>
      <c r="BF119">
        <f t="shared" si="141"/>
        <v>109.38856703265579</v>
      </c>
      <c r="BG119">
        <f t="shared" si="142"/>
        <v>54.387752237649103</v>
      </c>
      <c r="BI119">
        <f t="shared" si="143"/>
        <v>0.60857580986255955</v>
      </c>
      <c r="BJ119">
        <f t="shared" si="144"/>
        <v>0.33196747724757592</v>
      </c>
      <c r="BK119">
        <f t="shared" si="145"/>
        <v>0.56769849532969607</v>
      </c>
      <c r="BM119">
        <f t="shared" si="146"/>
        <v>0.20690924965789409</v>
      </c>
      <c r="BN119">
        <f t="shared" si="147"/>
        <v>0.268670200845045</v>
      </c>
      <c r="BO119">
        <f t="shared" si="148"/>
        <v>9.7608958526330655E-2</v>
      </c>
      <c r="BQ119">
        <f t="shared" si="149"/>
        <v>0.15421631682103842</v>
      </c>
      <c r="BR119">
        <f t="shared" si="150"/>
        <v>0.2054057489192827</v>
      </c>
      <c r="BS119">
        <f t="shared" si="151"/>
        <v>0.23493028908083452</v>
      </c>
      <c r="BU119">
        <f t="shared" si="152"/>
        <v>0.15878085136421913</v>
      </c>
      <c r="BV119">
        <f t="shared" si="153"/>
        <v>0.29500413530758274</v>
      </c>
      <c r="BW119">
        <f t="shared" si="154"/>
        <v>4.9233444103515163E-2</v>
      </c>
    </row>
    <row r="120" spans="3:75" x14ac:dyDescent="0.2">
      <c r="C120">
        <f t="shared" si="101"/>
        <v>1.1540620269200896</v>
      </c>
      <c r="D120">
        <f t="shared" si="102"/>
        <v>2.0574447850621858</v>
      </c>
      <c r="E120">
        <f t="shared" si="103"/>
        <v>0.86128297707749291</v>
      </c>
      <c r="G120">
        <f t="shared" si="104"/>
        <v>12.221399290016073</v>
      </c>
      <c r="H120">
        <f t="shared" si="105"/>
        <v>13.893859798568675</v>
      </c>
      <c r="I120">
        <f t="shared" si="106"/>
        <v>4.3599872537273328</v>
      </c>
      <c r="K120">
        <f t="shared" si="107"/>
        <v>0.46123061305106849</v>
      </c>
      <c r="L120">
        <f t="shared" si="108"/>
        <v>0.60301784318092999</v>
      </c>
      <c r="M120">
        <f t="shared" si="109"/>
        <v>0.73398877762544557</v>
      </c>
      <c r="O120">
        <f t="shared" si="110"/>
        <v>33.148354034992543</v>
      </c>
      <c r="P120">
        <f t="shared" si="111"/>
        <v>35.662820251809499</v>
      </c>
      <c r="Q120">
        <f t="shared" si="112"/>
        <v>22.892877877747768</v>
      </c>
      <c r="S120">
        <f t="shared" si="113"/>
        <v>69.827606364628608</v>
      </c>
      <c r="T120">
        <f t="shared" si="114"/>
        <v>71.813883040220375</v>
      </c>
      <c r="U120">
        <f t="shared" si="115"/>
        <v>29.573954615640226</v>
      </c>
      <c r="W120">
        <f t="shared" si="116"/>
        <v>0.52084820592876357</v>
      </c>
      <c r="X120">
        <f t="shared" si="117"/>
        <v>0.75596620096150402</v>
      </c>
      <c r="Y120">
        <f t="shared" si="118"/>
        <v>0.56365801513791491</v>
      </c>
      <c r="AA120">
        <f t="shared" si="119"/>
        <v>0.21134879643270144</v>
      </c>
      <c r="AB120">
        <f t="shared" si="120"/>
        <v>0.22082170860801806</v>
      </c>
      <c r="AC120">
        <f t="shared" si="121"/>
        <v>8.541030678332974E-2</v>
      </c>
      <c r="AE120">
        <f t="shared" si="122"/>
        <v>0.19986431427549942</v>
      </c>
      <c r="AF120">
        <f t="shared" si="123"/>
        <v>0.24465545002150893</v>
      </c>
      <c r="AG120">
        <f t="shared" si="124"/>
        <v>0.29843408951902078</v>
      </c>
      <c r="AI120">
        <f t="shared" si="125"/>
        <v>0.22082246901468403</v>
      </c>
      <c r="AJ120">
        <f t="shared" si="126"/>
        <v>0.43982094303329905</v>
      </c>
      <c r="AK120">
        <f t="shared" si="127"/>
        <v>0.11750488330930396</v>
      </c>
      <c r="AO120">
        <f t="shared" si="128"/>
        <v>1.2934211092037795</v>
      </c>
      <c r="AP120">
        <f t="shared" si="129"/>
        <v>0.46375399699639641</v>
      </c>
      <c r="AQ120">
        <f t="shared" si="130"/>
        <v>0.48453794901096381</v>
      </c>
      <c r="AS120">
        <f t="shared" si="131"/>
        <v>13.010174267049988</v>
      </c>
      <c r="AT120">
        <f t="shared" si="132"/>
        <v>13.042277367655393</v>
      </c>
      <c r="AU120">
        <f t="shared" si="133"/>
        <v>16.470187544236332</v>
      </c>
      <c r="AW120">
        <f t="shared" si="134"/>
        <v>0.44639946907877753</v>
      </c>
      <c r="AX120">
        <f t="shared" si="135"/>
        <v>0.55504630943813604</v>
      </c>
      <c r="AY120">
        <f t="shared" si="136"/>
        <v>0.81370128375556783</v>
      </c>
      <c r="BA120">
        <f t="shared" si="137"/>
        <v>37.793342742313477</v>
      </c>
      <c r="BB120">
        <f t="shared" si="138"/>
        <v>36.514498301834294</v>
      </c>
      <c r="BC120">
        <f t="shared" si="139"/>
        <v>15.031422236423564</v>
      </c>
      <c r="BE120">
        <f t="shared" si="140"/>
        <v>77.705930749466546</v>
      </c>
      <c r="BF120">
        <f t="shared" si="141"/>
        <v>134.27736174609174</v>
      </c>
      <c r="BG120">
        <f t="shared" si="142"/>
        <v>67.847113999569785</v>
      </c>
      <c r="BI120">
        <f t="shared" si="143"/>
        <v>0.6268026872489938</v>
      </c>
      <c r="BJ120">
        <f t="shared" si="144"/>
        <v>0.4274744661578963</v>
      </c>
      <c r="BK120">
        <f t="shared" si="145"/>
        <v>0.73421226280072549</v>
      </c>
      <c r="BM120">
        <f t="shared" si="146"/>
        <v>0.21410103569832067</v>
      </c>
      <c r="BN120">
        <f t="shared" si="147"/>
        <v>0.25169094916964857</v>
      </c>
      <c r="BO120">
        <f t="shared" si="148"/>
        <v>0.11793703332075375</v>
      </c>
      <c r="BQ120">
        <f t="shared" si="149"/>
        <v>0.21329456403039562</v>
      </c>
      <c r="BR120">
        <f t="shared" si="150"/>
        <v>0.26103895019981926</v>
      </c>
      <c r="BS120">
        <f t="shared" si="151"/>
        <v>0.39462323831594337</v>
      </c>
      <c r="BU120">
        <f t="shared" si="152"/>
        <v>0.22495139006242817</v>
      </c>
      <c r="BV120">
        <f t="shared" si="153"/>
        <v>0.28155582929710687</v>
      </c>
      <c r="BW120">
        <f t="shared" si="154"/>
        <v>7.4235092314881804E-2</v>
      </c>
    </row>
    <row r="121" spans="3:75" x14ac:dyDescent="0.2">
      <c r="C121">
        <f t="shared" si="101"/>
        <v>2.4135723816441534</v>
      </c>
      <c r="D121">
        <f t="shared" si="102"/>
        <v>3.4176396440660723</v>
      </c>
      <c r="E121">
        <f t="shared" si="103"/>
        <v>1.6312103611132773</v>
      </c>
      <c r="G121">
        <f t="shared" si="104"/>
        <v>14.038829281368017</v>
      </c>
      <c r="H121">
        <f t="shared" si="105"/>
        <v>16.148245091675669</v>
      </c>
      <c r="I121">
        <f t="shared" si="106"/>
        <v>8.4641310453782381</v>
      </c>
      <c r="K121">
        <f t="shared" si="107"/>
        <v>0.5196345819083964</v>
      </c>
      <c r="L121">
        <f t="shared" si="108"/>
        <v>0.65919067157641364</v>
      </c>
      <c r="M121">
        <f t="shared" si="109"/>
        <v>1.0932532798386974</v>
      </c>
      <c r="O121">
        <f t="shared" si="110"/>
        <v>28.61087597663316</v>
      </c>
      <c r="P121">
        <f t="shared" si="111"/>
        <v>39.376601326078955</v>
      </c>
      <c r="Q121">
        <f t="shared" si="112"/>
        <v>27.956831459416371</v>
      </c>
      <c r="S121">
        <f t="shared" si="113"/>
        <v>75.5015909947913</v>
      </c>
      <c r="T121">
        <f t="shared" si="114"/>
        <v>21.616211582504402</v>
      </c>
      <c r="U121">
        <f t="shared" si="115"/>
        <v>34.634562787614875</v>
      </c>
      <c r="W121">
        <f t="shared" si="116"/>
        <v>0.5380894713636698</v>
      </c>
      <c r="X121">
        <f t="shared" si="117"/>
        <v>0.77374800127217658</v>
      </c>
      <c r="Y121">
        <f t="shared" si="118"/>
        <v>0.69094562157924155</v>
      </c>
      <c r="AA121">
        <f t="shared" si="119"/>
        <v>0.19511381098342612</v>
      </c>
      <c r="AB121">
        <f t="shared" si="120"/>
        <v>0.18205408497482445</v>
      </c>
      <c r="AC121">
        <f t="shared" si="121"/>
        <v>0.10573540511163391</v>
      </c>
      <c r="AE121">
        <f t="shared" si="122"/>
        <v>0.2391323971758913</v>
      </c>
      <c r="AF121">
        <f t="shared" si="123"/>
        <v>0.28904630805531639</v>
      </c>
      <c r="AG121">
        <f t="shared" si="124"/>
        <v>0.46232279434948004</v>
      </c>
      <c r="AI121">
        <f t="shared" si="125"/>
        <v>0.23839364293147394</v>
      </c>
      <c r="AJ121">
        <f t="shared" si="126"/>
        <v>0.27884284466767134</v>
      </c>
      <c r="AK121">
        <f t="shared" si="127"/>
        <v>0.13470829556248501</v>
      </c>
      <c r="AO121">
        <f t="shared" si="128"/>
        <v>2.4314078719601766</v>
      </c>
      <c r="AP121">
        <f t="shared" si="129"/>
        <v>0.46918680736147256</v>
      </c>
      <c r="AQ121">
        <f t="shared" si="130"/>
        <v>0.48454777701846141</v>
      </c>
      <c r="AS121">
        <f t="shared" si="131"/>
        <v>15.400722801439334</v>
      </c>
      <c r="AT121">
        <f t="shared" si="132"/>
        <v>14.768958189087243</v>
      </c>
      <c r="AU121">
        <f t="shared" si="133"/>
        <v>19.548805574367091</v>
      </c>
      <c r="AW121">
        <f t="shared" si="134"/>
        <v>0.49882296975160134</v>
      </c>
      <c r="AX121">
        <f t="shared" si="135"/>
        <v>0.61032350012136183</v>
      </c>
      <c r="AY121">
        <f t="shared" si="136"/>
        <v>0.88700419152877741</v>
      </c>
      <c r="BA121">
        <f t="shared" si="137"/>
        <v>33.830862429819994</v>
      </c>
      <c r="BB121">
        <f t="shared" si="138"/>
        <v>39.447982607713044</v>
      </c>
      <c r="BC121">
        <f t="shared" si="139"/>
        <v>22.095303845157673</v>
      </c>
      <c r="BE121">
        <f t="shared" si="140"/>
        <v>86.710404989652602</v>
      </c>
      <c r="BF121">
        <f t="shared" si="141"/>
        <v>156.43792387312982</v>
      </c>
      <c r="BG121">
        <f t="shared" si="142"/>
        <v>82.179501752461121</v>
      </c>
      <c r="BI121">
        <f t="shared" si="143"/>
        <v>0.63256103633995175</v>
      </c>
      <c r="BJ121">
        <f t="shared" si="144"/>
        <v>0.52796736296677982</v>
      </c>
      <c r="BK121">
        <f t="shared" si="145"/>
        <v>0.89810552719737968</v>
      </c>
      <c r="BM121">
        <f t="shared" si="146"/>
        <v>0.21153931212789009</v>
      </c>
      <c r="BN121">
        <f t="shared" si="147"/>
        <v>0.21910242745039168</v>
      </c>
      <c r="BO121">
        <f t="shared" si="148"/>
        <v>0.13821556983363323</v>
      </c>
      <c r="BQ121">
        <f t="shared" si="149"/>
        <v>0.28224619286466029</v>
      </c>
      <c r="BR121">
        <f t="shared" si="150"/>
        <v>0.32040499533795824</v>
      </c>
      <c r="BS121">
        <f t="shared" si="151"/>
        <v>0.58663575431609383</v>
      </c>
      <c r="BU121">
        <f t="shared" si="152"/>
        <v>0.28905264021703753</v>
      </c>
      <c r="BV121">
        <f t="shared" si="153"/>
        <v>0.25728538028486181</v>
      </c>
      <c r="BW121">
        <f t="shared" si="154"/>
        <v>0.10666938752638171</v>
      </c>
    </row>
    <row r="122" spans="3:75" x14ac:dyDescent="0.2">
      <c r="C122">
        <f t="shared" si="101"/>
        <v>4.0287224951109142</v>
      </c>
      <c r="D122">
        <f t="shared" si="102"/>
        <v>4.6831972326930753</v>
      </c>
      <c r="E122">
        <f t="shared" si="103"/>
        <v>2.7472131940533848</v>
      </c>
      <c r="G122">
        <f t="shared" si="104"/>
        <v>15.826042364118047</v>
      </c>
      <c r="H122">
        <f t="shared" si="105"/>
        <v>18.335367869001885</v>
      </c>
      <c r="I122">
        <f t="shared" si="106"/>
        <v>14.813301921857416</v>
      </c>
      <c r="K122">
        <f t="shared" si="107"/>
        <v>0.57034016367023099</v>
      </c>
      <c r="L122">
        <f t="shared" si="108"/>
        <v>0.69775613672866132</v>
      </c>
      <c r="M122">
        <f t="shared" si="109"/>
        <v>1.4602566527916279</v>
      </c>
      <c r="O122">
        <f t="shared" si="110"/>
        <v>23.356182731904951</v>
      </c>
      <c r="P122">
        <f t="shared" si="111"/>
        <v>39.714113486538217</v>
      </c>
      <c r="Q122">
        <f t="shared" si="112"/>
        <v>32.0216683313012</v>
      </c>
      <c r="S122">
        <f t="shared" si="113"/>
        <v>80.566488425930331</v>
      </c>
      <c r="T122">
        <f t="shared" si="114"/>
        <v>4.8029427931695423</v>
      </c>
      <c r="U122">
        <f t="shared" si="115"/>
        <v>40.059164376461908</v>
      </c>
      <c r="W122">
        <f t="shared" si="116"/>
        <v>0.54909422008367426</v>
      </c>
      <c r="X122">
        <f t="shared" si="117"/>
        <v>0.77733428046252839</v>
      </c>
      <c r="Y122">
        <f t="shared" si="118"/>
        <v>0.81194896515339976</v>
      </c>
      <c r="AA122">
        <f t="shared" si="119"/>
        <v>0.17169497253977625</v>
      </c>
      <c r="AB122">
        <f t="shared" si="120"/>
        <v>0.13994134846868186</v>
      </c>
      <c r="AC122">
        <f t="shared" si="121"/>
        <v>0.12737240011530548</v>
      </c>
      <c r="AE122">
        <f t="shared" si="122"/>
        <v>0.27949620552132531</v>
      </c>
      <c r="AF122">
        <f t="shared" si="123"/>
        <v>0.33280218541513812</v>
      </c>
      <c r="AG122">
        <f t="shared" si="124"/>
        <v>0.64056996285837087</v>
      </c>
      <c r="AI122">
        <f t="shared" si="125"/>
        <v>0.24566959432170449</v>
      </c>
      <c r="AJ122">
        <f t="shared" si="126"/>
        <v>0.14626455167142446</v>
      </c>
      <c r="AK122">
        <f t="shared" si="127"/>
        <v>0.15211208767856138</v>
      </c>
      <c r="AO122">
        <f t="shared" si="128"/>
        <v>3.7876261351941092</v>
      </c>
      <c r="AP122">
        <f t="shared" si="129"/>
        <v>0.47391511531959857</v>
      </c>
      <c r="AQ122">
        <f t="shared" si="130"/>
        <v>0.48407451496792353</v>
      </c>
      <c r="AS122">
        <f t="shared" si="131"/>
        <v>17.7828215906159</v>
      </c>
      <c r="AT122">
        <f t="shared" si="132"/>
        <v>16.426474293809047</v>
      </c>
      <c r="AU122">
        <f t="shared" si="133"/>
        <v>22.473237261908576</v>
      </c>
      <c r="AW122">
        <f t="shared" si="134"/>
        <v>0.54435552920465724</v>
      </c>
      <c r="AX122">
        <f t="shared" si="135"/>
        <v>0.65179583923794238</v>
      </c>
      <c r="AY122">
        <f t="shared" si="136"/>
        <v>0.93932614282857274</v>
      </c>
      <c r="BA122">
        <f t="shared" si="137"/>
        <v>28.459608391067984</v>
      </c>
      <c r="BB122">
        <f t="shared" si="138"/>
        <v>38.985625024039486</v>
      </c>
      <c r="BC122">
        <f t="shared" si="139"/>
        <v>29.645760018613085</v>
      </c>
      <c r="BE122">
        <f t="shared" si="140"/>
        <v>94.877946263322741</v>
      </c>
      <c r="BF122">
        <f t="shared" si="141"/>
        <v>172.97751951740753</v>
      </c>
      <c r="BG122">
        <f t="shared" si="142"/>
        <v>96.649026810791838</v>
      </c>
      <c r="BI122">
        <f t="shared" si="143"/>
        <v>0.62550307413533235</v>
      </c>
      <c r="BJ122">
        <f t="shared" si="144"/>
        <v>0.62544083480798773</v>
      </c>
      <c r="BK122">
        <f t="shared" si="145"/>
        <v>1.0390464173160998</v>
      </c>
      <c r="BM122">
        <f t="shared" si="146"/>
        <v>0.1995707386256998</v>
      </c>
      <c r="BN122">
        <f t="shared" si="147"/>
        <v>0.1772385840423002</v>
      </c>
      <c r="BO122">
        <f t="shared" si="148"/>
        <v>0.15711222812666109</v>
      </c>
      <c r="BQ122">
        <f t="shared" si="149"/>
        <v>0.3573347417975663</v>
      </c>
      <c r="BR122">
        <f t="shared" si="150"/>
        <v>0.37983456855922165</v>
      </c>
      <c r="BS122">
        <f t="shared" si="151"/>
        <v>0.77178552905607534</v>
      </c>
      <c r="BU122">
        <f t="shared" si="152"/>
        <v>0.33687044051443177</v>
      </c>
      <c r="BV122">
        <f t="shared" si="153"/>
        <v>0.22510226289504293</v>
      </c>
      <c r="BW122">
        <f t="shared" si="154"/>
        <v>0.14606691717043094</v>
      </c>
    </row>
    <row r="123" spans="3:75" x14ac:dyDescent="0.2">
      <c r="C123">
        <f t="shared" si="101"/>
        <v>5.3672302808297294</v>
      </c>
      <c r="D123">
        <f t="shared" si="102"/>
        <v>5.2939121250140388</v>
      </c>
      <c r="E123">
        <f t="shared" si="103"/>
        <v>4.1142723826392036</v>
      </c>
      <c r="G123">
        <f t="shared" si="104"/>
        <v>17.508350275379513</v>
      </c>
      <c r="H123">
        <f t="shared" si="105"/>
        <v>20.338353826726333</v>
      </c>
      <c r="I123">
        <f t="shared" si="106"/>
        <v>23.371883211140233</v>
      </c>
      <c r="K123">
        <f t="shared" si="107"/>
        <v>0.6098539695882832</v>
      </c>
      <c r="L123">
        <f t="shared" si="108"/>
        <v>0.71516787623920142</v>
      </c>
      <c r="M123">
        <f t="shared" si="109"/>
        <v>1.7490999748943505</v>
      </c>
      <c r="O123">
        <f t="shared" si="110"/>
        <v>18.033253902585248</v>
      </c>
      <c r="P123">
        <f t="shared" si="111"/>
        <v>36.587742710135686</v>
      </c>
      <c r="Q123">
        <f t="shared" si="112"/>
        <v>34.400789641670713</v>
      </c>
      <c r="S123">
        <f t="shared" si="113"/>
        <v>84.844198173932071</v>
      </c>
      <c r="T123">
        <f t="shared" si="114"/>
        <v>0.78775633392583377</v>
      </c>
      <c r="U123">
        <f t="shared" si="115"/>
        <v>45.759991009652204</v>
      </c>
      <c r="W123">
        <f t="shared" si="116"/>
        <v>0.55346263448343869</v>
      </c>
      <c r="X123">
        <f t="shared" si="117"/>
        <v>0.766526581435368</v>
      </c>
      <c r="Y123">
        <f t="shared" si="118"/>
        <v>0.91468230503398251</v>
      </c>
      <c r="AA123">
        <f t="shared" si="119"/>
        <v>0.14401524905037061</v>
      </c>
      <c r="AB123">
        <f t="shared" si="120"/>
        <v>0.10029485265267776</v>
      </c>
      <c r="AC123">
        <f t="shared" si="121"/>
        <v>0.14930521539252312</v>
      </c>
      <c r="AE123">
        <f t="shared" si="122"/>
        <v>0.3191153934896554</v>
      </c>
      <c r="AF123">
        <f t="shared" si="123"/>
        <v>0.37343164995510492</v>
      </c>
      <c r="AG123">
        <f t="shared" si="124"/>
        <v>0.79380205985932795</v>
      </c>
      <c r="AI123">
        <f t="shared" si="125"/>
        <v>0.24166484425222093</v>
      </c>
      <c r="AJ123">
        <f t="shared" si="126"/>
        <v>6.3476744385581721E-2</v>
      </c>
      <c r="AK123">
        <f t="shared" si="127"/>
        <v>0.16918586371705416</v>
      </c>
      <c r="AO123">
        <f t="shared" si="128"/>
        <v>4.8895377444752812</v>
      </c>
      <c r="AP123">
        <f t="shared" si="129"/>
        <v>0.47791644103621644</v>
      </c>
      <c r="AQ123">
        <f t="shared" si="130"/>
        <v>0.48311957789461057</v>
      </c>
      <c r="AS123">
        <f t="shared" si="131"/>
        <v>20.029117569195378</v>
      </c>
      <c r="AT123">
        <f t="shared" si="132"/>
        <v>17.944729831064045</v>
      </c>
      <c r="AU123">
        <f t="shared" si="133"/>
        <v>25.022734807833235</v>
      </c>
      <c r="AW123">
        <f t="shared" si="134"/>
        <v>0.58013925675731237</v>
      </c>
      <c r="AX123">
        <f t="shared" si="135"/>
        <v>0.67605759044210079</v>
      </c>
      <c r="AY123">
        <f t="shared" si="136"/>
        <v>0.96635614706255302</v>
      </c>
      <c r="BA123">
        <f t="shared" si="137"/>
        <v>22.498981475061129</v>
      </c>
      <c r="BB123">
        <f t="shared" si="138"/>
        <v>35.245562631795579</v>
      </c>
      <c r="BC123">
        <f t="shared" si="139"/>
        <v>36.30679440792391</v>
      </c>
      <c r="BE123">
        <f t="shared" si="140"/>
        <v>101.79732099952632</v>
      </c>
      <c r="BF123">
        <f t="shared" si="141"/>
        <v>181.52885314035584</v>
      </c>
      <c r="BG123">
        <f t="shared" si="142"/>
        <v>110.36549700601518</v>
      </c>
      <c r="BI123">
        <f t="shared" si="143"/>
        <v>0.60605478313645555</v>
      </c>
      <c r="BJ123">
        <f t="shared" si="144"/>
        <v>0.71063672291815649</v>
      </c>
      <c r="BK123">
        <f t="shared" si="145"/>
        <v>1.1369578746693456</v>
      </c>
      <c r="BM123">
        <f t="shared" si="146"/>
        <v>0.17977781543260216</v>
      </c>
      <c r="BN123">
        <f t="shared" si="147"/>
        <v>0.13322963756762574</v>
      </c>
      <c r="BO123">
        <f t="shared" si="148"/>
        <v>0.17322447604102786</v>
      </c>
      <c r="BQ123">
        <f t="shared" si="149"/>
        <v>0.43283386919672245</v>
      </c>
      <c r="BR123">
        <f t="shared" si="150"/>
        <v>0.43490153481734978</v>
      </c>
      <c r="BS123">
        <f t="shared" si="151"/>
        <v>0.89860113637003536</v>
      </c>
      <c r="BU123">
        <f t="shared" si="152"/>
        <v>0.35607917315974547</v>
      </c>
      <c r="BV123">
        <f t="shared" si="153"/>
        <v>0.18856399853897765</v>
      </c>
      <c r="BW123">
        <f t="shared" si="154"/>
        <v>0.19060989340380216</v>
      </c>
    </row>
    <row r="124" spans="3:75" x14ac:dyDescent="0.2">
      <c r="C124">
        <f t="shared" si="101"/>
        <v>5.7070142147989538</v>
      </c>
      <c r="D124">
        <f t="shared" si="102"/>
        <v>4.9366132845247526</v>
      </c>
      <c r="E124">
        <f t="shared" si="103"/>
        <v>5.479135010561941</v>
      </c>
      <c r="G124">
        <f t="shared" si="104"/>
        <v>19.008576757534968</v>
      </c>
      <c r="H124">
        <f t="shared" si="105"/>
        <v>22.039606915769451</v>
      </c>
      <c r="I124">
        <f t="shared" si="106"/>
        <v>33.243586922918446</v>
      </c>
      <c r="K124">
        <f t="shared" si="107"/>
        <v>0.63529252177433615</v>
      </c>
      <c r="L124">
        <f t="shared" si="108"/>
        <v>0.70978048515447445</v>
      </c>
      <c r="M124">
        <f t="shared" si="109"/>
        <v>1.8787851075365269</v>
      </c>
      <c r="O124">
        <f t="shared" si="110"/>
        <v>13.168850095177211</v>
      </c>
      <c r="P124">
        <f t="shared" si="111"/>
        <v>30.790054688367508</v>
      </c>
      <c r="Q124">
        <f t="shared" si="112"/>
        <v>34.662614573380324</v>
      </c>
      <c r="S124">
        <f t="shared" si="113"/>
        <v>88.17779768595156</v>
      </c>
      <c r="T124">
        <f t="shared" si="114"/>
        <v>9.5374670893577332E-2</v>
      </c>
      <c r="U124">
        <f t="shared" si="115"/>
        <v>51.625211473857661</v>
      </c>
      <c r="W124">
        <f t="shared" si="116"/>
        <v>0.55103450641882423</v>
      </c>
      <c r="X124">
        <f t="shared" si="117"/>
        <v>0.74192112663387177</v>
      </c>
      <c r="Y124">
        <f t="shared" si="118"/>
        <v>0.98779882180741718</v>
      </c>
      <c r="AA124">
        <f t="shared" si="119"/>
        <v>0.11514384166813002</v>
      </c>
      <c r="AB124">
        <f t="shared" si="120"/>
        <v>6.7019039426714153E-2</v>
      </c>
      <c r="AC124">
        <f t="shared" si="121"/>
        <v>0.17030185220972707</v>
      </c>
      <c r="AE124">
        <f t="shared" si="122"/>
        <v>0.35592126096812432</v>
      </c>
      <c r="AF124">
        <f t="shared" si="123"/>
        <v>0.40835914757503172</v>
      </c>
      <c r="AG124">
        <f t="shared" si="124"/>
        <v>0.87979656184145771</v>
      </c>
      <c r="AI124">
        <f t="shared" si="125"/>
        <v>0.22692423216899146</v>
      </c>
      <c r="AJ124">
        <f t="shared" si="126"/>
        <v>2.2792196738351932E-2</v>
      </c>
      <c r="AK124">
        <f t="shared" si="127"/>
        <v>0.18535119014513804</v>
      </c>
      <c r="AO124">
        <f t="shared" si="128"/>
        <v>5.2307012199425644</v>
      </c>
      <c r="AP124">
        <f t="shared" si="129"/>
        <v>0.48117164170224386</v>
      </c>
      <c r="AQ124">
        <f t="shared" si="130"/>
        <v>0.48168581821461953</v>
      </c>
      <c r="AS124">
        <f t="shared" si="131"/>
        <v>22.005160341620954</v>
      </c>
      <c r="AT124">
        <f t="shared" si="132"/>
        <v>19.254292200000805</v>
      </c>
      <c r="AU124">
        <f t="shared" si="133"/>
        <v>26.985323975639844</v>
      </c>
      <c r="AW124">
        <f t="shared" si="134"/>
        <v>0.60380303354368514</v>
      </c>
      <c r="AX124">
        <f t="shared" si="135"/>
        <v>0.68104595949980162</v>
      </c>
      <c r="AY124">
        <f t="shared" si="136"/>
        <v>0.9658019638300086</v>
      </c>
      <c r="BA124">
        <f t="shared" si="137"/>
        <v>16.715327267933194</v>
      </c>
      <c r="BB124">
        <f t="shared" si="138"/>
        <v>29.1490655740857</v>
      </c>
      <c r="BC124">
        <f t="shared" si="139"/>
        <v>40.58596999882694</v>
      </c>
      <c r="BE124">
        <f t="shared" si="140"/>
        <v>107.09875815551949</v>
      </c>
      <c r="BF124">
        <f t="shared" si="141"/>
        <v>180.80483505163409</v>
      </c>
      <c r="BG124">
        <f t="shared" si="142"/>
        <v>122.36888925376489</v>
      </c>
      <c r="BI124">
        <f t="shared" si="143"/>
        <v>0.57537334856539502</v>
      </c>
      <c r="BJ124">
        <f t="shared" si="144"/>
        <v>0.77444631505690342</v>
      </c>
      <c r="BK124">
        <f t="shared" si="145"/>
        <v>1.1766726076789407</v>
      </c>
      <c r="BM124">
        <f t="shared" si="146"/>
        <v>0.15463535302729159</v>
      </c>
      <c r="BN124">
        <f t="shared" si="147"/>
        <v>9.30625424388173E-2</v>
      </c>
      <c r="BO124">
        <f t="shared" si="148"/>
        <v>0.18524853177239484</v>
      </c>
      <c r="BQ124">
        <f t="shared" si="149"/>
        <v>0.50160987301533444</v>
      </c>
      <c r="BR124">
        <f t="shared" si="150"/>
        <v>0.48093749617933573</v>
      </c>
      <c r="BS124">
        <f t="shared" si="151"/>
        <v>0.92593292072789679</v>
      </c>
      <c r="BU124">
        <f t="shared" si="152"/>
        <v>0.3413720385761842</v>
      </c>
      <c r="BV124">
        <f t="shared" si="153"/>
        <v>0.15123484416417834</v>
      </c>
      <c r="BW124">
        <f t="shared" si="154"/>
        <v>0.2370393933305889</v>
      </c>
    </row>
    <row r="125" spans="3:75" x14ac:dyDescent="0.2">
      <c r="C125">
        <f t="shared" si="101"/>
        <v>4.8433240717618284</v>
      </c>
      <c r="D125">
        <f t="shared" si="102"/>
        <v>3.7975157785021834</v>
      </c>
      <c r="E125">
        <f t="shared" si="103"/>
        <v>6.4885737913383981</v>
      </c>
      <c r="G125">
        <f t="shared" si="104"/>
        <v>20.252817379098619</v>
      </c>
      <c r="H125">
        <f t="shared" si="105"/>
        <v>23.332096590828545</v>
      </c>
      <c r="I125">
        <f t="shared" si="106"/>
        <v>42.627943734767747</v>
      </c>
      <c r="K125">
        <f t="shared" si="107"/>
        <v>0.64472961613603363</v>
      </c>
      <c r="L125">
        <f t="shared" si="108"/>
        <v>0.68210594158398474</v>
      </c>
      <c r="M125">
        <f t="shared" si="109"/>
        <v>1.8097418101775982</v>
      </c>
      <c r="O125">
        <f t="shared" si="110"/>
        <v>9.0954278676402645</v>
      </c>
      <c r="P125">
        <f t="shared" si="111"/>
        <v>23.668427457570854</v>
      </c>
      <c r="Q125">
        <f t="shared" si="112"/>
        <v>32.758399469812041</v>
      </c>
      <c r="S125">
        <f t="shared" si="113"/>
        <v>90.441077763276837</v>
      </c>
      <c r="T125">
        <f t="shared" si="114"/>
        <v>8.5237530644718621E-3</v>
      </c>
      <c r="U125">
        <f t="shared" si="115"/>
        <v>57.521423542797713</v>
      </c>
      <c r="W125">
        <f t="shared" si="116"/>
        <v>0.54189898980389239</v>
      </c>
      <c r="X125">
        <f t="shared" si="117"/>
        <v>0.70485433519204543</v>
      </c>
      <c r="Y125">
        <f t="shared" si="118"/>
        <v>1.0226414966348019</v>
      </c>
      <c r="AA125">
        <f t="shared" si="119"/>
        <v>8.775144664331766E-2</v>
      </c>
      <c r="AB125">
        <f t="shared" si="120"/>
        <v>4.1754637443596768E-2</v>
      </c>
      <c r="AC125">
        <f t="shared" si="121"/>
        <v>0.18902032759069537</v>
      </c>
      <c r="AE125">
        <f t="shared" si="122"/>
        <v>0.38778807315616204</v>
      </c>
      <c r="AF125">
        <f t="shared" si="123"/>
        <v>0.43519075888361558</v>
      </c>
      <c r="AG125">
        <f t="shared" si="124"/>
        <v>0.8721208852899297</v>
      </c>
      <c r="AI125">
        <f t="shared" si="125"/>
        <v>0.20340124276612909</v>
      </c>
      <c r="AJ125">
        <f t="shared" si="126"/>
        <v>6.7710139106159552E-3</v>
      </c>
      <c r="AK125">
        <f t="shared" si="127"/>
        <v>0.20001273354153143</v>
      </c>
      <c r="AO125">
        <f t="shared" si="128"/>
        <v>4.6370677000679867</v>
      </c>
      <c r="AP125">
        <f t="shared" si="129"/>
        <v>0.48366506407539223</v>
      </c>
      <c r="AQ125">
        <f t="shared" si="130"/>
        <v>0.47977751152923315</v>
      </c>
      <c r="AS125">
        <f t="shared" si="131"/>
        <v>23.582445320400424</v>
      </c>
      <c r="AT125">
        <f t="shared" si="132"/>
        <v>20.291598514638633</v>
      </c>
      <c r="AU125">
        <f t="shared" si="133"/>
        <v>28.186699555483468</v>
      </c>
      <c r="AW125">
        <f t="shared" si="134"/>
        <v>0.61372207925416289</v>
      </c>
      <c r="AX125">
        <f t="shared" si="135"/>
        <v>0.66633061290088058</v>
      </c>
      <c r="AY125">
        <f t="shared" si="136"/>
        <v>0.93771102299428377</v>
      </c>
      <c r="BA125">
        <f t="shared" si="137"/>
        <v>11.670380004601048</v>
      </c>
      <c r="BB125">
        <f t="shared" si="138"/>
        <v>22.052867591252841</v>
      </c>
      <c r="BC125">
        <f t="shared" si="139"/>
        <v>41.412043430239464</v>
      </c>
      <c r="BE125">
        <f t="shared" si="140"/>
        <v>110.48658088351999</v>
      </c>
      <c r="BF125">
        <f t="shared" si="141"/>
        <v>170.91602890765458</v>
      </c>
      <c r="BG125">
        <f t="shared" si="142"/>
        <v>131.73784930574706</v>
      </c>
      <c r="BI125">
        <f t="shared" si="143"/>
        <v>0.53523317379695112</v>
      </c>
      <c r="BJ125">
        <f t="shared" si="144"/>
        <v>0.80950073357107422</v>
      </c>
      <c r="BK125">
        <f t="shared" si="145"/>
        <v>1.1517779435332631</v>
      </c>
      <c r="BM125">
        <f t="shared" si="146"/>
        <v>0.12700328044645842</v>
      </c>
      <c r="BN125">
        <f t="shared" si="147"/>
        <v>6.0406054738154552E-2</v>
      </c>
      <c r="BO125">
        <f t="shared" si="148"/>
        <v>0.19215272258029803</v>
      </c>
      <c r="BQ125">
        <f t="shared" si="149"/>
        <v>0.5561728179753429</v>
      </c>
      <c r="BR125">
        <f t="shared" si="150"/>
        <v>0.51367399544521042</v>
      </c>
      <c r="BS125">
        <f t="shared" si="151"/>
        <v>0.8443729595815036</v>
      </c>
      <c r="BU125">
        <f t="shared" si="152"/>
        <v>0.29682947429961826</v>
      </c>
      <c r="BV125">
        <f t="shared" si="153"/>
        <v>0.11613392750335777</v>
      </c>
      <c r="BW125">
        <f t="shared" si="154"/>
        <v>0.28091642234040742</v>
      </c>
    </row>
    <row r="126" spans="3:75" x14ac:dyDescent="0.2">
      <c r="C126">
        <f t="shared" si="101"/>
        <v>3.2806050838757854</v>
      </c>
      <c r="D126">
        <f t="shared" si="102"/>
        <v>2.4098397646017116</v>
      </c>
      <c r="E126">
        <f t="shared" si="103"/>
        <v>6.8328954976293375</v>
      </c>
      <c r="G126">
        <f t="shared" si="104"/>
        <v>21.176430832295164</v>
      </c>
      <c r="H126">
        <f t="shared" si="105"/>
        <v>24.130457842554222</v>
      </c>
      <c r="I126">
        <f t="shared" si="106"/>
        <v>49.278017497231509</v>
      </c>
      <c r="K126">
        <f t="shared" si="107"/>
        <v>0.63743732001328091</v>
      </c>
      <c r="L126">
        <f t="shared" si="108"/>
        <v>0.6347333718965108</v>
      </c>
      <c r="M126">
        <f t="shared" si="109"/>
        <v>1.5632670220380422</v>
      </c>
      <c r="O126">
        <f t="shared" si="110"/>
        <v>5.9415524794444226</v>
      </c>
      <c r="P126">
        <f t="shared" si="111"/>
        <v>16.619289304095759</v>
      </c>
      <c r="Q126">
        <f t="shared" si="112"/>
        <v>29.037049236657207</v>
      </c>
      <c r="S126">
        <f t="shared" si="113"/>
        <v>91.546468090524911</v>
      </c>
      <c r="T126">
        <f t="shared" si="114"/>
        <v>5.623223243800625E-4</v>
      </c>
      <c r="U126">
        <f t="shared" si="115"/>
        <v>63.297896189258473</v>
      </c>
      <c r="W126">
        <f t="shared" si="116"/>
        <v>0.52638916707506511</v>
      </c>
      <c r="X126">
        <f t="shared" si="117"/>
        <v>0.65728259362659791</v>
      </c>
      <c r="Y126">
        <f t="shared" si="118"/>
        <v>1.0149274543412417</v>
      </c>
      <c r="AA126">
        <f t="shared" si="119"/>
        <v>6.3745449622909317E-2</v>
      </c>
      <c r="AB126">
        <f t="shared" si="120"/>
        <v>2.4254827998550613E-2</v>
      </c>
      <c r="AC126">
        <f t="shared" si="121"/>
        <v>0.20414671630751405</v>
      </c>
      <c r="AE126">
        <f t="shared" si="122"/>
        <v>0.41273310369620303</v>
      </c>
      <c r="AF126">
        <f t="shared" si="123"/>
        <v>0.45198419836626325</v>
      </c>
      <c r="AG126">
        <f t="shared" si="124"/>
        <v>0.77320650847398265</v>
      </c>
      <c r="AI126">
        <f t="shared" si="125"/>
        <v>0.17403302107169871</v>
      </c>
      <c r="AJ126">
        <f t="shared" si="126"/>
        <v>1.6642447955853119E-3</v>
      </c>
      <c r="AK126">
        <f t="shared" si="127"/>
        <v>0.21259393561920142</v>
      </c>
      <c r="AO126">
        <f t="shared" si="128"/>
        <v>3.4065782691433659</v>
      </c>
      <c r="AP126">
        <f t="shared" si="129"/>
        <v>0.48538466986113277</v>
      </c>
      <c r="AQ126">
        <f t="shared" si="130"/>
        <v>0.47740033538165211</v>
      </c>
      <c r="AS126">
        <f t="shared" si="131"/>
        <v>24.65214491240841</v>
      </c>
      <c r="AT126">
        <f t="shared" si="132"/>
        <v>21.004049437620385</v>
      </c>
      <c r="AU126">
        <f t="shared" si="133"/>
        <v>28.515733220547745</v>
      </c>
      <c r="AW126">
        <f t="shared" si="134"/>
        <v>0.60920242802502611</v>
      </c>
      <c r="AX126">
        <f t="shared" si="135"/>
        <v>0.63317495768671272</v>
      </c>
      <c r="AY126">
        <f t="shared" si="136"/>
        <v>0.88446372353113967</v>
      </c>
      <c r="BA126">
        <f t="shared" si="137"/>
        <v>7.6572565613749655</v>
      </c>
      <c r="BB126">
        <f t="shared" si="138"/>
        <v>15.262502417232989</v>
      </c>
      <c r="BC126">
        <f t="shared" si="139"/>
        <v>38.569152709767408</v>
      </c>
      <c r="BE126">
        <f t="shared" si="140"/>
        <v>111.7664986704139</v>
      </c>
      <c r="BF126">
        <f t="shared" si="141"/>
        <v>153.34298917840087</v>
      </c>
      <c r="BG126">
        <f t="shared" si="142"/>
        <v>137.70571886516993</v>
      </c>
      <c r="BI126">
        <f t="shared" si="143"/>
        <v>0.48785608755990412</v>
      </c>
      <c r="BJ126">
        <f t="shared" si="144"/>
        <v>0.81156896946196133</v>
      </c>
      <c r="BK126">
        <f t="shared" si="145"/>
        <v>1.0663105752735902</v>
      </c>
      <c r="BM126">
        <f t="shared" si="146"/>
        <v>9.9598900603735052E-2</v>
      </c>
      <c r="BN126">
        <f t="shared" si="147"/>
        <v>3.6434895026018953E-2</v>
      </c>
      <c r="BO126">
        <f t="shared" si="148"/>
        <v>0.19332346010559617</v>
      </c>
      <c r="BQ126">
        <f t="shared" si="149"/>
        <v>0.59000037524920357</v>
      </c>
      <c r="BR126">
        <f t="shared" si="150"/>
        <v>0.52989249313969511</v>
      </c>
      <c r="BS126">
        <f t="shared" si="151"/>
        <v>0.68144582983500768</v>
      </c>
      <c r="BU126">
        <f t="shared" si="152"/>
        <v>0.23409050831398429</v>
      </c>
      <c r="BV126">
        <f t="shared" si="153"/>
        <v>8.5384793060024777E-2</v>
      </c>
      <c r="BW126">
        <f t="shared" si="154"/>
        <v>0.31725994444741262</v>
      </c>
    </row>
    <row r="127" spans="3:75" x14ac:dyDescent="0.2">
      <c r="C127">
        <f t="shared" si="101"/>
        <v>1.7735368955017252</v>
      </c>
      <c r="D127">
        <f t="shared" si="102"/>
        <v>1.2615220492331671</v>
      </c>
      <c r="E127">
        <f t="shared" si="103"/>
        <v>6.3985061824919196</v>
      </c>
      <c r="G127">
        <f t="shared" si="104"/>
        <v>21.729591051758337</v>
      </c>
      <c r="H127">
        <f t="shared" si="105"/>
        <v>24.38031058412589</v>
      </c>
      <c r="I127">
        <f t="shared" si="106"/>
        <v>51.355197985235975</v>
      </c>
      <c r="K127">
        <f t="shared" si="107"/>
        <v>0.61397875196621787</v>
      </c>
      <c r="L127">
        <f t="shared" si="108"/>
        <v>0.57192957442818848</v>
      </c>
      <c r="M127">
        <f t="shared" si="109"/>
        <v>1.2109514961350689</v>
      </c>
      <c r="O127">
        <f t="shared" si="110"/>
        <v>3.6709482678711387</v>
      </c>
      <c r="P127">
        <f t="shared" si="111"/>
        <v>10.659567690183277</v>
      </c>
      <c r="Q127">
        <f t="shared" si="112"/>
        <v>24.140748821089598</v>
      </c>
      <c r="S127">
        <f t="shared" si="113"/>
        <v>91.450659444255677</v>
      </c>
      <c r="T127">
        <f t="shared" si="114"/>
        <v>2.738397250280688E-5</v>
      </c>
      <c r="U127">
        <f t="shared" si="115"/>
        <v>68.792452813841408</v>
      </c>
      <c r="W127">
        <f t="shared" si="116"/>
        <v>0.50506189124555423</v>
      </c>
      <c r="X127">
        <f t="shared" si="117"/>
        <v>0.60161132960314412</v>
      </c>
      <c r="Y127">
        <f t="shared" si="118"/>
        <v>0.9656133713324847</v>
      </c>
      <c r="AA127">
        <f t="shared" si="119"/>
        <v>4.4139298515601437E-2</v>
      </c>
      <c r="AB127">
        <f t="shared" si="120"/>
        <v>1.3136469001243462E-2</v>
      </c>
      <c r="AC127">
        <f t="shared" si="121"/>
        <v>0.21454630186055476</v>
      </c>
      <c r="AE127">
        <f t="shared" si="122"/>
        <v>0.42911974500134942</v>
      </c>
      <c r="AF127">
        <f t="shared" si="123"/>
        <v>0.45748098775241836</v>
      </c>
      <c r="AG127">
        <f t="shared" si="124"/>
        <v>0.61311042783529179</v>
      </c>
      <c r="AI127">
        <f t="shared" si="125"/>
        <v>0.14213958596864285</v>
      </c>
      <c r="AJ127">
        <f t="shared" si="126"/>
        <v>3.3843610596367404E-4</v>
      </c>
      <c r="AK127">
        <f t="shared" si="127"/>
        <v>0.22257432170017041</v>
      </c>
      <c r="AO127">
        <f t="shared" si="128"/>
        <v>2.0738852322990753</v>
      </c>
      <c r="AP127">
        <f t="shared" si="129"/>
        <v>0.48632213252810741</v>
      </c>
      <c r="AQ127">
        <f t="shared" si="130"/>
        <v>0.47456134111382342</v>
      </c>
      <c r="AS127">
        <f t="shared" si="131"/>
        <v>25.137504708006155</v>
      </c>
      <c r="AT127">
        <f t="shared" si="132"/>
        <v>21.354424473053882</v>
      </c>
      <c r="AU127">
        <f t="shared" si="133"/>
        <v>27.941427271338949</v>
      </c>
      <c r="AW127">
        <f t="shared" si="134"/>
        <v>0.59056121881149981</v>
      </c>
      <c r="AX127">
        <f t="shared" si="135"/>
        <v>0.584357082105318</v>
      </c>
      <c r="AY127">
        <f t="shared" si="136"/>
        <v>0.81044042410655137</v>
      </c>
      <c r="BA127">
        <f t="shared" si="137"/>
        <v>4.7214944920233233</v>
      </c>
      <c r="BB127">
        <f t="shared" si="138"/>
        <v>9.6628817463695071</v>
      </c>
      <c r="BC127">
        <f t="shared" si="139"/>
        <v>32.788099373730269</v>
      </c>
      <c r="BE127">
        <f t="shared" si="140"/>
        <v>110.86405782490762</v>
      </c>
      <c r="BF127">
        <f t="shared" si="141"/>
        <v>130.57301532767596</v>
      </c>
      <c r="BG127">
        <f t="shared" si="142"/>
        <v>139.76397405598027</v>
      </c>
      <c r="BI127">
        <f t="shared" si="143"/>
        <v>0.43570832448731828</v>
      </c>
      <c r="BJ127">
        <f t="shared" si="144"/>
        <v>0.7803975147777481</v>
      </c>
      <c r="BK127">
        <f t="shared" si="145"/>
        <v>0.93368529705462611</v>
      </c>
      <c r="BM127">
        <f t="shared" si="146"/>
        <v>7.4580897906989116E-2</v>
      </c>
      <c r="BN127">
        <f t="shared" si="147"/>
        <v>2.04214260175648E-2</v>
      </c>
      <c r="BO127">
        <f t="shared" si="148"/>
        <v>0.18865521995856571</v>
      </c>
      <c r="BQ127">
        <f t="shared" si="149"/>
        <v>0.59881636507747316</v>
      </c>
      <c r="BR127">
        <f t="shared" si="150"/>
        <v>0.5279456285762697</v>
      </c>
      <c r="BS127">
        <f t="shared" si="151"/>
        <v>0.48671035835441134</v>
      </c>
      <c r="BU127">
        <f t="shared" si="152"/>
        <v>0.16743964359575397</v>
      </c>
      <c r="BV127">
        <f t="shared" si="153"/>
        <v>6.010576278075011E-2</v>
      </c>
      <c r="BW127">
        <f t="shared" si="154"/>
        <v>0.34145609734073612</v>
      </c>
    </row>
    <row r="128" spans="3:75" x14ac:dyDescent="0.2">
      <c r="C128">
        <f t="shared" si="101"/>
        <v>0.76524826112345901</v>
      </c>
      <c r="D128">
        <f t="shared" si="102"/>
        <v>0.54477808011946438</v>
      </c>
      <c r="E128">
        <f t="shared" si="103"/>
        <v>5.3280794688689488</v>
      </c>
      <c r="G128">
        <f t="shared" si="104"/>
        <v>21.881737992432974</v>
      </c>
      <c r="H128">
        <f t="shared" si="105"/>
        <v>24.064385758907235</v>
      </c>
      <c r="I128">
        <f t="shared" si="106"/>
        <v>48.248956508614633</v>
      </c>
      <c r="K128">
        <f t="shared" si="107"/>
        <v>0.57613622937038766</v>
      </c>
      <c r="L128">
        <f t="shared" si="108"/>
        <v>0.4990056907735303</v>
      </c>
      <c r="M128">
        <f t="shared" si="109"/>
        <v>0.84119632244067233</v>
      </c>
      <c r="O128">
        <f t="shared" si="110"/>
        <v>2.1451522177553151</v>
      </c>
      <c r="P128">
        <f t="shared" si="111"/>
        <v>6.2452644884366189</v>
      </c>
      <c r="Q128">
        <f t="shared" si="112"/>
        <v>18.824239669217391</v>
      </c>
      <c r="S128">
        <f t="shared" si="113"/>
        <v>90.157419460175646</v>
      </c>
      <c r="T128">
        <f t="shared" si="114"/>
        <v>9.8438329080220839E-7</v>
      </c>
      <c r="U128">
        <f t="shared" si="115"/>
        <v>73.838723819030591</v>
      </c>
      <c r="W128">
        <f t="shared" si="116"/>
        <v>0.47866460453451193</v>
      </c>
      <c r="X128">
        <f t="shared" si="117"/>
        <v>0.54049415316811222</v>
      </c>
      <c r="Y128">
        <f t="shared" si="118"/>
        <v>0.88070045936603503</v>
      </c>
      <c r="AA128">
        <f t="shared" si="119"/>
        <v>2.9132851775668173E-2</v>
      </c>
      <c r="AB128">
        <f t="shared" si="120"/>
        <v>6.6335507405498569E-3</v>
      </c>
      <c r="AC128">
        <f t="shared" si="121"/>
        <v>0.21940393601016206</v>
      </c>
      <c r="AE128">
        <f t="shared" si="122"/>
        <v>0.43583492821926323</v>
      </c>
      <c r="AF128">
        <f t="shared" si="123"/>
        <v>0.45126230711051446</v>
      </c>
      <c r="AG128">
        <f t="shared" si="124"/>
        <v>0.43481677635663563</v>
      </c>
      <c r="AI128">
        <f t="shared" si="125"/>
        <v>0.11081632984923996</v>
      </c>
      <c r="AJ128">
        <f t="shared" si="126"/>
        <v>5.6941925894130933E-5</v>
      </c>
      <c r="AK128">
        <f t="shared" si="127"/>
        <v>0.22952511064139122</v>
      </c>
      <c r="AO128">
        <f t="shared" si="128"/>
        <v>1.0462668823587387</v>
      </c>
      <c r="AP128">
        <f t="shared" si="129"/>
        <v>0.4864729044685181</v>
      </c>
      <c r="AQ128">
        <f t="shared" si="130"/>
        <v>0.47126891901860746</v>
      </c>
      <c r="AS128">
        <f t="shared" si="131"/>
        <v>25.002946697903148</v>
      </c>
      <c r="AT128">
        <f t="shared" si="132"/>
        <v>21.324103359488685</v>
      </c>
      <c r="AU128">
        <f t="shared" si="133"/>
        <v>26.517730752808543</v>
      </c>
      <c r="AW128">
        <f t="shared" si="134"/>
        <v>0.55908989574135659</v>
      </c>
      <c r="AX128">
        <f t="shared" si="135"/>
        <v>0.52378554837556102</v>
      </c>
      <c r="AY128">
        <f t="shared" si="136"/>
        <v>0.72142673388010015</v>
      </c>
      <c r="BA128">
        <f t="shared" si="137"/>
        <v>2.7359229578812445</v>
      </c>
      <c r="BB128">
        <f t="shared" si="138"/>
        <v>5.5963881306437457</v>
      </c>
      <c r="BC128">
        <f t="shared" si="139"/>
        <v>25.442225277349234</v>
      </c>
      <c r="BE128">
        <f t="shared" si="140"/>
        <v>107.83181317816022</v>
      </c>
      <c r="BF128">
        <f t="shared" si="141"/>
        <v>105.52401800751099</v>
      </c>
      <c r="BG128">
        <f t="shared" si="142"/>
        <v>137.7337467298359</v>
      </c>
      <c r="BI128">
        <f t="shared" si="143"/>
        <v>0.38128999533028957</v>
      </c>
      <c r="BJ128">
        <f t="shared" si="144"/>
        <v>0.71976144562562794</v>
      </c>
      <c r="BK128">
        <f t="shared" si="145"/>
        <v>0.77324864591735387</v>
      </c>
      <c r="BM128">
        <f t="shared" si="146"/>
        <v>5.332540075962957E-2</v>
      </c>
      <c r="BN128">
        <f t="shared" si="147"/>
        <v>1.0636190328099116E-2</v>
      </c>
      <c r="BO128">
        <f t="shared" si="148"/>
        <v>0.17856623535211241</v>
      </c>
      <c r="BQ128">
        <f t="shared" si="149"/>
        <v>0.58147879007518666</v>
      </c>
      <c r="BR128">
        <f t="shared" si="150"/>
        <v>0.50803294217658279</v>
      </c>
      <c r="BS128">
        <f t="shared" si="151"/>
        <v>0.30764656463061707</v>
      </c>
      <c r="BU128">
        <f t="shared" si="152"/>
        <v>0.10862517312146894</v>
      </c>
      <c r="BV128">
        <f t="shared" si="153"/>
        <v>4.0510337555739781E-2</v>
      </c>
      <c r="BW128">
        <f t="shared" si="154"/>
        <v>0.35021602466107205</v>
      </c>
    </row>
    <row r="129" spans="3:75" x14ac:dyDescent="0.2">
      <c r="C129">
        <f t="shared" si="101"/>
        <v>0.26353622752656825</v>
      </c>
      <c r="D129">
        <f t="shared" si="102"/>
        <v>0.19407183128945044</v>
      </c>
      <c r="E129">
        <f t="shared" si="103"/>
        <v>3.9453094996216653</v>
      </c>
      <c r="G129">
        <f t="shared" si="104"/>
        <v>21.624374083893755</v>
      </c>
      <c r="H129">
        <f t="shared" si="105"/>
        <v>23.204499368711115</v>
      </c>
      <c r="I129">
        <f t="shared" si="106"/>
        <v>40.866155144612748</v>
      </c>
      <c r="K129">
        <f t="shared" si="107"/>
        <v>0.52668750968821543</v>
      </c>
      <c r="L129">
        <f t="shared" si="108"/>
        <v>0.42158016010829047</v>
      </c>
      <c r="M129">
        <f t="shared" si="109"/>
        <v>0.52401656754723758</v>
      </c>
      <c r="O129">
        <f t="shared" si="110"/>
        <v>1.1856035431378558</v>
      </c>
      <c r="P129">
        <f t="shared" si="111"/>
        <v>3.3423057749691352</v>
      </c>
      <c r="Q129">
        <f t="shared" si="112"/>
        <v>13.767421213474126</v>
      </c>
      <c r="S129">
        <f t="shared" si="113"/>
        <v>87.717346777546112</v>
      </c>
      <c r="T129">
        <f t="shared" si="114"/>
        <v>2.6120932393585702E-8</v>
      </c>
      <c r="U129">
        <f t="shared" si="115"/>
        <v>78.274344249639171</v>
      </c>
      <c r="W129">
        <f t="shared" si="116"/>
        <v>0.44809189002128119</v>
      </c>
      <c r="X129">
        <f t="shared" si="117"/>
        <v>0.4766253236735476</v>
      </c>
      <c r="Y129">
        <f t="shared" si="118"/>
        <v>0.77003391969858215</v>
      </c>
      <c r="AA129">
        <f t="shared" si="119"/>
        <v>1.8328288224800773E-2</v>
      </c>
      <c r="AB129">
        <f t="shared" si="120"/>
        <v>3.1232045560283276E-3</v>
      </c>
      <c r="AC129">
        <f t="shared" si="121"/>
        <v>0.21832956164906842</v>
      </c>
      <c r="AE129">
        <f t="shared" si="122"/>
        <v>0.43241415816439766</v>
      </c>
      <c r="AF129">
        <f t="shared" si="123"/>
        <v>0.43380173014199075</v>
      </c>
      <c r="AG129">
        <f t="shared" si="124"/>
        <v>0.27580254461424292</v>
      </c>
      <c r="AI129">
        <f t="shared" si="125"/>
        <v>8.2470344500498255E-2</v>
      </c>
      <c r="AJ129">
        <f t="shared" si="126"/>
        <v>7.9265388877631788E-6</v>
      </c>
      <c r="AK129">
        <f t="shared" si="127"/>
        <v>0.23313974251168892</v>
      </c>
      <c r="AO129">
        <f t="shared" si="128"/>
        <v>0.43741296419056452</v>
      </c>
      <c r="AP129">
        <f t="shared" si="129"/>
        <v>0.4858362537455192</v>
      </c>
      <c r="AQ129">
        <f t="shared" si="130"/>
        <v>0.46753275702829927</v>
      </c>
      <c r="AS129">
        <f t="shared" si="131"/>
        <v>24.258380413718694</v>
      </c>
      <c r="AT129">
        <f t="shared" si="132"/>
        <v>20.914705567192787</v>
      </c>
      <c r="AU129">
        <f t="shared" si="133"/>
        <v>24.375181248324012</v>
      </c>
      <c r="AW129">
        <f t="shared" si="134"/>
        <v>0.51690625019336844</v>
      </c>
      <c r="AX129">
        <f t="shared" si="135"/>
        <v>0.45598371209151423</v>
      </c>
      <c r="AY129">
        <f t="shared" si="136"/>
        <v>0.62386904183093739</v>
      </c>
      <c r="BA129">
        <f t="shared" si="137"/>
        <v>1.4898629755167814</v>
      </c>
      <c r="BB129">
        <f t="shared" si="138"/>
        <v>2.9650309571812441</v>
      </c>
      <c r="BC129">
        <f t="shared" si="139"/>
        <v>18.020077381231015</v>
      </c>
      <c r="BE129">
        <f t="shared" si="140"/>
        <v>102.84426009360266</v>
      </c>
      <c r="BF129">
        <f t="shared" si="141"/>
        <v>80.93895310016039</v>
      </c>
      <c r="BG129">
        <f t="shared" si="142"/>
        <v>131.7914811577935</v>
      </c>
      <c r="BI129">
        <f t="shared" si="143"/>
        <v>0.32694175232586437</v>
      </c>
      <c r="BJ129">
        <f t="shared" si="144"/>
        <v>0.63671273960329278</v>
      </c>
      <c r="BK129">
        <f t="shared" si="145"/>
        <v>0.60567501826419923</v>
      </c>
      <c r="BM129">
        <f t="shared" si="146"/>
        <v>3.6406095633311951E-2</v>
      </c>
      <c r="BN129">
        <f t="shared" si="147"/>
        <v>5.1477521301318907E-3</v>
      </c>
      <c r="BO129">
        <f t="shared" si="148"/>
        <v>0.16393666975727444</v>
      </c>
      <c r="BQ129">
        <f t="shared" si="149"/>
        <v>0.5402228379991254</v>
      </c>
      <c r="BR129">
        <f t="shared" si="150"/>
        <v>0.47216717774435579</v>
      </c>
      <c r="BS129">
        <f t="shared" si="151"/>
        <v>0.17209798294307752</v>
      </c>
      <c r="BU129">
        <f t="shared" si="152"/>
        <v>6.3914644369943777E-2</v>
      </c>
      <c r="BV129">
        <f t="shared" si="153"/>
        <v>2.6141456263055841E-2</v>
      </c>
      <c r="BW129">
        <f t="shared" si="154"/>
        <v>0.34230927687018103</v>
      </c>
    </row>
    <row r="130" spans="3:75" x14ac:dyDescent="0.2">
      <c r="C130">
        <f t="shared" si="101"/>
        <v>7.2435947920375901E-2</v>
      </c>
      <c r="D130">
        <f t="shared" si="102"/>
        <v>5.7032641017046755E-2</v>
      </c>
      <c r="E130">
        <f t="shared" si="103"/>
        <v>2.5978241346354194</v>
      </c>
      <c r="G130">
        <f t="shared" si="104"/>
        <v>20.971850318871628</v>
      </c>
      <c r="H130">
        <f t="shared" si="105"/>
        <v>21.859060925782593</v>
      </c>
      <c r="I130">
        <f t="shared" si="106"/>
        <v>31.204122240682736</v>
      </c>
      <c r="K130">
        <f t="shared" si="107"/>
        <v>0.4690691182452143</v>
      </c>
      <c r="L130">
        <f t="shared" si="108"/>
        <v>0.34487884267590802</v>
      </c>
      <c r="M130">
        <f t="shared" si="109"/>
        <v>0.29273166719790311</v>
      </c>
      <c r="O130">
        <f t="shared" si="110"/>
        <v>0.61975834865744261</v>
      </c>
      <c r="P130">
        <f t="shared" si="111"/>
        <v>1.6339005655093357</v>
      </c>
      <c r="Q130">
        <f t="shared" si="112"/>
        <v>9.444004948775655</v>
      </c>
      <c r="S130">
        <f t="shared" si="113"/>
        <v>84.224585923409805</v>
      </c>
      <c r="T130">
        <f t="shared" si="114"/>
        <v>5.1164622675474799E-10</v>
      </c>
      <c r="U130">
        <f t="shared" si="115"/>
        <v>81.949547987068627</v>
      </c>
      <c r="W130">
        <f t="shared" si="116"/>
        <v>0.41433527506578466</v>
      </c>
      <c r="X130">
        <f t="shared" si="117"/>
        <v>0.41254786607638844</v>
      </c>
      <c r="Y130">
        <f t="shared" si="118"/>
        <v>0.64542854787075365</v>
      </c>
      <c r="AA130">
        <f t="shared" si="119"/>
        <v>1.0991124990006524E-2</v>
      </c>
      <c r="AB130">
        <f t="shared" si="120"/>
        <v>1.3710136148719363E-3</v>
      </c>
      <c r="AC130">
        <f t="shared" si="121"/>
        <v>0.21140994749710498</v>
      </c>
      <c r="AE130">
        <f t="shared" si="122"/>
        <v>0.41909465075510682</v>
      </c>
      <c r="AF130">
        <f t="shared" si="123"/>
        <v>0.40640562582876799</v>
      </c>
      <c r="AG130">
        <f t="shared" si="124"/>
        <v>0.15646407362396006</v>
      </c>
      <c r="AI130">
        <f t="shared" si="125"/>
        <v>5.8586450201544391E-2</v>
      </c>
      <c r="AJ130">
        <f t="shared" si="126"/>
        <v>9.1291641871823082E-7</v>
      </c>
      <c r="AK130">
        <f t="shared" si="127"/>
        <v>0.2332562985712095</v>
      </c>
      <c r="AO130">
        <f t="shared" si="128"/>
        <v>0.15154172789545978</v>
      </c>
      <c r="AP130">
        <f t="shared" si="129"/>
        <v>0.48441527001211898</v>
      </c>
      <c r="AQ130">
        <f t="shared" si="130"/>
        <v>0.46336379322416543</v>
      </c>
      <c r="AS130">
        <f t="shared" si="131"/>
        <v>22.957996567597551</v>
      </c>
      <c r="AT130">
        <f t="shared" si="132"/>
        <v>20.147946992092891</v>
      </c>
      <c r="AU130">
        <f t="shared" si="133"/>
        <v>21.701166420988894</v>
      </c>
      <c r="AW130">
        <f t="shared" si="134"/>
        <v>0.46671885276489689</v>
      </c>
      <c r="AX130">
        <f t="shared" si="135"/>
        <v>0.38553673569388663</v>
      </c>
      <c r="AY130">
        <f t="shared" si="136"/>
        <v>0.52411272617329252</v>
      </c>
      <c r="BA130">
        <f t="shared" si="137"/>
        <v>0.76244211817436136</v>
      </c>
      <c r="BB130">
        <f t="shared" si="138"/>
        <v>1.4370466959534436</v>
      </c>
      <c r="BC130">
        <f t="shared" si="139"/>
        <v>11.649865628739942</v>
      </c>
      <c r="BE130">
        <f t="shared" si="140"/>
        <v>96.18120658165661</v>
      </c>
      <c r="BF130">
        <f t="shared" si="141"/>
        <v>58.921286878569013</v>
      </c>
      <c r="BG130">
        <f t="shared" si="142"/>
        <v>122.4436233348134</v>
      </c>
      <c r="BI130">
        <f t="shared" si="143"/>
        <v>0.27468869467835305</v>
      </c>
      <c r="BJ130">
        <f t="shared" si="144"/>
        <v>0.54023256150224985</v>
      </c>
      <c r="BK130">
        <f t="shared" si="145"/>
        <v>0.448706125870108</v>
      </c>
      <c r="BM130">
        <f t="shared" si="146"/>
        <v>2.3732721363730003E-2</v>
      </c>
      <c r="BN130">
        <f t="shared" si="147"/>
        <v>2.3151580568094438E-3</v>
      </c>
      <c r="BO130">
        <f t="shared" si="148"/>
        <v>0.14598193766220982</v>
      </c>
      <c r="BQ130">
        <f t="shared" si="149"/>
        <v>0.48018749575577069</v>
      </c>
      <c r="BR130">
        <f t="shared" si="150"/>
        <v>0.42383904165306296</v>
      </c>
      <c r="BS130">
        <f t="shared" si="151"/>
        <v>8.5200417000353912E-2</v>
      </c>
      <c r="BU130">
        <f t="shared" si="152"/>
        <v>3.4108920627543296E-2</v>
      </c>
      <c r="BV130">
        <f t="shared" si="153"/>
        <v>1.6151313931318138E-2</v>
      </c>
      <c r="BW130">
        <f t="shared" si="154"/>
        <v>0.31884736877065489</v>
      </c>
    </row>
    <row r="131" spans="3:75" x14ac:dyDescent="0.2">
      <c r="C131">
        <f t="shared" si="101"/>
        <v>1.5890728970278524E-2</v>
      </c>
      <c r="D131">
        <f t="shared" si="102"/>
        <v>1.3826191313156605E-2</v>
      </c>
      <c r="E131">
        <f t="shared" si="103"/>
        <v>1.5210962681565114</v>
      </c>
      <c r="G131">
        <f t="shared" si="104"/>
        <v>19.960040798776184</v>
      </c>
      <c r="H131">
        <f t="shared" si="105"/>
        <v>20.116511659525479</v>
      </c>
      <c r="I131">
        <f t="shared" si="106"/>
        <v>21.4799120395346</v>
      </c>
      <c r="K131">
        <f t="shared" si="107"/>
        <v>0.40698335996871954</v>
      </c>
      <c r="L131">
        <f t="shared" si="108"/>
        <v>0.27318991467933756</v>
      </c>
      <c r="M131">
        <f t="shared" si="109"/>
        <v>0.14664640801989881</v>
      </c>
      <c r="O131">
        <f t="shared" si="110"/>
        <v>0.30641273162061072</v>
      </c>
      <c r="P131">
        <f t="shared" si="111"/>
        <v>0.72960729359270204</v>
      </c>
      <c r="Q131">
        <f t="shared" si="112"/>
        <v>6.0761468583893725</v>
      </c>
      <c r="S131">
        <f t="shared" si="113"/>
        <v>79.810800239387163</v>
      </c>
      <c r="T131">
        <f t="shared" si="114"/>
        <v>7.3978843007075917E-12</v>
      </c>
      <c r="U131">
        <f t="shared" si="115"/>
        <v>84.735531031270483</v>
      </c>
      <c r="W131">
        <f t="shared" si="116"/>
        <v>0.37843020292364526</v>
      </c>
      <c r="X131">
        <f t="shared" si="117"/>
        <v>0.35049570125825807</v>
      </c>
      <c r="Y131">
        <f t="shared" si="118"/>
        <v>0.51861272266690173</v>
      </c>
      <c r="AA131">
        <f t="shared" si="119"/>
        <v>6.2826623750669996E-3</v>
      </c>
      <c r="AB131">
        <f t="shared" si="120"/>
        <v>5.6113850351373329E-4</v>
      </c>
      <c r="AC131">
        <f t="shared" si="121"/>
        <v>0.19919711353513053</v>
      </c>
      <c r="AE131">
        <f t="shared" si="122"/>
        <v>0.39678812773610916</v>
      </c>
      <c r="AF131">
        <f t="shared" si="123"/>
        <v>0.37105163849072004</v>
      </c>
      <c r="AG131">
        <f t="shared" si="124"/>
        <v>7.9388095801375833E-2</v>
      </c>
      <c r="AI131">
        <f t="shared" si="125"/>
        <v>3.9728474573307561E-2</v>
      </c>
      <c r="AJ131">
        <f t="shared" si="126"/>
        <v>8.699101969720885E-8</v>
      </c>
      <c r="AK131">
        <f t="shared" si="127"/>
        <v>0.22986952964628796</v>
      </c>
      <c r="AO131">
        <f t="shared" si="128"/>
        <v>4.3507510255015258E-2</v>
      </c>
      <c r="AP131">
        <f t="shared" si="129"/>
        <v>0.4822168395346173</v>
      </c>
      <c r="AQ131">
        <f t="shared" si="130"/>
        <v>0.45877416249277286</v>
      </c>
      <c r="AS131">
        <f t="shared" si="131"/>
        <v>21.193747119578255</v>
      </c>
      <c r="AT131">
        <f t="shared" si="132"/>
        <v>19.063731494903831</v>
      </c>
      <c r="AU131">
        <f t="shared" si="133"/>
        <v>18.712940125590464</v>
      </c>
      <c r="AW131">
        <f t="shared" si="134"/>
        <v>0.411540258210779</v>
      </c>
      <c r="AX131">
        <f t="shared" si="135"/>
        <v>0.31659410218284983</v>
      </c>
      <c r="AY131">
        <f t="shared" si="136"/>
        <v>0.427746083239887</v>
      </c>
      <c r="BA131">
        <f t="shared" si="137"/>
        <v>0.36667856104054525</v>
      </c>
      <c r="BB131">
        <f t="shared" si="138"/>
        <v>0.63713692043210091</v>
      </c>
      <c r="BC131">
        <f t="shared" si="139"/>
        <v>6.8746071834256108</v>
      </c>
      <c r="BE131">
        <f t="shared" si="140"/>
        <v>88.201789530601829</v>
      </c>
      <c r="BF131">
        <f t="shared" si="141"/>
        <v>40.709450641189953</v>
      </c>
      <c r="BG131">
        <f t="shared" si="142"/>
        <v>110.45537718703443</v>
      </c>
      <c r="BI131">
        <f t="shared" si="143"/>
        <v>0.22613438732639929</v>
      </c>
      <c r="BJ131">
        <f t="shared" si="144"/>
        <v>0.43964307019507526</v>
      </c>
      <c r="BK131">
        <f t="shared" si="145"/>
        <v>0.31440263775703792</v>
      </c>
      <c r="BM131">
        <f t="shared" si="146"/>
        <v>1.4772514755142498E-2</v>
      </c>
      <c r="BN131">
        <f t="shared" si="147"/>
        <v>9.6755387524089236E-4</v>
      </c>
      <c r="BO131">
        <f t="shared" si="148"/>
        <v>0.12608644174715761</v>
      </c>
      <c r="BQ131">
        <f t="shared" si="149"/>
        <v>0.40836413983653597</v>
      </c>
      <c r="BR131">
        <f t="shared" si="150"/>
        <v>0.36745771341443939</v>
      </c>
      <c r="BS131">
        <f t="shared" si="151"/>
        <v>3.7329303788156014E-2</v>
      </c>
      <c r="BU131">
        <f t="shared" si="152"/>
        <v>1.6509475668816408E-2</v>
      </c>
      <c r="BV131">
        <f t="shared" si="153"/>
        <v>9.5543271108530902E-3</v>
      </c>
      <c r="BW131">
        <f t="shared" si="154"/>
        <v>0.28302742429919847</v>
      </c>
    </row>
    <row r="132" spans="3:75" x14ac:dyDescent="0.2">
      <c r="C132">
        <f t="shared" si="101"/>
        <v>2.782334511918878E-3</v>
      </c>
      <c r="D132">
        <f t="shared" si="102"/>
        <v>2.7650293195495561E-3</v>
      </c>
      <c r="E132">
        <f t="shared" si="103"/>
        <v>0.79199408678490912</v>
      </c>
      <c r="G132">
        <f t="shared" si="104"/>
        <v>18.643076064065948</v>
      </c>
      <c r="H132">
        <f t="shared" si="105"/>
        <v>18.085716601541836</v>
      </c>
      <c r="I132">
        <f t="shared" si="106"/>
        <v>13.329853105109871</v>
      </c>
      <c r="K132">
        <f t="shared" si="107"/>
        <v>0.34401109791000067</v>
      </c>
      <c r="L132">
        <f t="shared" si="108"/>
        <v>0.20954364518895113</v>
      </c>
      <c r="M132">
        <f t="shared" si="109"/>
        <v>6.5879483982824158E-2</v>
      </c>
      <c r="O132">
        <f t="shared" si="110"/>
        <v>0.14328236809867118</v>
      </c>
      <c r="P132">
        <f t="shared" si="111"/>
        <v>0.2976026612723115</v>
      </c>
      <c r="Q132">
        <f t="shared" si="112"/>
        <v>3.6666441889852823</v>
      </c>
      <c r="S132">
        <f t="shared" si="113"/>
        <v>74.636940650612871</v>
      </c>
      <c r="T132">
        <f t="shared" si="114"/>
        <v>7.8959056961047561E-14</v>
      </c>
      <c r="U132">
        <f t="shared" si="115"/>
        <v>86.531935337348671</v>
      </c>
      <c r="W132">
        <f t="shared" si="116"/>
        <v>0.34140409658854537</v>
      </c>
      <c r="X132">
        <f t="shared" si="117"/>
        <v>0.29228206400240803</v>
      </c>
      <c r="Y132">
        <f t="shared" si="118"/>
        <v>0.3994798187163715</v>
      </c>
      <c r="AA132">
        <f t="shared" si="119"/>
        <v>3.4231555254481587E-3</v>
      </c>
      <c r="AB132">
        <f t="shared" si="120"/>
        <v>2.141338550261463E-4</v>
      </c>
      <c r="AC132">
        <f t="shared" si="121"/>
        <v>0.18263558948073869</v>
      </c>
      <c r="AE132">
        <f t="shared" si="122"/>
        <v>0.36697760326444578</v>
      </c>
      <c r="AF132">
        <f t="shared" si="123"/>
        <v>0.33015296905765235</v>
      </c>
      <c r="AG132">
        <f t="shared" si="124"/>
        <v>3.6026371627978719E-2</v>
      </c>
      <c r="AI132">
        <f t="shared" si="125"/>
        <v>2.5716503800935431E-2</v>
      </c>
      <c r="AJ132">
        <f t="shared" si="126"/>
        <v>6.8582577951348384E-9</v>
      </c>
      <c r="AK132">
        <f t="shared" si="127"/>
        <v>0.22313124815748636</v>
      </c>
      <c r="AO132">
        <f t="shared" si="128"/>
        <v>1.0351127067339495E-2</v>
      </c>
      <c r="AP132">
        <f t="shared" si="129"/>
        <v>0.4792515896031001</v>
      </c>
      <c r="AQ132">
        <f t="shared" si="130"/>
        <v>0.45377713769313016</v>
      </c>
      <c r="AS132">
        <f t="shared" si="131"/>
        <v>19.084601091387167</v>
      </c>
      <c r="AT132">
        <f t="shared" si="132"/>
        <v>17.716710712147407</v>
      </c>
      <c r="AU132">
        <f t="shared" si="133"/>
        <v>15.628766594910072</v>
      </c>
      <c r="AW132">
        <f t="shared" si="134"/>
        <v>0.35439103573227232</v>
      </c>
      <c r="AX132">
        <f t="shared" si="135"/>
        <v>0.25249948257375132</v>
      </c>
      <c r="AY132">
        <f t="shared" si="136"/>
        <v>0.33913877293094491</v>
      </c>
      <c r="BA132">
        <f t="shared" si="137"/>
        <v>0.16572279341884238</v>
      </c>
      <c r="BB132">
        <f t="shared" si="138"/>
        <v>0.25841332654253446</v>
      </c>
      <c r="BC132">
        <f t="shared" si="139"/>
        <v>3.7028623306590163</v>
      </c>
      <c r="BE132">
        <f t="shared" si="140"/>
        <v>79.312490080468194</v>
      </c>
      <c r="BF132">
        <f t="shared" si="141"/>
        <v>26.694797910672683</v>
      </c>
      <c r="BG132">
        <f t="shared" si="142"/>
        <v>96.74742391389168</v>
      </c>
      <c r="BI132">
        <f t="shared" si="143"/>
        <v>0.18240966907232323</v>
      </c>
      <c r="BJ132">
        <f t="shared" si="144"/>
        <v>0.34316419236003076</v>
      </c>
      <c r="BK132">
        <f t="shared" si="145"/>
        <v>0.20835897293983</v>
      </c>
      <c r="BM132">
        <f t="shared" si="146"/>
        <v>8.7800053739920669E-3</v>
      </c>
      <c r="BN132">
        <f t="shared" si="147"/>
        <v>3.7575187778408296E-4</v>
      </c>
      <c r="BO132">
        <f t="shared" si="148"/>
        <v>0.10562917874916207</v>
      </c>
      <c r="BQ132">
        <f t="shared" si="149"/>
        <v>0.33226392699072121</v>
      </c>
      <c r="BR132">
        <f t="shared" si="150"/>
        <v>0.30769116203409169</v>
      </c>
      <c r="BS132">
        <f t="shared" si="151"/>
        <v>1.4474390651735445E-2</v>
      </c>
      <c r="BU132">
        <f t="shared" si="152"/>
        <v>7.2476345915970103E-3</v>
      </c>
      <c r="BV132">
        <f t="shared" si="153"/>
        <v>5.4113611561307793E-3</v>
      </c>
      <c r="BW132">
        <f t="shared" si="154"/>
        <v>0.23941740213565418</v>
      </c>
    </row>
    <row r="133" spans="3:75" x14ac:dyDescent="0.2">
      <c r="C133">
        <f t="shared" si="101"/>
        <v>3.8882189689178721E-4</v>
      </c>
      <c r="D133">
        <f t="shared" si="102"/>
        <v>4.5615770984767056E-4</v>
      </c>
      <c r="E133">
        <f t="shared" si="103"/>
        <v>0.36669539988504629</v>
      </c>
      <c r="G133">
        <f t="shared" si="104"/>
        <v>17.088549073763634</v>
      </c>
      <c r="H133">
        <f t="shared" si="105"/>
        <v>15.88475952413229</v>
      </c>
      <c r="I133">
        <f t="shared" si="106"/>
        <v>7.4574536938330658</v>
      </c>
      <c r="K133">
        <f t="shared" si="107"/>
        <v>0.28328543281635532</v>
      </c>
      <c r="L133">
        <f t="shared" si="108"/>
        <v>0.15563097872487069</v>
      </c>
      <c r="M133">
        <f t="shared" si="109"/>
        <v>2.6540309510656862E-2</v>
      </c>
      <c r="O133">
        <f t="shared" si="110"/>
        <v>6.3369490936981812E-2</v>
      </c>
      <c r="P133">
        <f t="shared" si="111"/>
        <v>0.11088391574887581</v>
      </c>
      <c r="Q133">
        <f t="shared" si="112"/>
        <v>2.075284890096047</v>
      </c>
      <c r="S133">
        <f t="shared" si="113"/>
        <v>68.883527146433892</v>
      </c>
      <c r="T133">
        <f t="shared" si="114"/>
        <v>6.2208972653317845E-16</v>
      </c>
      <c r="U133">
        <f t="shared" si="115"/>
        <v>87.272847707806761</v>
      </c>
      <c r="W133">
        <f t="shared" si="116"/>
        <v>0.30422907806777499</v>
      </c>
      <c r="X133">
        <f t="shared" si="117"/>
        <v>0.23923942733673939</v>
      </c>
      <c r="Y133">
        <f t="shared" si="118"/>
        <v>0.29498722126017324</v>
      </c>
      <c r="AA133">
        <f t="shared" si="119"/>
        <v>1.7778326369670284E-3</v>
      </c>
      <c r="AB133">
        <f t="shared" si="120"/>
        <v>7.6188174110907342E-5</v>
      </c>
      <c r="AC133">
        <f t="shared" si="121"/>
        <v>0.16294180671751254</v>
      </c>
      <c r="AE133">
        <f t="shared" si="122"/>
        <v>0.3315543955704825</v>
      </c>
      <c r="AF133">
        <f t="shared" si="123"/>
        <v>0.28628742467249518</v>
      </c>
      <c r="AG133">
        <f t="shared" si="124"/>
        <v>1.4622110169955774E-2</v>
      </c>
      <c r="AI133">
        <f t="shared" si="125"/>
        <v>1.5890124139796576E-2</v>
      </c>
      <c r="AJ133">
        <f t="shared" si="126"/>
        <v>4.473517806983362E-10</v>
      </c>
      <c r="AK133">
        <f t="shared" si="127"/>
        <v>0.21333904301591314</v>
      </c>
      <c r="AO133">
        <f t="shared" si="128"/>
        <v>2.0408094696753925E-3</v>
      </c>
      <c r="AP133">
        <f t="shared" si="129"/>
        <v>0.47553380295689562</v>
      </c>
      <c r="AQ133">
        <f t="shared" si="130"/>
        <v>0.4483870657337205</v>
      </c>
      <c r="AS133">
        <f t="shared" si="131"/>
        <v>16.763318725094759</v>
      </c>
      <c r="AT133">
        <f t="shared" si="132"/>
        <v>16.171724851304134</v>
      </c>
      <c r="AU133">
        <f t="shared" si="133"/>
        <v>12.642446061679303</v>
      </c>
      <c r="AW133">
        <f t="shared" si="134"/>
        <v>0.29803450731111303</v>
      </c>
      <c r="AX133">
        <f t="shared" si="135"/>
        <v>0.19558645849300274</v>
      </c>
      <c r="AY133">
        <f t="shared" si="136"/>
        <v>0.26121548223459168</v>
      </c>
      <c r="BA133">
        <f t="shared" si="137"/>
        <v>7.0387746217211791E-2</v>
      </c>
      <c r="BB133">
        <f t="shared" si="138"/>
        <v>9.5877628769480958E-2</v>
      </c>
      <c r="BC133">
        <f t="shared" si="139"/>
        <v>1.8204969283998553</v>
      </c>
      <c r="BE133">
        <f t="shared" si="140"/>
        <v>69.933101009735964</v>
      </c>
      <c r="BF133">
        <f t="shared" si="141"/>
        <v>16.613701780826549</v>
      </c>
      <c r="BG133">
        <f t="shared" si="142"/>
        <v>82.279911015105668</v>
      </c>
      <c r="BI133">
        <f t="shared" si="143"/>
        <v>0.14417319593382152</v>
      </c>
      <c r="BJ133">
        <f t="shared" si="144"/>
        <v>0.2569129259987446</v>
      </c>
      <c r="BK133">
        <f t="shared" si="145"/>
        <v>0.13059906861055812</v>
      </c>
      <c r="BM133">
        <f t="shared" si="146"/>
        <v>4.9827441536951858E-3</v>
      </c>
      <c r="BN133">
        <f t="shared" si="147"/>
        <v>1.3559967684411708E-4</v>
      </c>
      <c r="BO133">
        <f t="shared" si="148"/>
        <v>8.5831295416835901E-2</v>
      </c>
      <c r="BQ133">
        <f t="shared" si="149"/>
        <v>0.25865306791905573</v>
      </c>
      <c r="BR133">
        <f t="shared" si="150"/>
        <v>0.24884213580830711</v>
      </c>
      <c r="BS133">
        <f t="shared" si="151"/>
        <v>4.9669858059438561E-3</v>
      </c>
      <c r="BU133">
        <f t="shared" si="152"/>
        <v>2.885738689820561E-3</v>
      </c>
      <c r="BV133">
        <f t="shared" si="153"/>
        <v>2.9344526069453422E-3</v>
      </c>
      <c r="BW133">
        <f t="shared" si="154"/>
        <v>0.19300316119188055</v>
      </c>
    </row>
    <row r="134" spans="3:75" x14ac:dyDescent="0.2">
      <c r="C134">
        <f t="shared" si="101"/>
        <v>4.3367854401914134E-5</v>
      </c>
      <c r="D134">
        <f t="shared" si="102"/>
        <v>6.2079526861454353E-5</v>
      </c>
      <c r="E134">
        <f t="shared" si="103"/>
        <v>0.15097577556528372</v>
      </c>
      <c r="G134">
        <f t="shared" si="104"/>
        <v>15.371784236302062</v>
      </c>
      <c r="H134">
        <f t="shared" si="105"/>
        <v>13.62973597300147</v>
      </c>
      <c r="I134">
        <f t="shared" si="106"/>
        <v>3.7612145204420226</v>
      </c>
      <c r="K134">
        <f t="shared" si="107"/>
        <v>0.22726471944118187</v>
      </c>
      <c r="L134">
        <f t="shared" si="108"/>
        <v>0.11192557256172833</v>
      </c>
      <c r="M134">
        <f t="shared" si="109"/>
        <v>9.5882381674340118E-3</v>
      </c>
      <c r="O134">
        <f t="shared" si="110"/>
        <v>2.6507526816836737E-2</v>
      </c>
      <c r="P134">
        <f t="shared" si="111"/>
        <v>3.7738479463844975E-2</v>
      </c>
      <c r="Q134">
        <f t="shared" si="112"/>
        <v>1.1016791492972851</v>
      </c>
      <c r="S134">
        <f t="shared" si="113"/>
        <v>62.740259039770841</v>
      </c>
      <c r="T134">
        <f t="shared" si="114"/>
        <v>3.617935036816964E-18</v>
      </c>
      <c r="U134">
        <f t="shared" si="115"/>
        <v>86.930813919150623</v>
      </c>
      <c r="W134">
        <f t="shared" si="116"/>
        <v>0.26778224033527764</v>
      </c>
      <c r="X134">
        <f t="shared" si="117"/>
        <v>0.19220932862853704</v>
      </c>
      <c r="Y134">
        <f t="shared" si="118"/>
        <v>0.20881814962271256</v>
      </c>
      <c r="AA134">
        <f t="shared" si="119"/>
        <v>8.8010898029512263E-4</v>
      </c>
      <c r="AB134">
        <f t="shared" si="120"/>
        <v>2.5274161691641767E-5</v>
      </c>
      <c r="AC134">
        <f t="shared" si="121"/>
        <v>0.14145698306538257</v>
      </c>
      <c r="AE134">
        <f t="shared" si="122"/>
        <v>0.29262023792904063</v>
      </c>
      <c r="AF134">
        <f t="shared" si="123"/>
        <v>0.24193324327526974</v>
      </c>
      <c r="AG134">
        <f t="shared" si="124"/>
        <v>5.3079150846006527E-3</v>
      </c>
      <c r="AI134">
        <f t="shared" si="125"/>
        <v>9.3723389106664928E-3</v>
      </c>
      <c r="AJ134">
        <f t="shared" si="126"/>
        <v>2.414240412928523E-11</v>
      </c>
      <c r="AK134">
        <f t="shared" si="127"/>
        <v>0.20091448598855161</v>
      </c>
      <c r="AO134">
        <f t="shared" si="128"/>
        <v>3.3343308755868925E-4</v>
      </c>
      <c r="AP134">
        <f t="shared" si="129"/>
        <v>0.4710813031891764</v>
      </c>
      <c r="AQ134">
        <f t="shared" si="130"/>
        <v>0.44261929899007668</v>
      </c>
      <c r="AS134">
        <f t="shared" si="131"/>
        <v>14.362779570877338</v>
      </c>
      <c r="AT134">
        <f t="shared" si="132"/>
        <v>14.498653192665591</v>
      </c>
      <c r="AU134">
        <f t="shared" si="133"/>
        <v>9.9051541862940038</v>
      </c>
      <c r="AW134">
        <f t="shared" si="134"/>
        <v>0.24477315997491597</v>
      </c>
      <c r="AX134">
        <f t="shared" si="135"/>
        <v>0.14714235123473116</v>
      </c>
      <c r="AY134">
        <f t="shared" si="136"/>
        <v>0.19545664958557638</v>
      </c>
      <c r="BA134">
        <f t="shared" si="137"/>
        <v>2.8095059843993676E-2</v>
      </c>
      <c r="BB134">
        <f t="shared" si="138"/>
        <v>3.2541675164748103E-2</v>
      </c>
      <c r="BC134">
        <f t="shared" si="139"/>
        <v>0.81696799296221834</v>
      </c>
      <c r="BE134">
        <f t="shared" si="140"/>
        <v>60.464574416408531</v>
      </c>
      <c r="BF134">
        <f t="shared" si="141"/>
        <v>9.8132883695989008</v>
      </c>
      <c r="BG134">
        <f t="shared" si="142"/>
        <v>67.94383764241131</v>
      </c>
      <c r="BI134">
        <f t="shared" si="143"/>
        <v>0.11165459986555451</v>
      </c>
      <c r="BJ134">
        <f t="shared" si="144"/>
        <v>0.18448123765250654</v>
      </c>
      <c r="BK134">
        <f t="shared" si="145"/>
        <v>7.7422964465116359E-2</v>
      </c>
      <c r="BM134">
        <f t="shared" si="146"/>
        <v>2.7000751510877978E-3</v>
      </c>
      <c r="BN134">
        <f t="shared" si="147"/>
        <v>4.5472375388208502E-5</v>
      </c>
      <c r="BO134">
        <f t="shared" si="148"/>
        <v>6.7647800530378471E-2</v>
      </c>
      <c r="BQ134">
        <f t="shared" si="149"/>
        <v>0.19264197361732774</v>
      </c>
      <c r="BR134">
        <f t="shared" si="150"/>
        <v>0.19437216094695534</v>
      </c>
      <c r="BS134">
        <f t="shared" si="151"/>
        <v>1.5084390885481587E-3</v>
      </c>
      <c r="BU134">
        <f t="shared" si="152"/>
        <v>1.0421144543980507E-3</v>
      </c>
      <c r="BV134">
        <f t="shared" si="153"/>
        <v>1.523568012220607E-3</v>
      </c>
      <c r="BW134">
        <f t="shared" si="154"/>
        <v>0.14827046308611586</v>
      </c>
    </row>
    <row r="135" spans="3:75" x14ac:dyDescent="0.2">
      <c r="C135">
        <f t="shared" si="101"/>
        <v>3.8606551240267658E-6</v>
      </c>
      <c r="D135">
        <f t="shared" si="102"/>
        <v>6.9694719883736249E-6</v>
      </c>
      <c r="E135">
        <f t="shared" si="103"/>
        <v>5.5274823088506078E-2</v>
      </c>
      <c r="G135">
        <f t="shared" si="104"/>
        <v>13.569843578050357</v>
      </c>
      <c r="H135">
        <f t="shared" si="105"/>
        <v>11.424997580810082</v>
      </c>
      <c r="I135">
        <f t="shared" si="106"/>
        <v>1.7101648649591858</v>
      </c>
      <c r="K135">
        <f t="shared" si="107"/>
        <v>0.17762160439486199</v>
      </c>
      <c r="L135">
        <f t="shared" si="108"/>
        <v>7.7942498417204298E-2</v>
      </c>
      <c r="M135">
        <f t="shared" si="109"/>
        <v>3.1063377787587244E-3</v>
      </c>
      <c r="O135">
        <f t="shared" si="110"/>
        <v>1.0487204190619921E-2</v>
      </c>
      <c r="P135">
        <f t="shared" si="111"/>
        <v>1.1732331929584049E-2</v>
      </c>
      <c r="Q135">
        <f t="shared" si="112"/>
        <v>0.54853075897625292</v>
      </c>
      <c r="S135">
        <f t="shared" si="113"/>
        <v>56.395781773271636</v>
      </c>
      <c r="T135">
        <f t="shared" si="114"/>
        <v>1.5531920477092047E-20</v>
      </c>
      <c r="U135">
        <f t="shared" si="115"/>
        <v>85.518527248179538</v>
      </c>
      <c r="W135">
        <f t="shared" si="116"/>
        <v>0.23281549209203695</v>
      </c>
      <c r="X135">
        <f t="shared" si="117"/>
        <v>0.15157489926346832</v>
      </c>
      <c r="Y135">
        <f t="shared" si="118"/>
        <v>0.14170656300089618</v>
      </c>
      <c r="AA135">
        <f t="shared" si="119"/>
        <v>4.1530137062488395E-4</v>
      </c>
      <c r="AB135">
        <f t="shared" si="120"/>
        <v>7.817230494326777E-6</v>
      </c>
      <c r="AC135">
        <f t="shared" si="121"/>
        <v>0.11949810061682793</v>
      </c>
      <c r="AE135">
        <f t="shared" si="122"/>
        <v>0.25228316308508991</v>
      </c>
      <c r="AF135">
        <f t="shared" si="123"/>
        <v>0.19924848789337699</v>
      </c>
      <c r="AG135">
        <f t="shared" si="124"/>
        <v>1.723305478740621E-3</v>
      </c>
      <c r="AI135">
        <f t="shared" si="125"/>
        <v>5.2768410054492548E-3</v>
      </c>
      <c r="AJ135">
        <f t="shared" si="126"/>
        <v>1.0779728952167089E-12</v>
      </c>
      <c r="AK135">
        <f t="shared" si="127"/>
        <v>0.18637305270429028</v>
      </c>
      <c r="AO135">
        <f t="shared" si="128"/>
        <v>4.514465509693369E-5</v>
      </c>
      <c r="AP135">
        <f t="shared" si="129"/>
        <v>0.46591531241719769</v>
      </c>
      <c r="AQ135">
        <f t="shared" si="130"/>
        <v>0.43649012252139718</v>
      </c>
      <c r="AS135">
        <f t="shared" si="131"/>
        <v>12.003794870843324</v>
      </c>
      <c r="AT135">
        <f t="shared" si="132"/>
        <v>12.76724075863264</v>
      </c>
      <c r="AU135">
        <f t="shared" si="133"/>
        <v>7.5164902404205796</v>
      </c>
      <c r="AW135">
        <f t="shared" si="134"/>
        <v>0.19632448140895511</v>
      </c>
      <c r="AX135">
        <f t="shared" si="135"/>
        <v>0.10751206862750878</v>
      </c>
      <c r="AY135">
        <f t="shared" si="136"/>
        <v>0.14207970694827404</v>
      </c>
      <c r="BA135">
        <f t="shared" si="137"/>
        <v>1.0538552201451636E-2</v>
      </c>
      <c r="BB135">
        <f t="shared" si="138"/>
        <v>1.0103754138935873E-2</v>
      </c>
      <c r="BC135">
        <f t="shared" si="139"/>
        <v>0.33464384420656823</v>
      </c>
      <c r="BE135">
        <f t="shared" si="140"/>
        <v>51.262080374182752</v>
      </c>
      <c r="BF135">
        <f t="shared" si="141"/>
        <v>5.5013729662056168</v>
      </c>
      <c r="BG135">
        <f t="shared" si="142"/>
        <v>54.476373621414773</v>
      </c>
      <c r="BI135">
        <f t="shared" si="143"/>
        <v>8.4727450203341159E-2</v>
      </c>
      <c r="BJ135">
        <f t="shared" si="144"/>
        <v>0.12705761807875748</v>
      </c>
      <c r="BK135">
        <f t="shared" si="145"/>
        <v>4.3411156632189481E-2</v>
      </c>
      <c r="BM135">
        <f t="shared" si="146"/>
        <v>1.3970648726932455E-3</v>
      </c>
      <c r="BN135">
        <f t="shared" si="147"/>
        <v>1.4169943561808186E-5</v>
      </c>
      <c r="BO135">
        <f t="shared" si="148"/>
        <v>5.1713977691668044E-2</v>
      </c>
      <c r="BQ135">
        <f t="shared" si="149"/>
        <v>0.13727234365984731</v>
      </c>
      <c r="BR135">
        <f t="shared" si="150"/>
        <v>0.14663763588978926</v>
      </c>
      <c r="BS135">
        <f t="shared" si="151"/>
        <v>4.0541971732426901E-4</v>
      </c>
      <c r="BU135">
        <f t="shared" si="152"/>
        <v>3.4132770582264566E-4</v>
      </c>
      <c r="BV135">
        <f t="shared" si="153"/>
        <v>7.573746385807729E-4</v>
      </c>
      <c r="BW135">
        <f t="shared" si="154"/>
        <v>0.10854913796829106</v>
      </c>
    </row>
    <row r="136" spans="3:75" x14ac:dyDescent="0.2">
      <c r="C136">
        <f t="shared" si="101"/>
        <v>2.7430260260818366E-7</v>
      </c>
      <c r="D136">
        <f t="shared" si="102"/>
        <v>6.4546018105974164E-7</v>
      </c>
      <c r="E136">
        <f t="shared" si="103"/>
        <v>1.7995575411384902E-2</v>
      </c>
      <c r="G136">
        <f t="shared" si="104"/>
        <v>11.75592683894387</v>
      </c>
      <c r="H136">
        <f t="shared" si="105"/>
        <v>9.3559235799091933</v>
      </c>
      <c r="I136">
        <f t="shared" si="106"/>
        <v>0.70100350946892642</v>
      </c>
      <c r="K136">
        <f t="shared" si="107"/>
        <v>0.13524323331364205</v>
      </c>
      <c r="L136">
        <f t="shared" si="108"/>
        <v>5.2557057555688652E-2</v>
      </c>
      <c r="M136">
        <f t="shared" si="109"/>
        <v>9.0247582961150506E-4</v>
      </c>
      <c r="O136">
        <f t="shared" si="110"/>
        <v>3.9242056796447503E-3</v>
      </c>
      <c r="P136">
        <f t="shared" si="111"/>
        <v>3.331719150230116E-3</v>
      </c>
      <c r="Q136">
        <f t="shared" si="112"/>
        <v>0.25616234572276908</v>
      </c>
      <c r="S136">
        <f t="shared" si="113"/>
        <v>50.028366005852298</v>
      </c>
      <c r="T136">
        <f t="shared" si="114"/>
        <v>4.922052150011756E-23</v>
      </c>
      <c r="U136">
        <f t="shared" si="115"/>
        <v>83.088046605296569</v>
      </c>
      <c r="W136">
        <f t="shared" si="116"/>
        <v>0.19993601746953804</v>
      </c>
      <c r="X136">
        <f t="shared" si="117"/>
        <v>0.11732518122881148</v>
      </c>
      <c r="Y136">
        <f t="shared" si="118"/>
        <v>9.2186720958568821E-2</v>
      </c>
      <c r="AA136">
        <f t="shared" si="119"/>
        <v>1.8679773704937227E-4</v>
      </c>
      <c r="AB136">
        <f t="shared" si="120"/>
        <v>2.2543224675063669E-6</v>
      </c>
      <c r="AC136">
        <f t="shared" si="121"/>
        <v>9.8229596577288622E-2</v>
      </c>
      <c r="AE136">
        <f t="shared" si="122"/>
        <v>0.21247435279535179</v>
      </c>
      <c r="AF136">
        <f t="shared" si="123"/>
        <v>0.15991924544980418</v>
      </c>
      <c r="AG136">
        <f t="shared" si="124"/>
        <v>5.0040882321235336E-4</v>
      </c>
      <c r="AI136">
        <f t="shared" si="125"/>
        <v>2.8359943590046633E-3</v>
      </c>
      <c r="AJ136">
        <f t="shared" si="126"/>
        <v>3.9822740793150743E-14</v>
      </c>
      <c r="AK136">
        <f t="shared" si="127"/>
        <v>0.17028874592913903</v>
      </c>
      <c r="AO136">
        <f t="shared" si="128"/>
        <v>5.0651859909225853E-6</v>
      </c>
      <c r="AP136">
        <f t="shared" si="129"/>
        <v>0.46006028280841976</v>
      </c>
      <c r="AQ136">
        <f t="shared" si="130"/>
        <v>0.4300166775686185</v>
      </c>
      <c r="AS136">
        <f t="shared" si="131"/>
        <v>9.7858873573497469</v>
      </c>
      <c r="AT136">
        <f t="shared" si="132"/>
        <v>11.042426140788647</v>
      </c>
      <c r="AU136">
        <f t="shared" si="133"/>
        <v>5.5244962396626622</v>
      </c>
      <c r="AW136">
        <f t="shared" si="134"/>
        <v>0.15377953525175866</v>
      </c>
      <c r="AX136">
        <f t="shared" si="135"/>
        <v>7.6295225841364112E-2</v>
      </c>
      <c r="AY136">
        <f t="shared" si="136"/>
        <v>0.10033298239482256</v>
      </c>
      <c r="BA136">
        <f t="shared" si="137"/>
        <v>3.7149248118709503E-3</v>
      </c>
      <c r="BB136">
        <f t="shared" si="138"/>
        <v>2.869761976306894E-3</v>
      </c>
      <c r="BC136">
        <f t="shared" si="139"/>
        <v>0.12511902333985001</v>
      </c>
      <c r="BE136">
        <f t="shared" si="140"/>
        <v>42.615586204033185</v>
      </c>
      <c r="BF136">
        <f t="shared" si="141"/>
        <v>2.9270894497557469</v>
      </c>
      <c r="BG136">
        <f t="shared" si="142"/>
        <v>42.409989293576757</v>
      </c>
      <c r="BI136">
        <f t="shared" si="143"/>
        <v>6.2998045798196456E-2</v>
      </c>
      <c r="BJ136">
        <f t="shared" si="144"/>
        <v>8.3932753926324627E-2</v>
      </c>
      <c r="BK136">
        <f t="shared" si="145"/>
        <v>2.3021560730052296E-2</v>
      </c>
      <c r="BM136">
        <f t="shared" si="146"/>
        <v>6.902251047011793E-4</v>
      </c>
      <c r="BN136">
        <f t="shared" si="147"/>
        <v>4.1031754866537004E-6</v>
      </c>
      <c r="BO136">
        <f t="shared" si="148"/>
        <v>3.8344974767235425E-2</v>
      </c>
      <c r="BQ136">
        <f t="shared" si="149"/>
        <v>9.3586676059481386E-2</v>
      </c>
      <c r="BR136">
        <f t="shared" si="150"/>
        <v>0.10684595422442254</v>
      </c>
      <c r="BS136">
        <f t="shared" si="151"/>
        <v>9.6432668512664294E-5</v>
      </c>
      <c r="BU136">
        <f t="shared" si="152"/>
        <v>1.0139706124650967E-4</v>
      </c>
      <c r="BV136">
        <f t="shared" si="153"/>
        <v>3.6047390957198434E-4</v>
      </c>
      <c r="BW136">
        <f t="shared" si="154"/>
        <v>7.5732035035887921E-2</v>
      </c>
    </row>
    <row r="137" spans="3:75" x14ac:dyDescent="0.2">
      <c r="C137">
        <f t="shared" si="101"/>
        <v>1.555516774027083E-8</v>
      </c>
      <c r="D137">
        <f t="shared" si="102"/>
        <v>4.9312512873492539E-8</v>
      </c>
      <c r="E137">
        <f t="shared" si="103"/>
        <v>5.2098161660888284E-3</v>
      </c>
      <c r="G137">
        <f t="shared" si="104"/>
        <v>9.9947141871795964</v>
      </c>
      <c r="H137">
        <f t="shared" si="105"/>
        <v>7.4847808686029245</v>
      </c>
      <c r="I137">
        <f t="shared" si="106"/>
        <v>0.25904471817851321</v>
      </c>
      <c r="K137">
        <f t="shared" si="107"/>
        <v>0.10032087018736914</v>
      </c>
      <c r="L137">
        <f t="shared" si="108"/>
        <v>3.4316223293083134E-2</v>
      </c>
      <c r="M137">
        <f t="shared" si="109"/>
        <v>2.3512538277041094E-4</v>
      </c>
      <c r="O137">
        <f t="shared" si="110"/>
        <v>1.3888179579956655E-3</v>
      </c>
      <c r="P137">
        <f t="shared" si="111"/>
        <v>8.6424430953767762E-4</v>
      </c>
      <c r="Q137">
        <f t="shared" si="112"/>
        <v>0.11220134091533392</v>
      </c>
      <c r="S137">
        <f t="shared" si="113"/>
        <v>43.798112910402494</v>
      </c>
      <c r="T137">
        <f t="shared" si="114"/>
        <v>1.1513938939708453E-25</v>
      </c>
      <c r="U137">
        <f t="shared" si="115"/>
        <v>79.727611422306467</v>
      </c>
      <c r="W137">
        <f t="shared" si="116"/>
        <v>0.16959742509330014</v>
      </c>
      <c r="X137">
        <f t="shared" si="117"/>
        <v>8.9138700425804893E-2</v>
      </c>
      <c r="Y137">
        <f t="shared" si="118"/>
        <v>5.7491475116932859E-2</v>
      </c>
      <c r="AA137">
        <f t="shared" si="119"/>
        <v>8.0086846127446921E-5</v>
      </c>
      <c r="AB137">
        <f t="shared" si="120"/>
        <v>6.0613048240132245E-7</v>
      </c>
      <c r="AC137">
        <f t="shared" si="121"/>
        <v>7.8572118972782073E-2</v>
      </c>
      <c r="AE137">
        <f t="shared" si="122"/>
        <v>0.17480711358764606</v>
      </c>
      <c r="AF137">
        <f t="shared" si="123"/>
        <v>0.12508713363816884</v>
      </c>
      <c r="AG137">
        <f t="shared" si="124"/>
        <v>1.299606982346148E-4</v>
      </c>
      <c r="AI137">
        <f t="shared" si="125"/>
        <v>1.4549298233671689E-3</v>
      </c>
      <c r="AJ137">
        <f t="shared" si="126"/>
        <v>1.2171677404132882E-15</v>
      </c>
      <c r="AK137">
        <f t="shared" si="127"/>
        <v>0.15325679382153348</v>
      </c>
      <c r="AO137">
        <f t="shared" si="128"/>
        <v>4.7095115568873988E-7</v>
      </c>
      <c r="AP137">
        <f t="shared" si="129"/>
        <v>0.45354370383368942</v>
      </c>
      <c r="AQ137">
        <f t="shared" si="130"/>
        <v>0.42321688183615863</v>
      </c>
      <c r="AS137">
        <f t="shared" si="131"/>
        <v>7.7818604177724717</v>
      </c>
      <c r="AT137">
        <f t="shared" si="132"/>
        <v>9.3805872316590726</v>
      </c>
      <c r="AU137">
        <f t="shared" si="133"/>
        <v>3.932728753545641</v>
      </c>
      <c r="AW137">
        <f t="shared" si="134"/>
        <v>0.1176348626946481</v>
      </c>
      <c r="AX137">
        <f t="shared" si="135"/>
        <v>5.2584545647195162E-2</v>
      </c>
      <c r="AY137">
        <f t="shared" si="136"/>
        <v>6.8831218456304605E-2</v>
      </c>
      <c r="BA137">
        <f t="shared" si="137"/>
        <v>1.2306574726173238E-3</v>
      </c>
      <c r="BB137">
        <f t="shared" si="138"/>
        <v>7.4564005087642124E-4</v>
      </c>
      <c r="BC137">
        <f t="shared" si="139"/>
        <v>4.2699870470809337E-2</v>
      </c>
      <c r="BE137">
        <f t="shared" si="140"/>
        <v>34.739032517995291</v>
      </c>
      <c r="BF137">
        <f t="shared" si="141"/>
        <v>1.4781185835413577</v>
      </c>
      <c r="BG137">
        <f t="shared" si="142"/>
        <v>32.057525204437312</v>
      </c>
      <c r="BI137">
        <f t="shared" si="143"/>
        <v>4.58971207910902E-2</v>
      </c>
      <c r="BJ137">
        <f t="shared" si="144"/>
        <v>5.317952994746019E-2</v>
      </c>
      <c r="BK137">
        <f t="shared" si="145"/>
        <v>1.1547022536932561E-2</v>
      </c>
      <c r="BM137">
        <f t="shared" si="146"/>
        <v>3.2561048920725418E-4</v>
      </c>
      <c r="BN137">
        <f t="shared" si="147"/>
        <v>1.104087656372955E-6</v>
      </c>
      <c r="BO137">
        <f t="shared" si="148"/>
        <v>2.7577520647598112E-2</v>
      </c>
      <c r="BQ137">
        <f t="shared" si="149"/>
        <v>6.1044120549537145E-2</v>
      </c>
      <c r="BR137">
        <f t="shared" si="150"/>
        <v>7.5192055700791779E-2</v>
      </c>
      <c r="BS137">
        <f t="shared" si="151"/>
        <v>2.0299518324200634E-5</v>
      </c>
      <c r="BU137">
        <f t="shared" si="152"/>
        <v>2.7319761214688231E-5</v>
      </c>
      <c r="BV137">
        <f t="shared" si="153"/>
        <v>1.6426728585598084E-4</v>
      </c>
      <c r="BW137">
        <f t="shared" si="154"/>
        <v>5.0351729063974678E-2</v>
      </c>
    </row>
    <row r="138" spans="3:75" x14ac:dyDescent="0.2">
      <c r="C138">
        <f t="shared" si="101"/>
        <v>7.040367327435973E-10</v>
      </c>
      <c r="D138">
        <f t="shared" si="102"/>
        <v>3.1078704868783377E-9</v>
      </c>
      <c r="E138">
        <f t="shared" si="103"/>
        <v>1.3412117354493164E-3</v>
      </c>
      <c r="G138">
        <f t="shared" si="104"/>
        <v>8.3390265330588811</v>
      </c>
      <c r="H138">
        <f t="shared" si="105"/>
        <v>5.8496972465249932</v>
      </c>
      <c r="I138">
        <f t="shared" si="106"/>
        <v>8.6298178260157746E-2</v>
      </c>
      <c r="K138">
        <f t="shared" si="107"/>
        <v>7.2497499082435135E-2</v>
      </c>
      <c r="L138">
        <f t="shared" si="108"/>
        <v>2.1695998853661625E-2</v>
      </c>
      <c r="M138">
        <f t="shared" si="109"/>
        <v>5.4933906912995417E-5</v>
      </c>
      <c r="O138">
        <f t="shared" si="110"/>
        <v>4.6487951399685503E-4</v>
      </c>
      <c r="P138">
        <f t="shared" si="111"/>
        <v>2.0478058167047175E-4</v>
      </c>
      <c r="Q138">
        <f t="shared" si="112"/>
        <v>4.6094515325569262E-2</v>
      </c>
      <c r="S138">
        <f t="shared" si="113"/>
        <v>37.841109594045435</v>
      </c>
      <c r="T138">
        <f t="shared" si="114"/>
        <v>1.9881918620008141E-28</v>
      </c>
      <c r="U138">
        <f t="shared" si="115"/>
        <v>75.556324998411569</v>
      </c>
      <c r="W138">
        <f t="shared" si="116"/>
        <v>0.14210080147721929</v>
      </c>
      <c r="X138">
        <f t="shared" si="117"/>
        <v>6.6474102350013428E-2</v>
      </c>
      <c r="Y138">
        <f t="shared" si="118"/>
        <v>3.4371241371227067E-2</v>
      </c>
      <c r="AA138">
        <f t="shared" si="119"/>
        <v>3.2728952510571023E-5</v>
      </c>
      <c r="AB138">
        <f t="shared" si="120"/>
        <v>1.519508644619238E-7</v>
      </c>
      <c r="AC138">
        <f t="shared" si="121"/>
        <v>6.1156034615988522E-2</v>
      </c>
      <c r="AE138">
        <f t="shared" si="122"/>
        <v>0.14049019903422541</v>
      </c>
      <c r="AF138">
        <f t="shared" si="123"/>
        <v>9.535220944312417E-2</v>
      </c>
      <c r="AG138">
        <f t="shared" si="124"/>
        <v>3.0187246493719852E-5</v>
      </c>
      <c r="AI138">
        <f t="shared" si="125"/>
        <v>7.1249867231215212E-4</v>
      </c>
      <c r="AJ138">
        <f t="shared" si="126"/>
        <v>3.0779793386504368E-17</v>
      </c>
      <c r="AK138">
        <f t="shared" si="127"/>
        <v>0.13585777087042694</v>
      </c>
      <c r="AO138">
        <f t="shared" si="128"/>
        <v>3.6286722971478257E-8</v>
      </c>
      <c r="AP138">
        <f t="shared" si="129"/>
        <v>0.44639588737287028</v>
      </c>
      <c r="AQ138">
        <f t="shared" si="130"/>
        <v>0.41610934707512831</v>
      </c>
      <c r="AS138">
        <f t="shared" si="131"/>
        <v>6.0362641716558514</v>
      </c>
      <c r="AT138">
        <f t="shared" si="132"/>
        <v>7.8269690783891939</v>
      </c>
      <c r="AU138">
        <f t="shared" si="133"/>
        <v>2.7115588305373004</v>
      </c>
      <c r="AW138">
        <f t="shared" si="134"/>
        <v>8.7879378425990737E-2</v>
      </c>
      <c r="AX138">
        <f t="shared" si="135"/>
        <v>3.5199744145495079E-2</v>
      </c>
      <c r="AY138">
        <f t="shared" si="136"/>
        <v>4.5873012334556956E-2</v>
      </c>
      <c r="BA138">
        <f t="shared" si="137"/>
        <v>3.8312672347324048E-4</v>
      </c>
      <c r="BB138">
        <f t="shared" si="138"/>
        <v>1.7722819769247386E-4</v>
      </c>
      <c r="BC138">
        <f t="shared" si="139"/>
        <v>1.3301250614840405E-2</v>
      </c>
      <c r="BE138">
        <f t="shared" si="140"/>
        <v>27.767960592383854</v>
      </c>
      <c r="BF138">
        <f t="shared" si="141"/>
        <v>0.70842020189468047</v>
      </c>
      <c r="BG138">
        <f t="shared" si="142"/>
        <v>23.528469541515676</v>
      </c>
      <c r="BI138">
        <f t="shared" si="143"/>
        <v>3.2764174505196378E-2</v>
      </c>
      <c r="BJ138">
        <f t="shared" si="144"/>
        <v>3.2317650001480194E-2</v>
      </c>
      <c r="BK138">
        <f t="shared" si="145"/>
        <v>5.4778118178036841E-3</v>
      </c>
      <c r="BM138">
        <f t="shared" si="146"/>
        <v>1.4666938789920271E-4</v>
      </c>
      <c r="BN138">
        <f t="shared" si="147"/>
        <v>2.7606955142769083E-7</v>
      </c>
      <c r="BO138">
        <f t="shared" si="148"/>
        <v>1.9237482158290929E-2</v>
      </c>
      <c r="BQ138">
        <f t="shared" si="149"/>
        <v>3.8095397071828067E-2</v>
      </c>
      <c r="BR138">
        <f t="shared" si="150"/>
        <v>5.1107787348241819E-2</v>
      </c>
      <c r="BS138">
        <f t="shared" si="151"/>
        <v>3.781721221713394E-6</v>
      </c>
      <c r="BU138">
        <f t="shared" si="152"/>
        <v>6.6761507482177249E-6</v>
      </c>
      <c r="BV138">
        <f t="shared" si="153"/>
        <v>7.1670839640464331E-5</v>
      </c>
      <c r="BW138">
        <f t="shared" si="154"/>
        <v>3.190293680176353E-2</v>
      </c>
    </row>
    <row r="139" spans="3:75" x14ac:dyDescent="0.2">
      <c r="C139">
        <f t="shared" si="101"/>
        <v>2.5432660186069432E-11</v>
      </c>
      <c r="D139">
        <f t="shared" si="102"/>
        <v>1.6157969745661272E-10</v>
      </c>
      <c r="E139">
        <f t="shared" si="103"/>
        <v>3.0703690184591973E-4</v>
      </c>
      <c r="G139">
        <f t="shared" si="104"/>
        <v>6.8279731327520512</v>
      </c>
      <c r="H139">
        <f t="shared" si="105"/>
        <v>4.4663172073419295</v>
      </c>
      <c r="I139">
        <f t="shared" si="106"/>
        <v>2.5917962140666082E-2</v>
      </c>
      <c r="K139">
        <f t="shared" si="107"/>
        <v>5.104000975619883E-2</v>
      </c>
      <c r="L139">
        <f t="shared" si="108"/>
        <v>1.328224648575598E-2</v>
      </c>
      <c r="M139">
        <f t="shared" si="109"/>
        <v>1.1509553987145301E-5</v>
      </c>
      <c r="O139">
        <f t="shared" si="110"/>
        <v>1.4717600726524505E-4</v>
      </c>
      <c r="P139">
        <f t="shared" si="111"/>
        <v>4.4322588495060544E-5</v>
      </c>
      <c r="Q139">
        <f t="shared" si="112"/>
        <v>1.7761061103344768E-2</v>
      </c>
      <c r="S139">
        <f t="shared" si="113"/>
        <v>32.265745905486234</v>
      </c>
      <c r="T139">
        <f t="shared" si="114"/>
        <v>2.5342492131394544E-31</v>
      </c>
      <c r="U139">
        <f t="shared" si="115"/>
        <v>70.717152886783623</v>
      </c>
      <c r="W139">
        <f t="shared" si="116"/>
        <v>0.11760420664864457</v>
      </c>
      <c r="X139">
        <f t="shared" si="117"/>
        <v>4.8657499146041776E-2</v>
      </c>
      <c r="Y139">
        <f t="shared" si="118"/>
        <v>1.9698976620435172E-2</v>
      </c>
      <c r="AA139">
        <f t="shared" si="119"/>
        <v>1.2749241711140646E-5</v>
      </c>
      <c r="AB139">
        <f t="shared" si="120"/>
        <v>3.5516256923564823E-8</v>
      </c>
      <c r="AC139">
        <f t="shared" si="121"/>
        <v>4.6318545921988134E-2</v>
      </c>
      <c r="AE139">
        <f t="shared" si="122"/>
        <v>0.11029791247091494</v>
      </c>
      <c r="AF139">
        <f t="shared" si="123"/>
        <v>7.083617328237804E-2</v>
      </c>
      <c r="AG139">
        <f t="shared" si="124"/>
        <v>6.2713256598041667E-6</v>
      </c>
      <c r="AI139">
        <f t="shared" si="125"/>
        <v>3.3306684431079876E-4</v>
      </c>
      <c r="AJ139">
        <f t="shared" si="126"/>
        <v>6.4398677328020679E-19</v>
      </c>
      <c r="AK139">
        <f t="shared" si="127"/>
        <v>0.11862608383647615</v>
      </c>
      <c r="AO139">
        <f t="shared" si="128"/>
        <v>2.3169200271797974E-9</v>
      </c>
      <c r="AP139">
        <f t="shared" si="129"/>
        <v>0.43864973302242982</v>
      </c>
      <c r="AQ139">
        <f t="shared" si="130"/>
        <v>0.40871329449706517</v>
      </c>
      <c r="AS139">
        <f t="shared" si="131"/>
        <v>4.5672482338519593</v>
      </c>
      <c r="AT139">
        <f t="shared" si="132"/>
        <v>6.4143887641166071</v>
      </c>
      <c r="AU139">
        <f t="shared" si="133"/>
        <v>1.8107887853040239</v>
      </c>
      <c r="AW139">
        <f t="shared" si="134"/>
        <v>6.4113771311386403E-2</v>
      </c>
      <c r="AX139">
        <f t="shared" si="135"/>
        <v>2.2884504099734436E-2</v>
      </c>
      <c r="AY139">
        <f t="shared" si="136"/>
        <v>2.9700183229109806E-2</v>
      </c>
      <c r="BA139">
        <f t="shared" si="137"/>
        <v>1.120897203198947E-4</v>
      </c>
      <c r="BB139">
        <f t="shared" si="138"/>
        <v>3.8535114850071974E-5</v>
      </c>
      <c r="BC139">
        <f t="shared" si="139"/>
        <v>3.7819963180674323E-3</v>
      </c>
      <c r="BE139">
        <f t="shared" si="140"/>
        <v>21.764428224362671</v>
      </c>
      <c r="BF139">
        <f t="shared" si="141"/>
        <v>0.3222411324025739</v>
      </c>
      <c r="BG139">
        <f t="shared" si="142"/>
        <v>16.76714890240692</v>
      </c>
      <c r="BI139">
        <f t="shared" si="143"/>
        <v>2.2917563425829391E-2</v>
      </c>
      <c r="BJ139">
        <f t="shared" si="144"/>
        <v>1.8837241685493888E-2</v>
      </c>
      <c r="BK139">
        <f t="shared" si="145"/>
        <v>2.4577972190422508E-3</v>
      </c>
      <c r="BM139">
        <f t="shared" si="146"/>
        <v>6.3083245607648957E-5</v>
      </c>
      <c r="BN139">
        <f t="shared" si="147"/>
        <v>6.4145317141683447E-8</v>
      </c>
      <c r="BO139">
        <f t="shared" si="148"/>
        <v>1.3016298248089661E-2</v>
      </c>
      <c r="BQ139">
        <f t="shared" si="149"/>
        <v>2.274573696082019E-2</v>
      </c>
      <c r="BR139">
        <f t="shared" si="150"/>
        <v>3.3550843589645059E-2</v>
      </c>
      <c r="BS139">
        <f t="shared" si="151"/>
        <v>6.2349865095065993E-7</v>
      </c>
      <c r="BU139">
        <f t="shared" si="152"/>
        <v>1.4796979578019343E-6</v>
      </c>
      <c r="BV139">
        <f t="shared" si="153"/>
        <v>2.9939743093740985E-5</v>
      </c>
      <c r="BW139">
        <f t="shared" si="154"/>
        <v>1.9263200799499034E-2</v>
      </c>
    </row>
    <row r="143" spans="3:75" x14ac:dyDescent="0.2">
      <c r="D143" s="302"/>
    </row>
    <row r="144" spans="3:75" x14ac:dyDescent="0.2">
      <c r="C144">
        <f t="array" ref="C144:C173">FREQUENCY(C5:C35,C78:C107)</f>
        <v>0</v>
      </c>
      <c r="D144">
        <f t="array" ref="D144:D173">FREQUENCY(D5:D35,D78:D107)</f>
        <v>0</v>
      </c>
      <c r="E144">
        <f t="array" ref="E144:E173">FREQUENCY(E5:E35,E78:E107)</f>
        <v>0</v>
      </c>
      <c r="G144">
        <f t="array" ref="G144:G173">FREQUENCY(G5:G35,G78:G107)</f>
        <v>0</v>
      </c>
      <c r="H144">
        <f t="array" ref="H144:H173">FREQUENCY(H5:H35,H78:H107)</f>
        <v>0</v>
      </c>
      <c r="I144">
        <f t="array" ref="I144:I173">FREQUENCY(I5:I35,I78:I107)</f>
        <v>0</v>
      </c>
      <c r="K144">
        <f t="array" ref="K144:K173">FREQUENCY(K5:K35,K78:K107)</f>
        <v>0</v>
      </c>
      <c r="L144">
        <f t="array" ref="L144:L173">FREQUENCY(L5:L35,L78:L107)</f>
        <v>0</v>
      </c>
      <c r="M144">
        <f t="array" ref="M144:M173">FREQUENCY(M5:M35,M78:M107)</f>
        <v>0</v>
      </c>
      <c r="O144">
        <f t="array" ref="O144:O173">FREQUENCY(O5:O35,O78:O107)</f>
        <v>1</v>
      </c>
      <c r="P144">
        <f t="array" ref="P144:P173">FREQUENCY(P5:P35,P78:P107)</f>
        <v>0</v>
      </c>
      <c r="Q144">
        <f t="array" ref="Q144:Q173">FREQUENCY(Q5:Q35,Q78:Q107)</f>
        <v>0</v>
      </c>
      <c r="S144">
        <f t="array" ref="S144:S173">FREQUENCY(S5:S35,S78:S107)</f>
        <v>0</v>
      </c>
      <c r="T144">
        <f t="array" ref="T144:T173">FREQUENCY(T5:T35,T78:T107)</f>
        <v>0</v>
      </c>
      <c r="U144">
        <f t="array" ref="U144:U173">FREQUENCY(U5:U35,U78:U107)</f>
        <v>0</v>
      </c>
      <c r="W144">
        <f t="array" ref="W144:W173">FREQUENCY(W5:W35,W78:W107)</f>
        <v>0</v>
      </c>
      <c r="X144">
        <f t="array" ref="X144:X173">FREQUENCY(X5:X35,X78:X107)</f>
        <v>0</v>
      </c>
      <c r="Y144">
        <f t="array" ref="Y144:Y173">FREQUENCY(Y5:Y35,Y78:Y107)</f>
        <v>0</v>
      </c>
      <c r="AA144">
        <f t="array" ref="AA144:AA173">FREQUENCY(AA5:AA35,AA78:AA107)</f>
        <v>1</v>
      </c>
      <c r="AB144">
        <f t="array" ref="AB144:AB173">FREQUENCY(AB5:AB35,AB78:AB107)</f>
        <v>1</v>
      </c>
      <c r="AC144">
        <f t="array" ref="AC144:AC173">FREQUENCY(AC5:AC35,AC78:AC107)</f>
        <v>0</v>
      </c>
      <c r="AE144">
        <f t="array" ref="AE144:AE173">FREQUENCY(AE5:AE35,AE78:AE107)</f>
        <v>0</v>
      </c>
      <c r="AF144">
        <f t="array" ref="AF144:AF173">FREQUENCY(AF5:AF35,AF78:AF107)</f>
        <v>0</v>
      </c>
      <c r="AG144">
        <f t="array" ref="AG144:AG173">FREQUENCY(AG5:AG35,AG78:AG107)</f>
        <v>0</v>
      </c>
      <c r="AI144">
        <f t="array" ref="AI144:AI173">FREQUENCY(AI5:AI35,AI78:AI107)</f>
        <v>0</v>
      </c>
      <c r="AJ144">
        <f t="array" ref="AJ144:AJ173">FREQUENCY(AJ5:AJ35,AJ78:AJ107)</f>
        <v>0</v>
      </c>
      <c r="AK144">
        <f t="array" ref="AK144:AK173">FREQUENCY(AK5:AK35,AK78:AK107)</f>
        <v>0</v>
      </c>
      <c r="AO144">
        <f t="array" ref="AO144:AO173">FREQUENCY(AO5:AO35,AO78:AO107)</f>
        <v>0</v>
      </c>
      <c r="AP144">
        <f t="array" ref="AP144:AP173">FREQUENCY(AP5:AP35,AP78:AP107)</f>
        <v>0</v>
      </c>
      <c r="AQ144">
        <f t="array" ref="AQ144:AQ173">FREQUENCY(AQ5:AQ35,AQ78:AQ107)</f>
        <v>1</v>
      </c>
      <c r="AS144">
        <f t="array" ref="AS144:AS173">FREQUENCY(AS5:AS35,AS78:AS107)</f>
        <v>0</v>
      </c>
      <c r="AT144">
        <f t="array" ref="AT144:AT173">FREQUENCY(AT5:AT35,AT78:AT107)</f>
        <v>0</v>
      </c>
      <c r="AU144">
        <f t="array" ref="AU144:AU173">FREQUENCY(AU5:AU35,AU78:AU107)</f>
        <v>1</v>
      </c>
      <c r="AW144">
        <f t="array" ref="AW144:AW173">FREQUENCY(AW5:AW35,AW78:AW107)</f>
        <v>0</v>
      </c>
      <c r="AX144">
        <f t="array" ref="AX144:AX173">FREQUENCY(AX5:AX35,AX78:AX107)</f>
        <v>0</v>
      </c>
      <c r="AY144">
        <f t="array" ref="AY144:AY173">FREQUENCY(AY5:AY35,AY78:AY107)</f>
        <v>1</v>
      </c>
      <c r="BA144">
        <f t="array" ref="BA144:BA173">FREQUENCY(BA5:BA35,BA78:BA107)</f>
        <v>0</v>
      </c>
      <c r="BB144">
        <f t="array" ref="BB144:BB173">FREQUENCY(BB5:BB35,BB78:BB107)</f>
        <v>0</v>
      </c>
      <c r="BC144">
        <f t="array" ref="BC144:BC173">FREQUENCY(BC5:BC35,BC78:BC107)</f>
        <v>0</v>
      </c>
      <c r="BE144">
        <f t="array" ref="BE144:BE173">FREQUENCY(BE5:BE35,BE78:BE107)</f>
        <v>0</v>
      </c>
      <c r="BF144">
        <f t="array" ref="BF144:BF173">FREQUENCY(BF5:BF35,BF78:BF107)</f>
        <v>0</v>
      </c>
      <c r="BG144">
        <f t="array" ref="BG144:BG173">FREQUENCY(BG5:BG35,BG78:BG107)</f>
        <v>0</v>
      </c>
      <c r="BI144">
        <f t="array" ref="BI144:BI173">FREQUENCY(BI5:BI35,BI78:BI107)</f>
        <v>0</v>
      </c>
      <c r="BJ144">
        <f t="array" ref="BJ144:BJ173">FREQUENCY(BJ5:BJ35,BJ78:BJ107)</f>
        <v>0</v>
      </c>
      <c r="BK144">
        <f t="array" ref="BK144:BK173">FREQUENCY(BK5:BK35,BK78:BK107)</f>
        <v>0</v>
      </c>
      <c r="BM144">
        <f t="array" ref="BM144:BM173">FREQUENCY(BM5:BM35,BM78:BM107)</f>
        <v>1</v>
      </c>
      <c r="BN144">
        <f t="array" ref="BN144:BN173">FREQUENCY(BN5:BN35,BN78:BN107)</f>
        <v>1</v>
      </c>
      <c r="BO144">
        <f t="array" ref="BO144:BO173">FREQUENCY(BO5:BO35,BO78:BO107)</f>
        <v>0</v>
      </c>
      <c r="BQ144">
        <f t="array" ref="BQ144:BQ173">FREQUENCY(BQ5:BQ35,BQ78:BQ107)</f>
        <v>0</v>
      </c>
      <c r="BR144">
        <f t="array" ref="BR144:BR173">FREQUENCY(BR5:BR35,BR78:BR107)</f>
        <v>0</v>
      </c>
      <c r="BS144">
        <f t="array" ref="BS144:BS173">FREQUENCY(BS5:BS35,BS78:BS107)</f>
        <v>0</v>
      </c>
      <c r="BU144">
        <f t="array" ref="BU144:BU173">FREQUENCY(BU5:BU35,BU78:BU107)</f>
        <v>0</v>
      </c>
      <c r="BV144">
        <f t="array" ref="BV144:BV173">FREQUENCY(BV5:BV35,BV78:BV107)</f>
        <v>1</v>
      </c>
      <c r="BW144">
        <f t="array" ref="BW144:BW173">FREQUENCY(BW5:BW35,BW78:BW107)</f>
        <v>0</v>
      </c>
    </row>
    <row r="145" spans="3:75" x14ac:dyDescent="0.2">
      <c r="C145">
        <v>0</v>
      </c>
      <c r="D145">
        <v>0</v>
      </c>
      <c r="E145">
        <v>0</v>
      </c>
      <c r="G145">
        <v>0</v>
      </c>
      <c r="H145">
        <v>0</v>
      </c>
      <c r="I145">
        <v>0</v>
      </c>
      <c r="K145">
        <v>0</v>
      </c>
      <c r="L145">
        <v>0</v>
      </c>
      <c r="M145">
        <v>0</v>
      </c>
      <c r="O145">
        <v>0</v>
      </c>
      <c r="P145">
        <v>0</v>
      </c>
      <c r="Q145">
        <v>0</v>
      </c>
      <c r="S145">
        <v>0</v>
      </c>
      <c r="T145">
        <v>0</v>
      </c>
      <c r="U145">
        <v>0</v>
      </c>
      <c r="W145">
        <v>0</v>
      </c>
      <c r="X145">
        <v>0</v>
      </c>
      <c r="Y145">
        <v>0</v>
      </c>
      <c r="AA145">
        <v>0</v>
      </c>
      <c r="AB145">
        <v>0</v>
      </c>
      <c r="AC145">
        <v>1</v>
      </c>
      <c r="AE145">
        <v>0</v>
      </c>
      <c r="AF145">
        <v>0</v>
      </c>
      <c r="AG145">
        <v>0</v>
      </c>
      <c r="AI145">
        <v>0</v>
      </c>
      <c r="AJ145">
        <v>1</v>
      </c>
      <c r="AK145">
        <v>0</v>
      </c>
      <c r="AO145">
        <v>0</v>
      </c>
      <c r="AP145">
        <v>0</v>
      </c>
      <c r="AQ145">
        <v>0</v>
      </c>
      <c r="AS145">
        <v>0</v>
      </c>
      <c r="AT145">
        <v>0</v>
      </c>
      <c r="AU145">
        <v>0</v>
      </c>
      <c r="AW145">
        <v>0</v>
      </c>
      <c r="AX145">
        <v>0</v>
      </c>
      <c r="AY145">
        <v>0</v>
      </c>
      <c r="BA145">
        <v>2</v>
      </c>
      <c r="BB145">
        <v>0</v>
      </c>
      <c r="BC145">
        <v>0</v>
      </c>
      <c r="BE145">
        <v>0</v>
      </c>
      <c r="BF145">
        <v>0</v>
      </c>
      <c r="BG145">
        <v>0</v>
      </c>
      <c r="BI145">
        <v>0</v>
      </c>
      <c r="BJ145">
        <v>0</v>
      </c>
      <c r="BK145">
        <v>0</v>
      </c>
      <c r="BM145">
        <v>1</v>
      </c>
      <c r="BN145">
        <v>0</v>
      </c>
      <c r="BO145">
        <v>0</v>
      </c>
      <c r="BQ145">
        <v>0</v>
      </c>
      <c r="BR145">
        <v>0</v>
      </c>
      <c r="BS145">
        <v>0</v>
      </c>
      <c r="BU145">
        <v>0</v>
      </c>
      <c r="BV145">
        <v>0</v>
      </c>
      <c r="BW145">
        <v>0</v>
      </c>
    </row>
    <row r="146" spans="3:75" x14ac:dyDescent="0.2">
      <c r="C146">
        <v>0</v>
      </c>
      <c r="D146">
        <v>0</v>
      </c>
      <c r="E146">
        <v>0</v>
      </c>
      <c r="G146">
        <v>0</v>
      </c>
      <c r="H146">
        <v>0</v>
      </c>
      <c r="I146">
        <v>0</v>
      </c>
      <c r="K146">
        <v>0</v>
      </c>
      <c r="L146">
        <v>0</v>
      </c>
      <c r="M146">
        <v>0</v>
      </c>
      <c r="O146">
        <v>2</v>
      </c>
      <c r="P146">
        <v>0</v>
      </c>
      <c r="Q146">
        <v>0</v>
      </c>
      <c r="S146">
        <v>0</v>
      </c>
      <c r="T146">
        <v>2</v>
      </c>
      <c r="U146">
        <v>0</v>
      </c>
      <c r="W146">
        <v>1</v>
      </c>
      <c r="X146">
        <v>1</v>
      </c>
      <c r="Y146">
        <v>0</v>
      </c>
      <c r="AA146">
        <v>1</v>
      </c>
      <c r="AB146">
        <v>2</v>
      </c>
      <c r="AC146">
        <v>0</v>
      </c>
      <c r="AE146">
        <v>0</v>
      </c>
      <c r="AF146">
        <v>0</v>
      </c>
      <c r="AG146">
        <v>0</v>
      </c>
      <c r="AI146">
        <v>0</v>
      </c>
      <c r="AJ146">
        <v>0</v>
      </c>
      <c r="AK146">
        <v>0</v>
      </c>
      <c r="AO146">
        <v>0</v>
      </c>
      <c r="AP146">
        <v>0</v>
      </c>
      <c r="AQ146">
        <v>0</v>
      </c>
      <c r="AS146">
        <v>0</v>
      </c>
      <c r="AT146">
        <v>0</v>
      </c>
      <c r="AU146">
        <v>0</v>
      </c>
      <c r="AW146">
        <v>0</v>
      </c>
      <c r="AX146">
        <v>0</v>
      </c>
      <c r="AY146">
        <v>0</v>
      </c>
      <c r="BA146">
        <v>0</v>
      </c>
      <c r="BB146">
        <v>0</v>
      </c>
      <c r="BC146">
        <v>0</v>
      </c>
      <c r="BE146">
        <v>0</v>
      </c>
      <c r="BF146">
        <v>0</v>
      </c>
      <c r="BG146">
        <v>0</v>
      </c>
      <c r="BI146">
        <v>1</v>
      </c>
      <c r="BJ146">
        <v>0</v>
      </c>
      <c r="BK146">
        <v>0</v>
      </c>
      <c r="BM146">
        <v>0</v>
      </c>
      <c r="BN146">
        <v>1</v>
      </c>
      <c r="BO146">
        <v>0</v>
      </c>
      <c r="BQ146">
        <v>0</v>
      </c>
      <c r="BR146">
        <v>0</v>
      </c>
      <c r="BS146">
        <v>0</v>
      </c>
      <c r="BU146">
        <v>0</v>
      </c>
      <c r="BV146">
        <v>0</v>
      </c>
      <c r="BW146">
        <v>0</v>
      </c>
    </row>
    <row r="147" spans="3:75" x14ac:dyDescent="0.2">
      <c r="C147">
        <v>0</v>
      </c>
      <c r="D147">
        <v>0</v>
      </c>
      <c r="E147">
        <v>0</v>
      </c>
      <c r="G147">
        <v>0</v>
      </c>
      <c r="H147">
        <v>0</v>
      </c>
      <c r="I147">
        <v>0</v>
      </c>
      <c r="K147">
        <v>0</v>
      </c>
      <c r="L147">
        <v>0</v>
      </c>
      <c r="M147">
        <v>0</v>
      </c>
      <c r="O147">
        <v>1</v>
      </c>
      <c r="P147">
        <v>0</v>
      </c>
      <c r="Q147">
        <v>0</v>
      </c>
      <c r="S147">
        <v>0</v>
      </c>
      <c r="T147">
        <v>0</v>
      </c>
      <c r="U147">
        <v>0</v>
      </c>
      <c r="W147">
        <v>1</v>
      </c>
      <c r="X147">
        <v>1</v>
      </c>
      <c r="Y147">
        <v>0</v>
      </c>
      <c r="AA147">
        <v>1</v>
      </c>
      <c r="AB147">
        <v>0</v>
      </c>
      <c r="AC147">
        <v>0</v>
      </c>
      <c r="AE147">
        <v>0</v>
      </c>
      <c r="AF147">
        <v>0</v>
      </c>
      <c r="AG147">
        <v>0</v>
      </c>
      <c r="AI147">
        <v>1</v>
      </c>
      <c r="AJ147">
        <v>1</v>
      </c>
      <c r="AK147">
        <v>0</v>
      </c>
      <c r="AO147">
        <v>0</v>
      </c>
      <c r="AP147">
        <v>0</v>
      </c>
      <c r="AQ147">
        <v>0</v>
      </c>
      <c r="AS147">
        <v>0</v>
      </c>
      <c r="AT147">
        <v>0</v>
      </c>
      <c r="AU147">
        <v>0</v>
      </c>
      <c r="AW147">
        <v>0</v>
      </c>
      <c r="AX147">
        <v>0</v>
      </c>
      <c r="AY147">
        <v>0</v>
      </c>
      <c r="BA147">
        <v>1</v>
      </c>
      <c r="BB147">
        <v>0</v>
      </c>
      <c r="BC147">
        <v>0</v>
      </c>
      <c r="BE147">
        <v>0</v>
      </c>
      <c r="BF147">
        <v>0</v>
      </c>
      <c r="BG147">
        <v>0</v>
      </c>
      <c r="BI147">
        <v>0</v>
      </c>
      <c r="BJ147">
        <v>0</v>
      </c>
      <c r="BK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0</v>
      </c>
      <c r="BU147">
        <v>0</v>
      </c>
      <c r="BV147">
        <v>0</v>
      </c>
      <c r="BW147">
        <v>0</v>
      </c>
    </row>
    <row r="148" spans="3:75" x14ac:dyDescent="0.2">
      <c r="C148">
        <v>0</v>
      </c>
      <c r="D148">
        <v>0</v>
      </c>
      <c r="E148">
        <v>0</v>
      </c>
      <c r="G148">
        <v>1</v>
      </c>
      <c r="H148">
        <v>0</v>
      </c>
      <c r="I148">
        <v>0</v>
      </c>
      <c r="K148">
        <v>0</v>
      </c>
      <c r="L148">
        <v>0</v>
      </c>
      <c r="M148">
        <v>0</v>
      </c>
      <c r="O148">
        <v>2</v>
      </c>
      <c r="P148">
        <v>0</v>
      </c>
      <c r="Q148">
        <v>0</v>
      </c>
      <c r="S148">
        <v>0</v>
      </c>
      <c r="T148">
        <v>1</v>
      </c>
      <c r="U148">
        <v>0</v>
      </c>
      <c r="W148">
        <v>0</v>
      </c>
      <c r="X148">
        <v>0</v>
      </c>
      <c r="Y148">
        <v>0</v>
      </c>
      <c r="AA148">
        <v>1</v>
      </c>
      <c r="AB148">
        <v>1</v>
      </c>
      <c r="AC148">
        <v>0</v>
      </c>
      <c r="AE148">
        <v>0</v>
      </c>
      <c r="AF148">
        <v>0</v>
      </c>
      <c r="AG148">
        <v>0</v>
      </c>
      <c r="AI148">
        <v>0</v>
      </c>
      <c r="AJ148">
        <v>0</v>
      </c>
      <c r="AK148">
        <v>1</v>
      </c>
      <c r="AO148">
        <v>0</v>
      </c>
      <c r="AP148">
        <v>0</v>
      </c>
      <c r="AQ148">
        <v>0</v>
      </c>
      <c r="AS148">
        <v>0</v>
      </c>
      <c r="AT148">
        <v>0</v>
      </c>
      <c r="AU148">
        <v>0</v>
      </c>
      <c r="AW148">
        <v>0</v>
      </c>
      <c r="AX148">
        <v>0</v>
      </c>
      <c r="AY148">
        <v>0</v>
      </c>
      <c r="BA148">
        <v>1</v>
      </c>
      <c r="BB148">
        <v>1</v>
      </c>
      <c r="BC148">
        <v>0</v>
      </c>
      <c r="BE148">
        <v>1</v>
      </c>
      <c r="BF148">
        <v>0</v>
      </c>
      <c r="BG148">
        <v>0</v>
      </c>
      <c r="BI148">
        <v>2</v>
      </c>
      <c r="BJ148">
        <v>0</v>
      </c>
      <c r="BK148">
        <v>1</v>
      </c>
      <c r="BM148">
        <v>0</v>
      </c>
      <c r="BN148">
        <v>0</v>
      </c>
      <c r="BO148">
        <v>1</v>
      </c>
      <c r="BQ148">
        <v>0</v>
      </c>
      <c r="BR148">
        <v>0</v>
      </c>
      <c r="BS148">
        <v>0</v>
      </c>
      <c r="BU148">
        <v>0</v>
      </c>
      <c r="BV148">
        <v>1</v>
      </c>
      <c r="BW148">
        <v>0</v>
      </c>
    </row>
    <row r="149" spans="3:75" x14ac:dyDescent="0.2">
      <c r="C149">
        <v>0</v>
      </c>
      <c r="D149">
        <v>0</v>
      </c>
      <c r="E149">
        <v>0</v>
      </c>
      <c r="G149">
        <v>1</v>
      </c>
      <c r="H149">
        <v>1</v>
      </c>
      <c r="I149">
        <v>0</v>
      </c>
      <c r="K149">
        <v>0</v>
      </c>
      <c r="L149">
        <v>0</v>
      </c>
      <c r="M149">
        <v>0</v>
      </c>
      <c r="O149">
        <v>4</v>
      </c>
      <c r="P149">
        <v>1</v>
      </c>
      <c r="Q149">
        <v>0</v>
      </c>
      <c r="S149">
        <v>0</v>
      </c>
      <c r="T149">
        <v>1</v>
      </c>
      <c r="U149">
        <v>0</v>
      </c>
      <c r="W149">
        <v>3</v>
      </c>
      <c r="X149">
        <v>1</v>
      </c>
      <c r="Y149">
        <v>0</v>
      </c>
      <c r="AA149">
        <v>2</v>
      </c>
      <c r="AB149">
        <v>1</v>
      </c>
      <c r="AC149">
        <v>0</v>
      </c>
      <c r="AE149">
        <v>0</v>
      </c>
      <c r="AF149">
        <v>0</v>
      </c>
      <c r="AG149">
        <v>0</v>
      </c>
      <c r="AI149">
        <v>0</v>
      </c>
      <c r="AJ149">
        <v>0</v>
      </c>
      <c r="AK149">
        <v>0</v>
      </c>
      <c r="AO149">
        <v>0</v>
      </c>
      <c r="AP149">
        <v>0</v>
      </c>
      <c r="AQ149">
        <v>0</v>
      </c>
      <c r="AS149">
        <v>1</v>
      </c>
      <c r="AT149">
        <v>0</v>
      </c>
      <c r="AU149">
        <v>0</v>
      </c>
      <c r="AW149">
        <v>0</v>
      </c>
      <c r="AX149">
        <v>0</v>
      </c>
      <c r="AY149">
        <v>1</v>
      </c>
      <c r="BA149">
        <v>1</v>
      </c>
      <c r="BB149">
        <v>0</v>
      </c>
      <c r="BC149">
        <v>0</v>
      </c>
      <c r="BE149">
        <v>0</v>
      </c>
      <c r="BF149">
        <v>0</v>
      </c>
      <c r="BG149">
        <v>0</v>
      </c>
      <c r="BI149">
        <v>1</v>
      </c>
      <c r="BJ149">
        <v>0</v>
      </c>
      <c r="BK149">
        <v>0</v>
      </c>
      <c r="BM149">
        <v>3</v>
      </c>
      <c r="BN149">
        <v>2</v>
      </c>
      <c r="BO149">
        <v>0</v>
      </c>
      <c r="BQ149">
        <v>0</v>
      </c>
      <c r="BR149">
        <v>0</v>
      </c>
      <c r="BS149">
        <v>0</v>
      </c>
      <c r="BU149">
        <v>0</v>
      </c>
      <c r="BV149">
        <v>0</v>
      </c>
      <c r="BW149">
        <v>0</v>
      </c>
    </row>
    <row r="150" spans="3:75" x14ac:dyDescent="0.2">
      <c r="C150">
        <v>0</v>
      </c>
      <c r="D150">
        <v>0</v>
      </c>
      <c r="E150">
        <v>0</v>
      </c>
      <c r="G150">
        <v>1</v>
      </c>
      <c r="H150">
        <v>1</v>
      </c>
      <c r="I150">
        <v>0</v>
      </c>
      <c r="K150">
        <v>0</v>
      </c>
      <c r="L150">
        <v>1</v>
      </c>
      <c r="M150">
        <v>0</v>
      </c>
      <c r="O150">
        <v>3</v>
      </c>
      <c r="P150">
        <v>0</v>
      </c>
      <c r="Q150">
        <v>0</v>
      </c>
      <c r="S150">
        <v>2</v>
      </c>
      <c r="T150">
        <v>2</v>
      </c>
      <c r="U150">
        <v>0</v>
      </c>
      <c r="W150">
        <v>2</v>
      </c>
      <c r="X150">
        <v>2</v>
      </c>
      <c r="Y150">
        <v>1</v>
      </c>
      <c r="AA150">
        <v>0</v>
      </c>
      <c r="AB150">
        <v>3</v>
      </c>
      <c r="AC150">
        <v>0</v>
      </c>
      <c r="AE150">
        <v>0</v>
      </c>
      <c r="AF150">
        <v>0</v>
      </c>
      <c r="AG150">
        <v>0</v>
      </c>
      <c r="AI150">
        <v>2</v>
      </c>
      <c r="AJ150">
        <v>1</v>
      </c>
      <c r="AK150">
        <v>0</v>
      </c>
      <c r="AO150">
        <v>0</v>
      </c>
      <c r="AP150">
        <v>0</v>
      </c>
      <c r="AQ150">
        <v>0</v>
      </c>
      <c r="AS150">
        <v>2</v>
      </c>
      <c r="AT150">
        <v>0</v>
      </c>
      <c r="AU150">
        <v>0</v>
      </c>
      <c r="AW150">
        <v>0</v>
      </c>
      <c r="AX150">
        <v>2</v>
      </c>
      <c r="AY150">
        <v>0</v>
      </c>
      <c r="BA150">
        <v>3</v>
      </c>
      <c r="BB150">
        <v>1</v>
      </c>
      <c r="BC150">
        <v>0</v>
      </c>
      <c r="BE150">
        <v>1</v>
      </c>
      <c r="BF150">
        <v>0</v>
      </c>
      <c r="BG150">
        <v>0</v>
      </c>
      <c r="BI150">
        <v>2</v>
      </c>
      <c r="BJ150">
        <v>0</v>
      </c>
      <c r="BK150">
        <v>0</v>
      </c>
      <c r="BM150">
        <v>0</v>
      </c>
      <c r="BN150">
        <v>2</v>
      </c>
      <c r="BO150">
        <v>0</v>
      </c>
      <c r="BQ150">
        <v>0</v>
      </c>
      <c r="BR150">
        <v>0</v>
      </c>
      <c r="BS150">
        <v>0</v>
      </c>
      <c r="BU150">
        <v>0</v>
      </c>
      <c r="BV150">
        <v>3</v>
      </c>
      <c r="BW150">
        <v>0</v>
      </c>
    </row>
    <row r="151" spans="3:75" x14ac:dyDescent="0.2">
      <c r="C151">
        <v>0</v>
      </c>
      <c r="D151">
        <v>0</v>
      </c>
      <c r="E151">
        <v>0</v>
      </c>
      <c r="G151">
        <v>0</v>
      </c>
      <c r="H151">
        <v>0</v>
      </c>
      <c r="I151">
        <v>0</v>
      </c>
      <c r="K151">
        <v>1</v>
      </c>
      <c r="L151">
        <v>3</v>
      </c>
      <c r="M151">
        <v>0</v>
      </c>
      <c r="O151">
        <v>1</v>
      </c>
      <c r="P151">
        <v>2</v>
      </c>
      <c r="Q151">
        <v>2</v>
      </c>
      <c r="S151">
        <v>0</v>
      </c>
      <c r="T151">
        <v>9</v>
      </c>
      <c r="U151">
        <v>0</v>
      </c>
      <c r="W151">
        <v>0</v>
      </c>
      <c r="X151">
        <v>6</v>
      </c>
      <c r="Y151">
        <v>0</v>
      </c>
      <c r="AA151">
        <v>1</v>
      </c>
      <c r="AB151">
        <v>4</v>
      </c>
      <c r="AC151">
        <v>0</v>
      </c>
      <c r="AE151">
        <v>0</v>
      </c>
      <c r="AF151">
        <v>0</v>
      </c>
      <c r="AG151">
        <v>0</v>
      </c>
      <c r="AI151">
        <v>1</v>
      </c>
      <c r="AJ151">
        <v>3</v>
      </c>
      <c r="AK151">
        <v>0</v>
      </c>
      <c r="AO151">
        <v>0</v>
      </c>
      <c r="AP151">
        <v>0</v>
      </c>
      <c r="AQ151">
        <v>0</v>
      </c>
      <c r="AS151">
        <v>0</v>
      </c>
      <c r="AT151">
        <v>1</v>
      </c>
      <c r="AU151">
        <v>0</v>
      </c>
      <c r="AW151">
        <v>0</v>
      </c>
      <c r="AX151">
        <v>1</v>
      </c>
      <c r="AY151">
        <v>1</v>
      </c>
      <c r="BA151">
        <v>2</v>
      </c>
      <c r="BB151">
        <v>2</v>
      </c>
      <c r="BC151">
        <v>0</v>
      </c>
      <c r="BE151">
        <v>0</v>
      </c>
      <c r="BF151">
        <v>1</v>
      </c>
      <c r="BG151">
        <v>1</v>
      </c>
      <c r="BI151">
        <v>6</v>
      </c>
      <c r="BJ151">
        <v>0</v>
      </c>
      <c r="BK151">
        <v>1</v>
      </c>
      <c r="BM151">
        <v>2</v>
      </c>
      <c r="BN151">
        <v>1</v>
      </c>
      <c r="BO151">
        <v>0</v>
      </c>
      <c r="BQ151">
        <v>0</v>
      </c>
      <c r="BR151">
        <v>1</v>
      </c>
      <c r="BS151">
        <v>1</v>
      </c>
      <c r="BU151">
        <v>0</v>
      </c>
      <c r="BV151">
        <v>1</v>
      </c>
      <c r="BW151">
        <v>0</v>
      </c>
    </row>
    <row r="152" spans="3:75" x14ac:dyDescent="0.2">
      <c r="C152">
        <v>0</v>
      </c>
      <c r="D152">
        <v>0</v>
      </c>
      <c r="E152">
        <v>0</v>
      </c>
      <c r="G152">
        <v>0</v>
      </c>
      <c r="H152">
        <v>0</v>
      </c>
      <c r="I152">
        <v>0</v>
      </c>
      <c r="K152">
        <v>0</v>
      </c>
      <c r="L152">
        <v>1</v>
      </c>
      <c r="M152">
        <v>0</v>
      </c>
      <c r="O152">
        <v>3</v>
      </c>
      <c r="P152">
        <v>2</v>
      </c>
      <c r="Q152">
        <v>0</v>
      </c>
      <c r="S152">
        <v>5</v>
      </c>
      <c r="T152">
        <v>12</v>
      </c>
      <c r="U152">
        <v>0</v>
      </c>
      <c r="W152">
        <v>2</v>
      </c>
      <c r="X152">
        <v>2</v>
      </c>
      <c r="Y152">
        <v>0</v>
      </c>
      <c r="AA152">
        <v>6</v>
      </c>
      <c r="AB152">
        <v>10</v>
      </c>
      <c r="AC152">
        <v>0</v>
      </c>
      <c r="AE152">
        <v>2</v>
      </c>
      <c r="AF152">
        <v>3</v>
      </c>
      <c r="AG152">
        <v>0</v>
      </c>
      <c r="AI152">
        <v>0</v>
      </c>
      <c r="AJ152">
        <v>4</v>
      </c>
      <c r="AK152">
        <v>0</v>
      </c>
      <c r="AO152">
        <v>0</v>
      </c>
      <c r="AP152">
        <v>0</v>
      </c>
      <c r="AQ152">
        <v>0</v>
      </c>
      <c r="AS152">
        <v>0</v>
      </c>
      <c r="AT152">
        <v>0</v>
      </c>
      <c r="AU152">
        <v>0</v>
      </c>
      <c r="AW152">
        <v>0</v>
      </c>
      <c r="AX152">
        <v>3</v>
      </c>
      <c r="AY152">
        <v>0</v>
      </c>
      <c r="BA152">
        <v>1</v>
      </c>
      <c r="BB152">
        <v>1</v>
      </c>
      <c r="BC152">
        <v>0</v>
      </c>
      <c r="BE152">
        <v>4</v>
      </c>
      <c r="BF152">
        <v>1</v>
      </c>
      <c r="BG152">
        <v>0</v>
      </c>
      <c r="BI152">
        <v>1</v>
      </c>
      <c r="BJ152">
        <v>0</v>
      </c>
      <c r="BK152">
        <v>0</v>
      </c>
      <c r="BM152">
        <v>2</v>
      </c>
      <c r="BN152">
        <v>5</v>
      </c>
      <c r="BO152">
        <v>1</v>
      </c>
      <c r="BQ152">
        <v>1</v>
      </c>
      <c r="BR152">
        <v>2</v>
      </c>
      <c r="BS152">
        <v>0</v>
      </c>
      <c r="BU152">
        <v>2</v>
      </c>
      <c r="BV152">
        <v>1</v>
      </c>
      <c r="BW152">
        <v>1</v>
      </c>
    </row>
    <row r="153" spans="3:75" x14ac:dyDescent="0.2">
      <c r="C153">
        <v>0</v>
      </c>
      <c r="D153">
        <v>1</v>
      </c>
      <c r="E153">
        <v>0</v>
      </c>
      <c r="G153">
        <v>0</v>
      </c>
      <c r="H153">
        <v>2</v>
      </c>
      <c r="I153">
        <v>0</v>
      </c>
      <c r="K153">
        <v>2</v>
      </c>
      <c r="L153">
        <v>1</v>
      </c>
      <c r="M153">
        <v>0</v>
      </c>
      <c r="O153">
        <v>1</v>
      </c>
      <c r="P153">
        <v>3</v>
      </c>
      <c r="Q153">
        <v>2</v>
      </c>
      <c r="S153">
        <v>0</v>
      </c>
      <c r="T153">
        <v>2</v>
      </c>
      <c r="U153">
        <v>0</v>
      </c>
      <c r="W153">
        <v>4</v>
      </c>
      <c r="X153">
        <v>1</v>
      </c>
      <c r="Y153">
        <v>0</v>
      </c>
      <c r="AA153">
        <v>3</v>
      </c>
      <c r="AB153">
        <v>1</v>
      </c>
      <c r="AC153">
        <v>0</v>
      </c>
      <c r="AE153">
        <v>1</v>
      </c>
      <c r="AF153">
        <v>1</v>
      </c>
      <c r="AG153">
        <v>0</v>
      </c>
      <c r="AI153">
        <v>5</v>
      </c>
      <c r="AJ153">
        <v>13</v>
      </c>
      <c r="AK153">
        <v>1</v>
      </c>
      <c r="AO153">
        <v>0</v>
      </c>
      <c r="AP153">
        <v>0</v>
      </c>
      <c r="AQ153">
        <v>0</v>
      </c>
      <c r="AS153">
        <v>0</v>
      </c>
      <c r="AT153">
        <v>3</v>
      </c>
      <c r="AU153">
        <v>0</v>
      </c>
      <c r="AW153">
        <v>4</v>
      </c>
      <c r="AX153">
        <v>3</v>
      </c>
      <c r="AY153">
        <v>1</v>
      </c>
      <c r="BA153">
        <v>2</v>
      </c>
      <c r="BB153">
        <v>0</v>
      </c>
      <c r="BC153">
        <v>0</v>
      </c>
      <c r="BE153">
        <v>0</v>
      </c>
      <c r="BF153">
        <v>1</v>
      </c>
      <c r="BG153">
        <v>0</v>
      </c>
      <c r="BI153">
        <v>2</v>
      </c>
      <c r="BJ153">
        <v>0</v>
      </c>
      <c r="BK153">
        <v>0</v>
      </c>
      <c r="BM153">
        <v>2</v>
      </c>
      <c r="BN153">
        <v>4</v>
      </c>
      <c r="BO153">
        <v>2</v>
      </c>
      <c r="BQ153">
        <v>1</v>
      </c>
      <c r="BR153">
        <v>1</v>
      </c>
      <c r="BS153">
        <v>0</v>
      </c>
      <c r="BU153">
        <v>0</v>
      </c>
      <c r="BV153">
        <v>9</v>
      </c>
      <c r="BW153">
        <v>1</v>
      </c>
    </row>
    <row r="154" spans="3:75" x14ac:dyDescent="0.2">
      <c r="C154">
        <v>2</v>
      </c>
      <c r="D154">
        <v>2</v>
      </c>
      <c r="E154">
        <v>0</v>
      </c>
      <c r="G154">
        <v>0</v>
      </c>
      <c r="H154">
        <v>0</v>
      </c>
      <c r="I154">
        <v>0</v>
      </c>
      <c r="K154">
        <v>3</v>
      </c>
      <c r="L154">
        <v>3</v>
      </c>
      <c r="M154">
        <v>2</v>
      </c>
      <c r="O154">
        <v>3</v>
      </c>
      <c r="P154">
        <v>2</v>
      </c>
      <c r="Q154">
        <v>1</v>
      </c>
      <c r="S154">
        <v>2</v>
      </c>
      <c r="T154">
        <v>0</v>
      </c>
      <c r="U154">
        <v>0</v>
      </c>
      <c r="W154">
        <v>2</v>
      </c>
      <c r="X154">
        <v>2</v>
      </c>
      <c r="Y154">
        <v>4</v>
      </c>
      <c r="AA154">
        <v>2</v>
      </c>
      <c r="AB154">
        <v>2</v>
      </c>
      <c r="AC154">
        <v>0</v>
      </c>
      <c r="AE154">
        <v>1</v>
      </c>
      <c r="AF154">
        <v>0</v>
      </c>
      <c r="AG154">
        <v>2</v>
      </c>
      <c r="AI154">
        <v>3</v>
      </c>
      <c r="AJ154">
        <v>4</v>
      </c>
      <c r="AK154">
        <v>2</v>
      </c>
      <c r="AO154">
        <v>1</v>
      </c>
      <c r="AP154">
        <v>3</v>
      </c>
      <c r="AQ154">
        <v>0</v>
      </c>
      <c r="AS154">
        <v>0</v>
      </c>
      <c r="AT154">
        <v>1</v>
      </c>
      <c r="AU154">
        <v>0</v>
      </c>
      <c r="AW154">
        <v>2</v>
      </c>
      <c r="AX154">
        <v>1</v>
      </c>
      <c r="AY154">
        <v>0</v>
      </c>
      <c r="BA154">
        <v>5</v>
      </c>
      <c r="BB154">
        <v>4</v>
      </c>
      <c r="BC154">
        <v>0</v>
      </c>
      <c r="BE154">
        <v>1</v>
      </c>
      <c r="BF154">
        <v>4</v>
      </c>
      <c r="BG154">
        <v>1</v>
      </c>
      <c r="BI154">
        <v>2</v>
      </c>
      <c r="BJ154">
        <v>1</v>
      </c>
      <c r="BK154">
        <v>1</v>
      </c>
      <c r="BM154">
        <v>2</v>
      </c>
      <c r="BN154">
        <v>2</v>
      </c>
      <c r="BO154">
        <v>0</v>
      </c>
      <c r="BQ154">
        <v>1</v>
      </c>
      <c r="BR154">
        <v>0</v>
      </c>
      <c r="BS154">
        <v>1</v>
      </c>
      <c r="BU154">
        <v>3</v>
      </c>
      <c r="BV154">
        <v>5</v>
      </c>
      <c r="BW154">
        <v>0</v>
      </c>
    </row>
    <row r="155" spans="3:75" x14ac:dyDescent="0.2">
      <c r="C155">
        <v>1</v>
      </c>
      <c r="D155">
        <v>5</v>
      </c>
      <c r="E155">
        <v>0</v>
      </c>
      <c r="G155">
        <v>2</v>
      </c>
      <c r="H155">
        <v>1</v>
      </c>
      <c r="I155">
        <v>1</v>
      </c>
      <c r="K155">
        <v>1</v>
      </c>
      <c r="L155">
        <v>5</v>
      </c>
      <c r="M155">
        <v>5</v>
      </c>
      <c r="O155">
        <v>2</v>
      </c>
      <c r="P155">
        <v>3</v>
      </c>
      <c r="Q155">
        <v>3</v>
      </c>
      <c r="S155">
        <v>0</v>
      </c>
      <c r="T155">
        <v>1</v>
      </c>
      <c r="U155">
        <v>0</v>
      </c>
      <c r="W155">
        <v>2</v>
      </c>
      <c r="X155">
        <v>0</v>
      </c>
      <c r="Y155">
        <v>2</v>
      </c>
      <c r="AA155">
        <v>4</v>
      </c>
      <c r="AB155">
        <v>1</v>
      </c>
      <c r="AC155">
        <v>0</v>
      </c>
      <c r="AE155">
        <v>1</v>
      </c>
      <c r="AF155">
        <v>1</v>
      </c>
      <c r="AG155">
        <v>2</v>
      </c>
      <c r="AI155">
        <v>2</v>
      </c>
      <c r="AJ155">
        <v>0</v>
      </c>
      <c r="AK155">
        <v>0</v>
      </c>
      <c r="AO155">
        <v>2</v>
      </c>
      <c r="AP155">
        <v>2</v>
      </c>
      <c r="AQ155">
        <v>0</v>
      </c>
      <c r="AS155">
        <v>1</v>
      </c>
      <c r="AT155">
        <v>0</v>
      </c>
      <c r="AU155">
        <v>0</v>
      </c>
      <c r="AW155">
        <v>3</v>
      </c>
      <c r="AX155">
        <v>2</v>
      </c>
      <c r="AY155">
        <v>3</v>
      </c>
      <c r="BA155">
        <v>3</v>
      </c>
      <c r="BB155">
        <v>4</v>
      </c>
      <c r="BC155">
        <v>3</v>
      </c>
      <c r="BE155">
        <v>0</v>
      </c>
      <c r="BF155">
        <v>2</v>
      </c>
      <c r="BG155">
        <v>3</v>
      </c>
      <c r="BI155">
        <v>1</v>
      </c>
      <c r="BJ155">
        <v>2</v>
      </c>
      <c r="BK155">
        <v>1</v>
      </c>
      <c r="BM155">
        <v>1</v>
      </c>
      <c r="BN155">
        <v>4</v>
      </c>
      <c r="BO155">
        <v>2</v>
      </c>
      <c r="BQ155">
        <v>0</v>
      </c>
      <c r="BR155">
        <v>0</v>
      </c>
      <c r="BS155">
        <v>3</v>
      </c>
      <c r="BU155">
        <v>4</v>
      </c>
      <c r="BV155">
        <v>1</v>
      </c>
      <c r="BW155">
        <v>0</v>
      </c>
    </row>
    <row r="156" spans="3:75" x14ac:dyDescent="0.2">
      <c r="C156">
        <v>4</v>
      </c>
      <c r="D156">
        <v>3</v>
      </c>
      <c r="E156">
        <v>3</v>
      </c>
      <c r="G156">
        <v>0</v>
      </c>
      <c r="H156">
        <v>3</v>
      </c>
      <c r="I156">
        <v>0</v>
      </c>
      <c r="K156">
        <v>6</v>
      </c>
      <c r="L156">
        <v>2</v>
      </c>
      <c r="M156">
        <v>2</v>
      </c>
      <c r="O156">
        <v>4</v>
      </c>
      <c r="P156">
        <v>3</v>
      </c>
      <c r="Q156">
        <v>2</v>
      </c>
      <c r="S156">
        <v>3</v>
      </c>
      <c r="T156">
        <v>0</v>
      </c>
      <c r="U156">
        <v>0</v>
      </c>
      <c r="W156">
        <v>1</v>
      </c>
      <c r="X156">
        <v>1</v>
      </c>
      <c r="Y156">
        <v>2</v>
      </c>
      <c r="AA156">
        <v>4</v>
      </c>
      <c r="AB156">
        <v>0</v>
      </c>
      <c r="AC156">
        <v>2</v>
      </c>
      <c r="AE156">
        <v>0</v>
      </c>
      <c r="AF156">
        <v>0</v>
      </c>
      <c r="AG156">
        <v>3</v>
      </c>
      <c r="AI156">
        <v>0</v>
      </c>
      <c r="AJ156">
        <v>3</v>
      </c>
      <c r="AK156">
        <v>0</v>
      </c>
      <c r="AO156">
        <v>3</v>
      </c>
      <c r="AP156">
        <v>3</v>
      </c>
      <c r="AQ156">
        <v>1</v>
      </c>
      <c r="AS156">
        <v>0</v>
      </c>
      <c r="AT156">
        <v>2</v>
      </c>
      <c r="AU156">
        <v>1</v>
      </c>
      <c r="AW156">
        <v>2</v>
      </c>
      <c r="AX156">
        <v>2</v>
      </c>
      <c r="AY156">
        <v>4</v>
      </c>
      <c r="BA156">
        <v>3</v>
      </c>
      <c r="BB156">
        <v>4</v>
      </c>
      <c r="BC156">
        <v>1</v>
      </c>
      <c r="BE156">
        <v>2</v>
      </c>
      <c r="BF156">
        <v>6</v>
      </c>
      <c r="BG156">
        <v>0</v>
      </c>
      <c r="BI156">
        <v>1</v>
      </c>
      <c r="BJ156">
        <v>7</v>
      </c>
      <c r="BK156">
        <v>5</v>
      </c>
      <c r="BM156">
        <v>3</v>
      </c>
      <c r="BN156">
        <v>3</v>
      </c>
      <c r="BO156">
        <v>2</v>
      </c>
      <c r="BQ156">
        <v>0</v>
      </c>
      <c r="BR156">
        <v>0</v>
      </c>
      <c r="BS156">
        <v>2</v>
      </c>
      <c r="BU156">
        <v>3</v>
      </c>
      <c r="BV156">
        <v>2</v>
      </c>
      <c r="BW156">
        <v>0</v>
      </c>
    </row>
    <row r="157" spans="3:75" x14ac:dyDescent="0.2">
      <c r="C157">
        <v>3</v>
      </c>
      <c r="D157">
        <v>2</v>
      </c>
      <c r="E157">
        <v>1</v>
      </c>
      <c r="G157">
        <v>2</v>
      </c>
      <c r="H157">
        <v>0</v>
      </c>
      <c r="I157">
        <v>2</v>
      </c>
      <c r="K157">
        <v>2</v>
      </c>
      <c r="L157">
        <v>4</v>
      </c>
      <c r="M157">
        <v>1</v>
      </c>
      <c r="O157">
        <v>0</v>
      </c>
      <c r="P157">
        <v>2</v>
      </c>
      <c r="Q157">
        <v>3</v>
      </c>
      <c r="S157">
        <v>0</v>
      </c>
      <c r="T157">
        <v>0</v>
      </c>
      <c r="U157">
        <v>1</v>
      </c>
      <c r="W157">
        <v>2</v>
      </c>
      <c r="X157">
        <v>2</v>
      </c>
      <c r="Y157">
        <v>1</v>
      </c>
      <c r="AA157">
        <v>1</v>
      </c>
      <c r="AB157">
        <v>1</v>
      </c>
      <c r="AC157">
        <v>2</v>
      </c>
      <c r="AE157">
        <v>0</v>
      </c>
      <c r="AF157">
        <v>1</v>
      </c>
      <c r="AG157">
        <v>4</v>
      </c>
      <c r="AI157">
        <v>5</v>
      </c>
      <c r="AJ157">
        <v>1</v>
      </c>
      <c r="AK157">
        <v>1</v>
      </c>
      <c r="AO157">
        <v>6</v>
      </c>
      <c r="AP157">
        <v>6</v>
      </c>
      <c r="AQ157">
        <v>0</v>
      </c>
      <c r="AS157">
        <v>1</v>
      </c>
      <c r="AT157">
        <v>2</v>
      </c>
      <c r="AU157">
        <v>2</v>
      </c>
      <c r="AW157">
        <v>5</v>
      </c>
      <c r="AX157">
        <v>0</v>
      </c>
      <c r="AY157">
        <v>0</v>
      </c>
      <c r="BA157">
        <v>1</v>
      </c>
      <c r="BB157">
        <v>2</v>
      </c>
      <c r="BC157">
        <v>6</v>
      </c>
      <c r="BE157">
        <v>0</v>
      </c>
      <c r="BF157">
        <v>1</v>
      </c>
      <c r="BG157">
        <v>3</v>
      </c>
      <c r="BI157">
        <v>2</v>
      </c>
      <c r="BJ157">
        <v>1</v>
      </c>
      <c r="BK157">
        <v>1</v>
      </c>
      <c r="BM157">
        <v>4</v>
      </c>
      <c r="BN157">
        <v>2</v>
      </c>
      <c r="BO157">
        <v>1</v>
      </c>
      <c r="BQ157">
        <v>1</v>
      </c>
      <c r="BR157">
        <v>1</v>
      </c>
      <c r="BS157">
        <v>4</v>
      </c>
      <c r="BU157">
        <v>2</v>
      </c>
      <c r="BV157">
        <v>3</v>
      </c>
      <c r="BW157">
        <v>2</v>
      </c>
    </row>
    <row r="158" spans="3:75" x14ac:dyDescent="0.2">
      <c r="C158">
        <v>5</v>
      </c>
      <c r="D158">
        <v>5</v>
      </c>
      <c r="E158">
        <v>3</v>
      </c>
      <c r="G158">
        <v>4</v>
      </c>
      <c r="H158">
        <v>2</v>
      </c>
      <c r="I158">
        <v>4</v>
      </c>
      <c r="K158">
        <v>1</v>
      </c>
      <c r="L158">
        <v>1</v>
      </c>
      <c r="M158">
        <v>5</v>
      </c>
      <c r="O158">
        <v>2</v>
      </c>
      <c r="P158">
        <v>3</v>
      </c>
      <c r="Q158">
        <v>2</v>
      </c>
      <c r="S158">
        <v>6</v>
      </c>
      <c r="T158">
        <v>0</v>
      </c>
      <c r="U158">
        <v>1</v>
      </c>
      <c r="W158">
        <v>1</v>
      </c>
      <c r="X158">
        <v>1</v>
      </c>
      <c r="Y158">
        <v>1</v>
      </c>
      <c r="AA158">
        <v>2</v>
      </c>
      <c r="AB158">
        <v>3</v>
      </c>
      <c r="AC158">
        <v>1</v>
      </c>
      <c r="AE158">
        <v>1</v>
      </c>
      <c r="AF158">
        <v>5</v>
      </c>
      <c r="AG158">
        <v>4</v>
      </c>
      <c r="AI158">
        <v>1</v>
      </c>
      <c r="AJ158">
        <v>0</v>
      </c>
      <c r="AK158">
        <v>3</v>
      </c>
      <c r="AO158">
        <v>5</v>
      </c>
      <c r="AP158">
        <v>3</v>
      </c>
      <c r="AQ158">
        <v>2</v>
      </c>
      <c r="AS158">
        <v>1</v>
      </c>
      <c r="AT158">
        <v>1</v>
      </c>
      <c r="AU158">
        <v>3</v>
      </c>
      <c r="AW158">
        <v>2</v>
      </c>
      <c r="AX158">
        <v>2</v>
      </c>
      <c r="AY158">
        <v>1</v>
      </c>
      <c r="BA158">
        <v>1</v>
      </c>
      <c r="BB158">
        <v>3</v>
      </c>
      <c r="BC158">
        <v>4</v>
      </c>
      <c r="BE158">
        <v>8</v>
      </c>
      <c r="BF158">
        <v>2</v>
      </c>
      <c r="BG158">
        <v>1</v>
      </c>
      <c r="BI158">
        <v>0</v>
      </c>
      <c r="BJ158">
        <v>3</v>
      </c>
      <c r="BK158">
        <v>5</v>
      </c>
      <c r="BM158">
        <v>2</v>
      </c>
      <c r="BN158">
        <v>0</v>
      </c>
      <c r="BO158">
        <v>1</v>
      </c>
      <c r="BQ158">
        <v>2</v>
      </c>
      <c r="BR158">
        <v>5</v>
      </c>
      <c r="BS158">
        <v>4</v>
      </c>
      <c r="BU158">
        <v>3</v>
      </c>
      <c r="BV158">
        <v>1</v>
      </c>
      <c r="BW158">
        <v>1</v>
      </c>
    </row>
    <row r="159" spans="3:75" x14ac:dyDescent="0.2">
      <c r="C159">
        <v>7</v>
      </c>
      <c r="D159">
        <v>7</v>
      </c>
      <c r="E159">
        <v>5</v>
      </c>
      <c r="G159">
        <v>0</v>
      </c>
      <c r="H159">
        <v>3</v>
      </c>
      <c r="I159">
        <v>2</v>
      </c>
      <c r="K159">
        <v>3</v>
      </c>
      <c r="L159">
        <v>0</v>
      </c>
      <c r="M159">
        <v>5</v>
      </c>
      <c r="O159">
        <v>0</v>
      </c>
      <c r="P159">
        <v>4</v>
      </c>
      <c r="Q159">
        <v>4</v>
      </c>
      <c r="S159">
        <v>0</v>
      </c>
      <c r="T159">
        <v>0</v>
      </c>
      <c r="U159">
        <v>5</v>
      </c>
      <c r="W159">
        <v>2</v>
      </c>
      <c r="X159">
        <v>3</v>
      </c>
      <c r="Y159">
        <v>2</v>
      </c>
      <c r="AA159">
        <v>0</v>
      </c>
      <c r="AB159">
        <v>0</v>
      </c>
      <c r="AC159">
        <v>3</v>
      </c>
      <c r="AE159">
        <v>3</v>
      </c>
      <c r="AF159">
        <v>1</v>
      </c>
      <c r="AG159">
        <v>2</v>
      </c>
      <c r="AI159">
        <v>1</v>
      </c>
      <c r="AJ159">
        <v>0</v>
      </c>
      <c r="AK159">
        <v>0</v>
      </c>
      <c r="AO159">
        <v>2</v>
      </c>
      <c r="AP159">
        <v>7</v>
      </c>
      <c r="AQ159">
        <v>5</v>
      </c>
      <c r="AS159">
        <v>4</v>
      </c>
      <c r="AT159">
        <v>4</v>
      </c>
      <c r="AU159">
        <v>3</v>
      </c>
      <c r="AW159">
        <v>1</v>
      </c>
      <c r="AX159">
        <v>1</v>
      </c>
      <c r="AY159">
        <v>3</v>
      </c>
      <c r="BA159">
        <v>1</v>
      </c>
      <c r="BB159">
        <v>1</v>
      </c>
      <c r="BC159">
        <v>2</v>
      </c>
      <c r="BE159">
        <v>0</v>
      </c>
      <c r="BF159">
        <v>3</v>
      </c>
      <c r="BG159">
        <v>3</v>
      </c>
      <c r="BI159">
        <v>0</v>
      </c>
      <c r="BJ159">
        <v>2</v>
      </c>
      <c r="BK159">
        <v>4</v>
      </c>
      <c r="BM159">
        <v>1</v>
      </c>
      <c r="BN159">
        <v>0</v>
      </c>
      <c r="BO159">
        <v>4</v>
      </c>
      <c r="BQ159">
        <v>4</v>
      </c>
      <c r="BR159">
        <v>1</v>
      </c>
      <c r="BS159">
        <v>7</v>
      </c>
      <c r="BU159">
        <v>3</v>
      </c>
      <c r="BV159">
        <v>0</v>
      </c>
      <c r="BW159">
        <v>2</v>
      </c>
    </row>
    <row r="160" spans="3:75" x14ac:dyDescent="0.2">
      <c r="C160">
        <v>5</v>
      </c>
      <c r="D160">
        <v>3</v>
      </c>
      <c r="E160">
        <v>5</v>
      </c>
      <c r="G160">
        <v>1</v>
      </c>
      <c r="H160">
        <v>2</v>
      </c>
      <c r="I160">
        <v>3</v>
      </c>
      <c r="K160">
        <v>2</v>
      </c>
      <c r="L160">
        <v>1</v>
      </c>
      <c r="M160">
        <v>1</v>
      </c>
      <c r="O160">
        <v>1</v>
      </c>
      <c r="P160">
        <v>5</v>
      </c>
      <c r="Q160">
        <v>6</v>
      </c>
      <c r="S160">
        <v>4</v>
      </c>
      <c r="T160">
        <v>0</v>
      </c>
      <c r="U160">
        <v>0</v>
      </c>
      <c r="W160">
        <v>0</v>
      </c>
      <c r="X160">
        <v>3</v>
      </c>
      <c r="Y160">
        <v>4</v>
      </c>
      <c r="AA160">
        <v>1</v>
      </c>
      <c r="AB160">
        <v>0</v>
      </c>
      <c r="AC160">
        <v>1</v>
      </c>
      <c r="AE160">
        <v>5</v>
      </c>
      <c r="AF160">
        <v>3</v>
      </c>
      <c r="AG160">
        <v>4</v>
      </c>
      <c r="AI160">
        <v>4</v>
      </c>
      <c r="AJ160">
        <v>0</v>
      </c>
      <c r="AK160">
        <v>3</v>
      </c>
      <c r="AO160">
        <v>3</v>
      </c>
      <c r="AP160">
        <v>2</v>
      </c>
      <c r="AQ160">
        <v>2</v>
      </c>
      <c r="AS160">
        <v>2</v>
      </c>
      <c r="AT160">
        <v>1</v>
      </c>
      <c r="AU160">
        <v>2</v>
      </c>
      <c r="AW160">
        <v>1</v>
      </c>
      <c r="AX160">
        <v>1</v>
      </c>
      <c r="AY160">
        <v>4</v>
      </c>
      <c r="BA160">
        <v>2</v>
      </c>
      <c r="BB160">
        <v>5</v>
      </c>
      <c r="BC160">
        <v>7</v>
      </c>
      <c r="BE160">
        <v>0</v>
      </c>
      <c r="BF160">
        <v>1</v>
      </c>
      <c r="BG160">
        <v>1</v>
      </c>
      <c r="BI160">
        <v>0</v>
      </c>
      <c r="BJ160">
        <v>2</v>
      </c>
      <c r="BK160">
        <v>3</v>
      </c>
      <c r="BM160">
        <v>1</v>
      </c>
      <c r="BN160">
        <v>1</v>
      </c>
      <c r="BO160">
        <v>1</v>
      </c>
      <c r="BQ160">
        <v>2</v>
      </c>
      <c r="BR160">
        <v>2</v>
      </c>
      <c r="BS160">
        <v>2</v>
      </c>
      <c r="BU160">
        <v>6</v>
      </c>
      <c r="BV160">
        <v>1</v>
      </c>
      <c r="BW160">
        <v>2</v>
      </c>
    </row>
    <row r="161" spans="3:75" x14ac:dyDescent="0.2">
      <c r="C161">
        <v>2</v>
      </c>
      <c r="D161">
        <v>2</v>
      </c>
      <c r="E161">
        <v>5</v>
      </c>
      <c r="G161">
        <v>2</v>
      </c>
      <c r="H161">
        <v>1</v>
      </c>
      <c r="I161">
        <v>0</v>
      </c>
      <c r="K161">
        <v>2</v>
      </c>
      <c r="L161">
        <v>4</v>
      </c>
      <c r="M161">
        <v>3</v>
      </c>
      <c r="O161">
        <v>1</v>
      </c>
      <c r="P161">
        <v>0</v>
      </c>
      <c r="Q161">
        <v>0</v>
      </c>
      <c r="S161">
        <v>0</v>
      </c>
      <c r="T161">
        <v>0</v>
      </c>
      <c r="U161">
        <v>1</v>
      </c>
      <c r="W161">
        <v>0</v>
      </c>
      <c r="X161">
        <v>0</v>
      </c>
      <c r="Y161">
        <v>1</v>
      </c>
      <c r="AA161">
        <v>0</v>
      </c>
      <c r="AB161">
        <v>0</v>
      </c>
      <c r="AC161">
        <v>2</v>
      </c>
      <c r="AE161">
        <v>2</v>
      </c>
      <c r="AF161">
        <v>2</v>
      </c>
      <c r="AG161">
        <v>1</v>
      </c>
      <c r="AI161">
        <v>4</v>
      </c>
      <c r="AJ161">
        <v>0</v>
      </c>
      <c r="AK161">
        <v>0</v>
      </c>
      <c r="AO161">
        <v>5</v>
      </c>
      <c r="AP161">
        <v>1</v>
      </c>
      <c r="AQ161">
        <v>8</v>
      </c>
      <c r="AS161">
        <v>3</v>
      </c>
      <c r="AT161">
        <v>0</v>
      </c>
      <c r="AU161">
        <v>3</v>
      </c>
      <c r="AW161">
        <v>0</v>
      </c>
      <c r="AX161">
        <v>2</v>
      </c>
      <c r="AY161">
        <v>3</v>
      </c>
      <c r="BA161">
        <v>0</v>
      </c>
      <c r="BB161">
        <v>1</v>
      </c>
      <c r="BC161">
        <v>1</v>
      </c>
      <c r="BE161">
        <v>0</v>
      </c>
      <c r="BF161">
        <v>1</v>
      </c>
      <c r="BG161">
        <v>4</v>
      </c>
      <c r="BI161">
        <v>0</v>
      </c>
      <c r="BJ161">
        <v>0</v>
      </c>
      <c r="BK161">
        <v>0</v>
      </c>
      <c r="BM161">
        <v>3</v>
      </c>
      <c r="BN161">
        <v>1</v>
      </c>
      <c r="BO161">
        <v>5</v>
      </c>
      <c r="BQ161">
        <v>4</v>
      </c>
      <c r="BR161">
        <v>6</v>
      </c>
      <c r="BS161">
        <v>1</v>
      </c>
      <c r="BU161">
        <v>1</v>
      </c>
      <c r="BV161">
        <v>0</v>
      </c>
      <c r="BW161">
        <v>2</v>
      </c>
    </row>
    <row r="162" spans="3:75" x14ac:dyDescent="0.2">
      <c r="C162">
        <v>2</v>
      </c>
      <c r="D162">
        <v>1</v>
      </c>
      <c r="E162">
        <v>1</v>
      </c>
      <c r="G162">
        <v>4</v>
      </c>
      <c r="H162">
        <v>1</v>
      </c>
      <c r="I162">
        <v>8</v>
      </c>
      <c r="K162">
        <v>1</v>
      </c>
      <c r="L162">
        <v>0</v>
      </c>
      <c r="M162">
        <v>2</v>
      </c>
      <c r="O162">
        <v>0</v>
      </c>
      <c r="P162">
        <v>1</v>
      </c>
      <c r="Q162">
        <v>2</v>
      </c>
      <c r="S162">
        <v>0</v>
      </c>
      <c r="T162">
        <v>0</v>
      </c>
      <c r="U162">
        <v>2</v>
      </c>
      <c r="W162">
        <v>0</v>
      </c>
      <c r="X162">
        <v>2</v>
      </c>
      <c r="Y162">
        <v>2</v>
      </c>
      <c r="AA162">
        <v>0</v>
      </c>
      <c r="AB162">
        <v>1</v>
      </c>
      <c r="AC162">
        <v>3</v>
      </c>
      <c r="AE162">
        <v>0</v>
      </c>
      <c r="AF162">
        <v>3</v>
      </c>
      <c r="AG162">
        <v>4</v>
      </c>
      <c r="AI162">
        <v>0</v>
      </c>
      <c r="AJ162">
        <v>0</v>
      </c>
      <c r="AK162">
        <v>0</v>
      </c>
      <c r="AO162">
        <v>1</v>
      </c>
      <c r="AP162">
        <v>0</v>
      </c>
      <c r="AQ162">
        <v>7</v>
      </c>
      <c r="AS162">
        <v>3</v>
      </c>
      <c r="AT162">
        <v>1</v>
      </c>
      <c r="AU162">
        <v>2</v>
      </c>
      <c r="AW162">
        <v>0</v>
      </c>
      <c r="AX162">
        <v>1</v>
      </c>
      <c r="AY162">
        <v>1</v>
      </c>
      <c r="BA162">
        <v>0</v>
      </c>
      <c r="BB162">
        <v>0</v>
      </c>
      <c r="BC162">
        <v>1</v>
      </c>
      <c r="BE162">
        <v>2</v>
      </c>
      <c r="BF162">
        <v>0</v>
      </c>
      <c r="BG162">
        <v>1</v>
      </c>
      <c r="BI162">
        <v>3</v>
      </c>
      <c r="BJ162">
        <v>4</v>
      </c>
      <c r="BK162">
        <v>1</v>
      </c>
      <c r="BM162">
        <v>1</v>
      </c>
      <c r="BN162">
        <v>0</v>
      </c>
      <c r="BO162">
        <v>0</v>
      </c>
      <c r="BQ162">
        <v>1</v>
      </c>
      <c r="BR162">
        <v>1</v>
      </c>
      <c r="BS162">
        <v>1</v>
      </c>
      <c r="BU162">
        <v>0</v>
      </c>
      <c r="BV162">
        <v>0</v>
      </c>
      <c r="BW162">
        <v>2</v>
      </c>
    </row>
    <row r="163" spans="3:75" x14ac:dyDescent="0.2">
      <c r="C163">
        <v>0</v>
      </c>
      <c r="D163">
        <v>0</v>
      </c>
      <c r="E163">
        <v>3</v>
      </c>
      <c r="G163">
        <v>0</v>
      </c>
      <c r="H163">
        <v>3</v>
      </c>
      <c r="I163">
        <v>2</v>
      </c>
      <c r="K163">
        <v>1</v>
      </c>
      <c r="L163">
        <v>0</v>
      </c>
      <c r="M163">
        <v>3</v>
      </c>
      <c r="O163">
        <v>0</v>
      </c>
      <c r="P163">
        <v>0</v>
      </c>
      <c r="Q163">
        <v>0</v>
      </c>
      <c r="S163">
        <v>0</v>
      </c>
      <c r="T163">
        <v>0</v>
      </c>
      <c r="U163">
        <v>1</v>
      </c>
      <c r="W163">
        <v>0</v>
      </c>
      <c r="X163">
        <v>0</v>
      </c>
      <c r="Y163">
        <v>4</v>
      </c>
      <c r="AA163">
        <v>0</v>
      </c>
      <c r="AB163">
        <v>0</v>
      </c>
      <c r="AC163">
        <v>3</v>
      </c>
      <c r="AE163">
        <v>2</v>
      </c>
      <c r="AF163">
        <v>0</v>
      </c>
      <c r="AG163">
        <v>0</v>
      </c>
      <c r="AI163">
        <v>0</v>
      </c>
      <c r="AJ163">
        <v>0</v>
      </c>
      <c r="AK163">
        <v>2</v>
      </c>
      <c r="AO163">
        <v>1</v>
      </c>
      <c r="AP163">
        <v>0</v>
      </c>
      <c r="AQ163">
        <v>2</v>
      </c>
      <c r="AS163">
        <v>1</v>
      </c>
      <c r="AT163">
        <v>1</v>
      </c>
      <c r="AU163">
        <v>7</v>
      </c>
      <c r="AW163">
        <v>0</v>
      </c>
      <c r="AX163">
        <v>1</v>
      </c>
      <c r="AY163">
        <v>3</v>
      </c>
      <c r="BA163">
        <v>0</v>
      </c>
      <c r="BB163">
        <v>0</v>
      </c>
      <c r="BC163">
        <v>1</v>
      </c>
      <c r="BE163">
        <v>0</v>
      </c>
      <c r="BF163">
        <v>0</v>
      </c>
      <c r="BG163">
        <v>1</v>
      </c>
      <c r="BI163">
        <v>2</v>
      </c>
      <c r="BJ163">
        <v>3</v>
      </c>
      <c r="BK163">
        <v>2</v>
      </c>
      <c r="BM163">
        <v>0</v>
      </c>
      <c r="BN163">
        <v>0</v>
      </c>
      <c r="BO163">
        <v>3</v>
      </c>
      <c r="BQ163">
        <v>4</v>
      </c>
      <c r="BR163">
        <v>0</v>
      </c>
      <c r="BS163">
        <v>1</v>
      </c>
      <c r="BU163">
        <v>1</v>
      </c>
      <c r="BV163">
        <v>0</v>
      </c>
      <c r="BW163">
        <v>2</v>
      </c>
    </row>
    <row r="164" spans="3:75" x14ac:dyDescent="0.2">
      <c r="C164">
        <v>0</v>
      </c>
      <c r="D164">
        <v>0</v>
      </c>
      <c r="E164">
        <v>1</v>
      </c>
      <c r="G164">
        <v>2</v>
      </c>
      <c r="H164">
        <v>1</v>
      </c>
      <c r="I164">
        <v>5</v>
      </c>
      <c r="K164">
        <v>1</v>
      </c>
      <c r="L164">
        <v>1</v>
      </c>
      <c r="M164">
        <v>0</v>
      </c>
      <c r="O164">
        <v>0</v>
      </c>
      <c r="P164">
        <v>0</v>
      </c>
      <c r="Q164">
        <v>1</v>
      </c>
      <c r="S164">
        <v>0</v>
      </c>
      <c r="T164">
        <v>0</v>
      </c>
      <c r="U164">
        <v>1</v>
      </c>
      <c r="W164">
        <v>2</v>
      </c>
      <c r="X164">
        <v>0</v>
      </c>
      <c r="Y164">
        <v>0</v>
      </c>
      <c r="AA164">
        <v>0</v>
      </c>
      <c r="AB164">
        <v>0</v>
      </c>
      <c r="AC164">
        <v>2</v>
      </c>
      <c r="AE164">
        <v>2</v>
      </c>
      <c r="AF164">
        <v>2</v>
      </c>
      <c r="AG164">
        <v>4</v>
      </c>
      <c r="AI164">
        <v>1</v>
      </c>
      <c r="AJ164">
        <v>0</v>
      </c>
      <c r="AK164">
        <v>4</v>
      </c>
      <c r="AO164">
        <v>0</v>
      </c>
      <c r="AP164">
        <v>1</v>
      </c>
      <c r="AQ164">
        <v>0</v>
      </c>
      <c r="AS164">
        <v>1</v>
      </c>
      <c r="AT164">
        <v>3</v>
      </c>
      <c r="AU164">
        <v>2</v>
      </c>
      <c r="AW164">
        <v>1</v>
      </c>
      <c r="AX164">
        <v>2</v>
      </c>
      <c r="AY164">
        <v>2</v>
      </c>
      <c r="BA164">
        <v>0</v>
      </c>
      <c r="BB164">
        <v>0</v>
      </c>
      <c r="BC164">
        <v>1</v>
      </c>
      <c r="BE164">
        <v>0</v>
      </c>
      <c r="BF164">
        <v>0</v>
      </c>
      <c r="BG164">
        <v>1</v>
      </c>
      <c r="BI164">
        <v>1</v>
      </c>
      <c r="BJ164">
        <v>0</v>
      </c>
      <c r="BK164">
        <v>2</v>
      </c>
      <c r="BM164">
        <v>0</v>
      </c>
      <c r="BN164">
        <v>0</v>
      </c>
      <c r="BO164">
        <v>1</v>
      </c>
      <c r="BQ164">
        <v>3</v>
      </c>
      <c r="BR164">
        <v>2</v>
      </c>
      <c r="BS164">
        <v>2</v>
      </c>
      <c r="BU164">
        <v>0</v>
      </c>
      <c r="BV164">
        <v>0</v>
      </c>
      <c r="BW164">
        <v>1</v>
      </c>
    </row>
    <row r="165" spans="3:75" x14ac:dyDescent="0.2">
      <c r="C165">
        <v>0</v>
      </c>
      <c r="D165">
        <v>0</v>
      </c>
      <c r="E165">
        <v>0</v>
      </c>
      <c r="G165">
        <v>2</v>
      </c>
      <c r="H165">
        <v>1</v>
      </c>
      <c r="I165">
        <v>1</v>
      </c>
      <c r="K165">
        <v>0</v>
      </c>
      <c r="L165">
        <v>0</v>
      </c>
      <c r="M165">
        <v>0</v>
      </c>
      <c r="O165">
        <v>0</v>
      </c>
      <c r="P165">
        <v>0</v>
      </c>
      <c r="Q165">
        <v>1</v>
      </c>
      <c r="S165">
        <v>0</v>
      </c>
      <c r="T165">
        <v>0</v>
      </c>
      <c r="U165">
        <v>4</v>
      </c>
      <c r="W165">
        <v>0</v>
      </c>
      <c r="X165">
        <v>0</v>
      </c>
      <c r="Y165">
        <v>2</v>
      </c>
      <c r="AA165">
        <v>1</v>
      </c>
      <c r="AB165">
        <v>0</v>
      </c>
      <c r="AC165">
        <v>1</v>
      </c>
      <c r="AE165">
        <v>0</v>
      </c>
      <c r="AF165">
        <v>2</v>
      </c>
      <c r="AG165">
        <v>0</v>
      </c>
      <c r="AI165">
        <v>0</v>
      </c>
      <c r="AJ165">
        <v>0</v>
      </c>
      <c r="AK165">
        <v>2</v>
      </c>
      <c r="AO165">
        <v>0</v>
      </c>
      <c r="AP165">
        <v>0</v>
      </c>
      <c r="AQ165">
        <v>0</v>
      </c>
      <c r="AS165">
        <v>1</v>
      </c>
      <c r="AT165">
        <v>1</v>
      </c>
      <c r="AU165">
        <v>1</v>
      </c>
      <c r="AW165">
        <v>1</v>
      </c>
      <c r="AX165">
        <v>0</v>
      </c>
      <c r="AY165">
        <v>0</v>
      </c>
      <c r="BA165">
        <v>0</v>
      </c>
      <c r="BB165">
        <v>0</v>
      </c>
      <c r="BC165">
        <v>1</v>
      </c>
      <c r="BE165">
        <v>0</v>
      </c>
      <c r="BF165">
        <v>4</v>
      </c>
      <c r="BG165">
        <v>1</v>
      </c>
      <c r="BI165">
        <v>0</v>
      </c>
      <c r="BJ165">
        <v>0</v>
      </c>
      <c r="BK165">
        <v>0</v>
      </c>
      <c r="BM165">
        <v>0</v>
      </c>
      <c r="BN165">
        <v>0</v>
      </c>
      <c r="BO165">
        <v>0</v>
      </c>
      <c r="BQ165">
        <v>1</v>
      </c>
      <c r="BR165">
        <v>0</v>
      </c>
      <c r="BS165">
        <v>0</v>
      </c>
      <c r="BU165">
        <v>1</v>
      </c>
      <c r="BV165">
        <v>0</v>
      </c>
      <c r="BW165">
        <v>5</v>
      </c>
    </row>
    <row r="166" spans="3:75" x14ac:dyDescent="0.2">
      <c r="C166">
        <v>0</v>
      </c>
      <c r="D166">
        <v>0</v>
      </c>
      <c r="E166">
        <v>1</v>
      </c>
      <c r="G166">
        <v>0</v>
      </c>
      <c r="H166">
        <v>2</v>
      </c>
      <c r="I166">
        <v>0</v>
      </c>
      <c r="K166">
        <v>0</v>
      </c>
      <c r="L166">
        <v>0</v>
      </c>
      <c r="M166">
        <v>1</v>
      </c>
      <c r="O166">
        <v>0</v>
      </c>
      <c r="P166">
        <v>0</v>
      </c>
      <c r="Q166">
        <v>0</v>
      </c>
      <c r="S166">
        <v>0</v>
      </c>
      <c r="T166">
        <v>0</v>
      </c>
      <c r="U166">
        <v>1</v>
      </c>
      <c r="W166">
        <v>1</v>
      </c>
      <c r="X166">
        <v>0</v>
      </c>
      <c r="Y166">
        <v>1</v>
      </c>
      <c r="AA166">
        <v>0</v>
      </c>
      <c r="AB166">
        <v>0</v>
      </c>
      <c r="AC166">
        <v>1</v>
      </c>
      <c r="AE166">
        <v>3</v>
      </c>
      <c r="AF166">
        <v>1</v>
      </c>
      <c r="AG166">
        <v>0</v>
      </c>
      <c r="AI166">
        <v>0</v>
      </c>
      <c r="AJ166">
        <v>0</v>
      </c>
      <c r="AK166">
        <v>4</v>
      </c>
      <c r="AO166">
        <v>0</v>
      </c>
      <c r="AP166">
        <v>0</v>
      </c>
      <c r="AQ166">
        <v>0</v>
      </c>
      <c r="AS166">
        <v>2</v>
      </c>
      <c r="AT166">
        <v>3</v>
      </c>
      <c r="AU166">
        <v>1</v>
      </c>
      <c r="AW166">
        <v>1</v>
      </c>
      <c r="AX166">
        <v>1</v>
      </c>
      <c r="AY166">
        <v>0</v>
      </c>
      <c r="BA166">
        <v>0</v>
      </c>
      <c r="BB166">
        <v>0</v>
      </c>
      <c r="BC166">
        <v>0</v>
      </c>
      <c r="BE166">
        <v>4</v>
      </c>
      <c r="BF166">
        <v>1</v>
      </c>
      <c r="BG166">
        <v>1</v>
      </c>
      <c r="BI166">
        <v>0</v>
      </c>
      <c r="BJ166">
        <v>1</v>
      </c>
      <c r="BK166">
        <v>1</v>
      </c>
      <c r="BM166">
        <v>0</v>
      </c>
      <c r="BN166">
        <v>0</v>
      </c>
      <c r="BO166">
        <v>0</v>
      </c>
      <c r="BQ166">
        <v>1</v>
      </c>
      <c r="BR166">
        <v>2</v>
      </c>
      <c r="BS166">
        <v>0</v>
      </c>
      <c r="BU166">
        <v>0</v>
      </c>
      <c r="BV166">
        <v>0</v>
      </c>
      <c r="BW166">
        <v>3</v>
      </c>
    </row>
    <row r="167" spans="3:75" x14ac:dyDescent="0.2">
      <c r="C167">
        <v>0</v>
      </c>
      <c r="D167">
        <v>0</v>
      </c>
      <c r="E167">
        <v>2</v>
      </c>
      <c r="G167">
        <v>2</v>
      </c>
      <c r="H167">
        <v>1</v>
      </c>
      <c r="I167">
        <v>1</v>
      </c>
      <c r="K167">
        <v>0</v>
      </c>
      <c r="L167">
        <v>1</v>
      </c>
      <c r="M167">
        <v>0</v>
      </c>
      <c r="O167">
        <v>0</v>
      </c>
      <c r="P167">
        <v>0</v>
      </c>
      <c r="Q167">
        <v>0</v>
      </c>
      <c r="S167">
        <v>0</v>
      </c>
      <c r="T167">
        <v>0</v>
      </c>
      <c r="U167">
        <v>1</v>
      </c>
      <c r="W167">
        <v>0</v>
      </c>
      <c r="X167">
        <v>0</v>
      </c>
      <c r="Y167">
        <v>0</v>
      </c>
      <c r="AA167">
        <v>0</v>
      </c>
      <c r="AB167">
        <v>0</v>
      </c>
      <c r="AC167">
        <v>2</v>
      </c>
      <c r="AE167">
        <v>0</v>
      </c>
      <c r="AF167">
        <v>0</v>
      </c>
      <c r="AG167">
        <v>0</v>
      </c>
      <c r="AI167">
        <v>0</v>
      </c>
      <c r="AJ167">
        <v>0</v>
      </c>
      <c r="AK167">
        <v>0</v>
      </c>
      <c r="AO167">
        <v>0</v>
      </c>
      <c r="AP167">
        <v>0</v>
      </c>
      <c r="AQ167">
        <v>0</v>
      </c>
      <c r="AS167">
        <v>2</v>
      </c>
      <c r="AT167">
        <v>0</v>
      </c>
      <c r="AU167">
        <v>0</v>
      </c>
      <c r="AW167">
        <v>2</v>
      </c>
      <c r="AX167">
        <v>3</v>
      </c>
      <c r="AY167">
        <v>0</v>
      </c>
      <c r="BA167">
        <v>0</v>
      </c>
      <c r="BB167">
        <v>0</v>
      </c>
      <c r="BC167">
        <v>0</v>
      </c>
      <c r="BE167">
        <v>0</v>
      </c>
      <c r="BF167">
        <v>1</v>
      </c>
      <c r="BG167">
        <v>3</v>
      </c>
      <c r="BI167">
        <v>0</v>
      </c>
      <c r="BJ167">
        <v>1</v>
      </c>
      <c r="BK167">
        <v>0</v>
      </c>
      <c r="BM167">
        <v>0</v>
      </c>
      <c r="BN167">
        <v>0</v>
      </c>
      <c r="BO167">
        <v>1</v>
      </c>
      <c r="BQ167">
        <v>1</v>
      </c>
      <c r="BR167">
        <v>1</v>
      </c>
      <c r="BS167">
        <v>0</v>
      </c>
      <c r="BU167">
        <v>0</v>
      </c>
      <c r="BV167">
        <v>0</v>
      </c>
      <c r="BW167">
        <v>1</v>
      </c>
    </row>
    <row r="168" spans="3:75" x14ac:dyDescent="0.2">
      <c r="C168">
        <v>0</v>
      </c>
      <c r="D168">
        <v>0</v>
      </c>
      <c r="E168">
        <v>0</v>
      </c>
      <c r="G168">
        <v>1</v>
      </c>
      <c r="H168">
        <v>2</v>
      </c>
      <c r="I168">
        <v>0</v>
      </c>
      <c r="K168">
        <v>1</v>
      </c>
      <c r="L168">
        <v>0</v>
      </c>
      <c r="M168">
        <v>0</v>
      </c>
      <c r="O168">
        <v>0</v>
      </c>
      <c r="P168">
        <v>0</v>
      </c>
      <c r="Q168">
        <v>1</v>
      </c>
      <c r="S168">
        <v>2</v>
      </c>
      <c r="T168">
        <v>0</v>
      </c>
      <c r="U168">
        <v>1</v>
      </c>
      <c r="W168">
        <v>0</v>
      </c>
      <c r="X168">
        <v>0</v>
      </c>
      <c r="Y168">
        <v>1</v>
      </c>
      <c r="AA168">
        <v>0</v>
      </c>
      <c r="AB168">
        <v>0</v>
      </c>
      <c r="AC168">
        <v>0</v>
      </c>
      <c r="AE168">
        <v>4</v>
      </c>
      <c r="AF168">
        <v>0</v>
      </c>
      <c r="AG168">
        <v>0</v>
      </c>
      <c r="AI168">
        <v>0</v>
      </c>
      <c r="AJ168">
        <v>0</v>
      </c>
      <c r="AK168">
        <v>0</v>
      </c>
      <c r="AO168">
        <v>0</v>
      </c>
      <c r="AP168">
        <v>0</v>
      </c>
      <c r="AQ168">
        <v>1</v>
      </c>
      <c r="AS168">
        <v>1</v>
      </c>
      <c r="AT168">
        <v>0</v>
      </c>
      <c r="AU168">
        <v>1</v>
      </c>
      <c r="AW168">
        <v>1</v>
      </c>
      <c r="AX168">
        <v>0</v>
      </c>
      <c r="AY168">
        <v>1</v>
      </c>
      <c r="BA168">
        <v>0</v>
      </c>
      <c r="BB168">
        <v>0</v>
      </c>
      <c r="BC168">
        <v>0</v>
      </c>
      <c r="BE168">
        <v>3</v>
      </c>
      <c r="BF168">
        <v>0</v>
      </c>
      <c r="BG168">
        <v>2</v>
      </c>
      <c r="BI168">
        <v>0</v>
      </c>
      <c r="BJ168">
        <v>0</v>
      </c>
      <c r="BK168">
        <v>1</v>
      </c>
      <c r="BM168">
        <v>0</v>
      </c>
      <c r="BN168">
        <v>0</v>
      </c>
      <c r="BO168">
        <v>1</v>
      </c>
      <c r="BQ168">
        <v>1</v>
      </c>
      <c r="BR168">
        <v>0</v>
      </c>
      <c r="BS168">
        <v>0</v>
      </c>
      <c r="BU168">
        <v>0</v>
      </c>
      <c r="BV168">
        <v>0</v>
      </c>
      <c r="BW168">
        <v>0</v>
      </c>
    </row>
    <row r="169" spans="3:75" x14ac:dyDescent="0.2">
      <c r="C169">
        <v>0</v>
      </c>
      <c r="D169">
        <v>0</v>
      </c>
      <c r="E169">
        <v>0</v>
      </c>
      <c r="G169">
        <v>2</v>
      </c>
      <c r="H169">
        <v>1</v>
      </c>
      <c r="I169">
        <v>1</v>
      </c>
      <c r="K169">
        <v>0</v>
      </c>
      <c r="L169">
        <v>1</v>
      </c>
      <c r="M169">
        <v>0</v>
      </c>
      <c r="O169">
        <v>0</v>
      </c>
      <c r="P169">
        <v>0</v>
      </c>
      <c r="Q169">
        <v>0</v>
      </c>
      <c r="S169">
        <v>0</v>
      </c>
      <c r="T169">
        <v>0</v>
      </c>
      <c r="U169">
        <v>0</v>
      </c>
      <c r="W169">
        <v>0</v>
      </c>
      <c r="X169">
        <v>0</v>
      </c>
      <c r="Y169">
        <v>0</v>
      </c>
      <c r="AA169">
        <v>0</v>
      </c>
      <c r="AB169">
        <v>0</v>
      </c>
      <c r="AC169">
        <v>3</v>
      </c>
      <c r="AE169">
        <v>0</v>
      </c>
      <c r="AF169">
        <v>4</v>
      </c>
      <c r="AG169">
        <v>0</v>
      </c>
      <c r="AI169">
        <v>1</v>
      </c>
      <c r="AJ169">
        <v>0</v>
      </c>
      <c r="AK169">
        <v>0</v>
      </c>
      <c r="AO169">
        <v>0</v>
      </c>
      <c r="AP169">
        <v>0</v>
      </c>
      <c r="AQ169">
        <v>0</v>
      </c>
      <c r="AS169">
        <v>0</v>
      </c>
      <c r="AT169">
        <v>2</v>
      </c>
      <c r="AU169">
        <v>0</v>
      </c>
      <c r="AW169">
        <v>1</v>
      </c>
      <c r="AX169">
        <v>0</v>
      </c>
      <c r="AY169">
        <v>0</v>
      </c>
      <c r="BA169">
        <v>0</v>
      </c>
      <c r="BB169">
        <v>0</v>
      </c>
      <c r="BC169">
        <v>0</v>
      </c>
      <c r="BE169">
        <v>0</v>
      </c>
      <c r="BF169">
        <v>0</v>
      </c>
      <c r="BG169">
        <v>0</v>
      </c>
      <c r="BI169">
        <v>0</v>
      </c>
      <c r="BJ169">
        <v>0</v>
      </c>
      <c r="BK169">
        <v>0</v>
      </c>
      <c r="BM169">
        <v>0</v>
      </c>
      <c r="BN169">
        <v>0</v>
      </c>
      <c r="BO169">
        <v>2</v>
      </c>
      <c r="BQ169">
        <v>0</v>
      </c>
      <c r="BR169">
        <v>2</v>
      </c>
      <c r="BS169">
        <v>0</v>
      </c>
      <c r="BU169">
        <v>0</v>
      </c>
      <c r="BV169">
        <v>0</v>
      </c>
      <c r="BW169">
        <v>2</v>
      </c>
    </row>
    <row r="170" spans="3:75" x14ac:dyDescent="0.2">
      <c r="C170">
        <v>0</v>
      </c>
      <c r="D170">
        <v>0</v>
      </c>
      <c r="E170">
        <v>0</v>
      </c>
      <c r="G170">
        <v>0</v>
      </c>
      <c r="H170">
        <v>1</v>
      </c>
      <c r="I170">
        <v>0</v>
      </c>
      <c r="K170">
        <v>0</v>
      </c>
      <c r="L170">
        <v>1</v>
      </c>
      <c r="M170">
        <v>0</v>
      </c>
      <c r="O170">
        <v>0</v>
      </c>
      <c r="P170">
        <v>0</v>
      </c>
      <c r="Q170">
        <v>0</v>
      </c>
      <c r="S170">
        <v>2</v>
      </c>
      <c r="T170">
        <v>0</v>
      </c>
      <c r="U170">
        <v>0</v>
      </c>
      <c r="W170">
        <v>0</v>
      </c>
      <c r="X170">
        <v>0</v>
      </c>
      <c r="Y170">
        <v>0</v>
      </c>
      <c r="AA170">
        <v>0</v>
      </c>
      <c r="AB170">
        <v>0</v>
      </c>
      <c r="AC170">
        <v>0</v>
      </c>
      <c r="AE170">
        <v>1</v>
      </c>
      <c r="AF170">
        <v>1</v>
      </c>
      <c r="AG170">
        <v>0</v>
      </c>
      <c r="AI170">
        <v>0</v>
      </c>
      <c r="AJ170">
        <v>0</v>
      </c>
      <c r="AK170">
        <v>1</v>
      </c>
      <c r="AO170">
        <v>0</v>
      </c>
      <c r="AP170">
        <v>0</v>
      </c>
      <c r="AQ170">
        <v>0</v>
      </c>
      <c r="AS170">
        <v>0</v>
      </c>
      <c r="AT170">
        <v>1</v>
      </c>
      <c r="AU170">
        <v>0</v>
      </c>
      <c r="AW170">
        <v>0</v>
      </c>
      <c r="AX170">
        <v>1</v>
      </c>
      <c r="AY170">
        <v>0</v>
      </c>
      <c r="BA170">
        <v>0</v>
      </c>
      <c r="BB170">
        <v>0</v>
      </c>
      <c r="BC170">
        <v>1</v>
      </c>
      <c r="BE170">
        <v>0</v>
      </c>
      <c r="BF170">
        <v>0</v>
      </c>
      <c r="BG170">
        <v>0</v>
      </c>
      <c r="BI170">
        <v>1</v>
      </c>
      <c r="BJ170">
        <v>0</v>
      </c>
      <c r="BK170">
        <v>0</v>
      </c>
      <c r="BM170">
        <v>0</v>
      </c>
      <c r="BN170">
        <v>0</v>
      </c>
      <c r="BO170">
        <v>0</v>
      </c>
      <c r="BQ170">
        <v>0</v>
      </c>
      <c r="BR170">
        <v>2</v>
      </c>
      <c r="BS170">
        <v>0</v>
      </c>
      <c r="BU170">
        <v>0</v>
      </c>
      <c r="BV170">
        <v>0</v>
      </c>
      <c r="BW170">
        <v>1</v>
      </c>
    </row>
    <row r="171" spans="3:75" x14ac:dyDescent="0.2">
      <c r="C171">
        <v>0</v>
      </c>
      <c r="D171">
        <v>0</v>
      </c>
      <c r="E171">
        <v>0</v>
      </c>
      <c r="G171">
        <v>1</v>
      </c>
      <c r="H171">
        <v>1</v>
      </c>
      <c r="I171">
        <v>0</v>
      </c>
      <c r="K171">
        <v>0</v>
      </c>
      <c r="L171">
        <v>1</v>
      </c>
      <c r="M171">
        <v>0</v>
      </c>
      <c r="O171">
        <v>0</v>
      </c>
      <c r="P171">
        <v>0</v>
      </c>
      <c r="Q171">
        <v>0</v>
      </c>
      <c r="S171">
        <v>0</v>
      </c>
      <c r="T171">
        <v>0</v>
      </c>
      <c r="U171">
        <v>0</v>
      </c>
      <c r="W171">
        <v>1</v>
      </c>
      <c r="X171">
        <v>1</v>
      </c>
      <c r="Y171">
        <v>0</v>
      </c>
      <c r="AA171">
        <v>0</v>
      </c>
      <c r="AB171">
        <v>0</v>
      </c>
      <c r="AC171">
        <v>1</v>
      </c>
      <c r="AE171">
        <v>0</v>
      </c>
      <c r="AF171">
        <v>0</v>
      </c>
      <c r="AG171">
        <v>0</v>
      </c>
      <c r="AI171">
        <v>0</v>
      </c>
      <c r="AJ171">
        <v>0</v>
      </c>
      <c r="AK171">
        <v>3</v>
      </c>
      <c r="AO171">
        <v>0</v>
      </c>
      <c r="AP171">
        <v>0</v>
      </c>
      <c r="AQ171">
        <v>0</v>
      </c>
      <c r="AS171">
        <v>0</v>
      </c>
      <c r="AT171">
        <v>0</v>
      </c>
      <c r="AU171">
        <v>0</v>
      </c>
      <c r="AW171">
        <v>0</v>
      </c>
      <c r="AX171">
        <v>0</v>
      </c>
      <c r="AY171">
        <v>0</v>
      </c>
      <c r="BA171">
        <v>0</v>
      </c>
      <c r="BB171">
        <v>0</v>
      </c>
      <c r="BC171">
        <v>0</v>
      </c>
      <c r="BE171">
        <v>0</v>
      </c>
      <c r="BF171">
        <v>0</v>
      </c>
      <c r="BG171">
        <v>0</v>
      </c>
      <c r="BI171">
        <v>0</v>
      </c>
      <c r="BJ171">
        <v>0</v>
      </c>
      <c r="BK171">
        <v>0</v>
      </c>
      <c r="BM171">
        <v>0</v>
      </c>
      <c r="BN171">
        <v>0</v>
      </c>
      <c r="BO171">
        <v>0</v>
      </c>
      <c r="BQ171">
        <v>0</v>
      </c>
      <c r="BR171">
        <v>0</v>
      </c>
      <c r="BS171">
        <v>0</v>
      </c>
      <c r="BU171">
        <v>0</v>
      </c>
      <c r="BV171">
        <v>0</v>
      </c>
      <c r="BW171">
        <v>0</v>
      </c>
    </row>
    <row r="172" spans="3:75" x14ac:dyDescent="0.2">
      <c r="C172">
        <v>0</v>
      </c>
      <c r="D172">
        <v>0</v>
      </c>
      <c r="E172">
        <v>0</v>
      </c>
      <c r="G172">
        <v>0</v>
      </c>
      <c r="H172">
        <v>0</v>
      </c>
      <c r="I172">
        <v>0</v>
      </c>
      <c r="K172">
        <v>2</v>
      </c>
      <c r="L172">
        <v>0</v>
      </c>
      <c r="M172">
        <v>0</v>
      </c>
      <c r="O172">
        <v>0</v>
      </c>
      <c r="P172">
        <v>0</v>
      </c>
      <c r="Q172">
        <v>0</v>
      </c>
      <c r="S172">
        <v>2</v>
      </c>
      <c r="T172">
        <v>0</v>
      </c>
      <c r="U172">
        <v>1</v>
      </c>
      <c r="W172">
        <v>1</v>
      </c>
      <c r="X172">
        <v>0</v>
      </c>
      <c r="Y172">
        <v>1</v>
      </c>
      <c r="AA172">
        <v>0</v>
      </c>
      <c r="AB172">
        <v>0</v>
      </c>
      <c r="AC172">
        <v>1</v>
      </c>
      <c r="AE172">
        <v>1</v>
      </c>
      <c r="AF172">
        <v>0</v>
      </c>
      <c r="AG172">
        <v>0</v>
      </c>
      <c r="AI172">
        <v>0</v>
      </c>
      <c r="AJ172">
        <v>0</v>
      </c>
      <c r="AK172">
        <v>0</v>
      </c>
      <c r="AO172">
        <v>0</v>
      </c>
      <c r="AP172">
        <v>0</v>
      </c>
      <c r="AQ172">
        <v>0</v>
      </c>
      <c r="AS172">
        <v>2</v>
      </c>
      <c r="AT172">
        <v>0</v>
      </c>
      <c r="AU172">
        <v>0</v>
      </c>
      <c r="AW172">
        <v>1</v>
      </c>
      <c r="AX172">
        <v>0</v>
      </c>
      <c r="AY172">
        <v>0</v>
      </c>
      <c r="BA172">
        <v>0</v>
      </c>
      <c r="BB172">
        <v>0</v>
      </c>
      <c r="BC172">
        <v>0</v>
      </c>
      <c r="BE172">
        <v>2</v>
      </c>
      <c r="BF172">
        <v>0</v>
      </c>
      <c r="BG172">
        <v>0</v>
      </c>
      <c r="BI172">
        <v>0</v>
      </c>
      <c r="BJ172">
        <v>1</v>
      </c>
      <c r="BK172">
        <v>0</v>
      </c>
      <c r="BM172">
        <v>0</v>
      </c>
      <c r="BN172">
        <v>0</v>
      </c>
      <c r="BO172">
        <v>0</v>
      </c>
      <c r="BQ172">
        <v>0</v>
      </c>
      <c r="BR172">
        <v>0</v>
      </c>
      <c r="BS172">
        <v>0</v>
      </c>
      <c r="BU172">
        <v>0</v>
      </c>
      <c r="BV172">
        <v>0</v>
      </c>
      <c r="BW172">
        <v>0</v>
      </c>
    </row>
    <row r="173" spans="3:75" x14ac:dyDescent="0.2">
      <c r="C173">
        <v>0</v>
      </c>
      <c r="D173">
        <v>0</v>
      </c>
      <c r="E173">
        <v>0</v>
      </c>
      <c r="G173">
        <v>0</v>
      </c>
      <c r="H173">
        <v>0</v>
      </c>
      <c r="I173">
        <v>0</v>
      </c>
      <c r="K173">
        <v>1</v>
      </c>
      <c r="L173">
        <v>0</v>
      </c>
      <c r="M173">
        <v>0</v>
      </c>
      <c r="O173">
        <v>0</v>
      </c>
      <c r="P173">
        <v>0</v>
      </c>
      <c r="Q173">
        <v>0</v>
      </c>
      <c r="S173">
        <v>0</v>
      </c>
      <c r="T173">
        <v>0</v>
      </c>
      <c r="U173">
        <v>0</v>
      </c>
      <c r="W173">
        <v>0</v>
      </c>
      <c r="X173">
        <v>0</v>
      </c>
      <c r="Y173">
        <v>0</v>
      </c>
      <c r="AA173">
        <v>0</v>
      </c>
      <c r="AB173">
        <v>0</v>
      </c>
      <c r="AC173">
        <v>0</v>
      </c>
      <c r="AE173">
        <v>1</v>
      </c>
      <c r="AF173">
        <v>0</v>
      </c>
      <c r="AG173">
        <v>0</v>
      </c>
      <c r="AI173">
        <v>0</v>
      </c>
      <c r="AJ173">
        <v>0</v>
      </c>
      <c r="AK173">
        <v>0</v>
      </c>
      <c r="AO173">
        <v>0</v>
      </c>
      <c r="AP173">
        <v>0</v>
      </c>
      <c r="AQ173">
        <v>0</v>
      </c>
      <c r="AS173">
        <v>0</v>
      </c>
      <c r="AT173">
        <v>0</v>
      </c>
      <c r="AU173">
        <v>0</v>
      </c>
      <c r="AW173">
        <v>0</v>
      </c>
      <c r="AX173">
        <v>0</v>
      </c>
      <c r="AY173">
        <v>0</v>
      </c>
      <c r="BA173">
        <v>0</v>
      </c>
      <c r="BB173">
        <v>0</v>
      </c>
      <c r="BC173">
        <v>0</v>
      </c>
      <c r="BE173">
        <v>0</v>
      </c>
      <c r="BF173">
        <v>0</v>
      </c>
      <c r="BG173">
        <v>1</v>
      </c>
      <c r="BI173">
        <v>0</v>
      </c>
      <c r="BJ173">
        <v>0</v>
      </c>
      <c r="BK173">
        <v>0</v>
      </c>
      <c r="BM173">
        <v>0</v>
      </c>
      <c r="BN173">
        <v>0</v>
      </c>
      <c r="BO173">
        <v>0</v>
      </c>
      <c r="BQ173">
        <v>0</v>
      </c>
      <c r="BR173">
        <v>0</v>
      </c>
      <c r="BS173">
        <v>0</v>
      </c>
      <c r="BU173">
        <v>0</v>
      </c>
      <c r="BV173">
        <v>0</v>
      </c>
      <c r="BW173">
        <v>0</v>
      </c>
    </row>
  </sheetData>
  <mergeCells count="24">
    <mergeCell ref="BA3:BD3"/>
    <mergeCell ref="BE3:BH3"/>
    <mergeCell ref="BI3:BL3"/>
    <mergeCell ref="C2:N2"/>
    <mergeCell ref="O2:Z2"/>
    <mergeCell ref="AA2:AL2"/>
    <mergeCell ref="AO2:AZ2"/>
    <mergeCell ref="BA2:BL2"/>
    <mergeCell ref="BM3:BP3"/>
    <mergeCell ref="BQ3:BT3"/>
    <mergeCell ref="BU3:BX3"/>
    <mergeCell ref="BM2:BX2"/>
    <mergeCell ref="C3:F3"/>
    <mergeCell ref="G3:J3"/>
    <mergeCell ref="K3:N3"/>
    <mergeCell ref="O3:R3"/>
    <mergeCell ref="S3:V3"/>
    <mergeCell ref="W3:Z3"/>
    <mergeCell ref="AA3:AD3"/>
    <mergeCell ref="AE3:AH3"/>
    <mergeCell ref="AI3:AL3"/>
    <mergeCell ref="AO3:AR3"/>
    <mergeCell ref="AS3:AV3"/>
    <mergeCell ref="AW3:AZ3"/>
  </mergeCells>
  <conditionalFormatting sqref="A48:XFD69">
    <cfRule type="cellIs" dxfId="21" priority="1" operator="equal">
      <formula>"Rechazado"</formula>
    </cfRule>
    <cfRule type="cellIs" dxfId="20" priority="2" operator="equal">
      <formula>"Aceptado"</formula>
    </cfRule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31A0A-0395-43BA-8597-D2DFDA4CF2E6}">
  <sheetPr codeName="Sheet27"/>
  <dimension ref="A2:BX175"/>
  <sheetViews>
    <sheetView topLeftCell="P1" zoomScale="85" zoomScaleNormal="85" workbookViewId="0">
      <selection activeCell="BQ47" sqref="BQ47"/>
    </sheetView>
  </sheetViews>
  <sheetFormatPr defaultRowHeight="12.75" x14ac:dyDescent="0.2"/>
  <cols>
    <col min="1" max="1" width="3.140625" customWidth="1"/>
    <col min="2" max="2" width="21.28515625" customWidth="1"/>
    <col min="3" max="3" width="12.5703125" bestFit="1" customWidth="1"/>
    <col min="4" max="4" width="11.7109375" customWidth="1"/>
    <col min="5" max="5" width="12.5703125" bestFit="1" customWidth="1"/>
    <col min="6" max="8" width="9.28515625" bestFit="1" customWidth="1"/>
    <col min="9" max="9" width="9.5703125" bestFit="1" customWidth="1"/>
    <col min="10" max="10" width="9.28515625" bestFit="1" customWidth="1"/>
    <col min="11" max="11" width="12.5703125" bestFit="1" customWidth="1"/>
    <col min="12" max="12" width="9.28515625" bestFit="1" customWidth="1"/>
    <col min="13" max="13" width="9.5703125" bestFit="1" customWidth="1"/>
    <col min="14" max="16" width="9.28515625" bestFit="1" customWidth="1"/>
    <col min="17" max="17" width="9.5703125" bestFit="1" customWidth="1"/>
    <col min="18" max="18" width="9.28515625" bestFit="1" customWidth="1"/>
    <col min="19" max="19" width="12.5703125" bestFit="1" customWidth="1"/>
    <col min="20" max="21" width="11.5703125" bestFit="1" customWidth="1"/>
    <col min="22" max="22" width="9.28515625" bestFit="1" customWidth="1"/>
    <col min="23" max="24" width="12.5703125" bestFit="1" customWidth="1"/>
    <col min="25" max="25" width="9.5703125" bestFit="1" customWidth="1"/>
    <col min="26" max="26" width="9.28515625" bestFit="1" customWidth="1"/>
    <col min="27" max="27" width="12.7109375" bestFit="1" customWidth="1"/>
    <col min="28" max="28" width="11.7109375" bestFit="1" customWidth="1"/>
    <col min="29" max="29" width="12.7109375" bestFit="1" customWidth="1"/>
    <col min="30" max="30" width="9.28515625" bestFit="1" customWidth="1"/>
    <col min="31" max="32" width="12.7109375" bestFit="1" customWidth="1"/>
    <col min="33" max="33" width="12.5703125" bestFit="1" customWidth="1"/>
    <col min="35" max="36" width="9.28515625" bestFit="1" customWidth="1"/>
    <col min="37" max="37" width="12.7109375" bestFit="1" customWidth="1"/>
    <col min="38" max="38" width="9.28515625" bestFit="1" customWidth="1"/>
    <col min="40" max="40" width="18.85546875" customWidth="1"/>
    <col min="41" max="42" width="9.28515625" bestFit="1" customWidth="1"/>
    <col min="43" max="43" width="9.5703125" bestFit="1" customWidth="1"/>
    <col min="44" max="46" width="9.28515625" bestFit="1" customWidth="1"/>
    <col min="47" max="47" width="9.5703125" bestFit="1" customWidth="1"/>
    <col min="48" max="48" width="9.28515625" bestFit="1" customWidth="1"/>
    <col min="49" max="50" width="12.7109375" bestFit="1" customWidth="1"/>
    <col min="51" max="51" width="9.5703125" bestFit="1" customWidth="1"/>
    <col min="52" max="53" width="9.28515625" bestFit="1" customWidth="1"/>
    <col min="57" max="57" width="9.28515625" bestFit="1" customWidth="1"/>
    <col min="58" max="59" width="12.7109375" bestFit="1" customWidth="1"/>
    <col min="60" max="60" width="9.28515625" bestFit="1" customWidth="1"/>
    <col min="61" max="61" width="11.7109375" bestFit="1" customWidth="1"/>
    <col min="62" max="62" width="12.7109375" bestFit="1" customWidth="1"/>
    <col min="63" max="63" width="9.5703125" bestFit="1" customWidth="1"/>
    <col min="64" max="64" width="9.28515625" bestFit="1" customWidth="1"/>
    <col min="65" max="65" width="11.7109375" bestFit="1" customWidth="1"/>
    <col min="66" max="67" width="12.7109375" bestFit="1" customWidth="1"/>
    <col min="68" max="68" width="9.28515625" bestFit="1" customWidth="1"/>
    <col min="69" max="70" width="12.7109375" bestFit="1" customWidth="1"/>
    <col min="71" max="71" width="11.5703125" bestFit="1" customWidth="1"/>
    <col min="73" max="73" width="12.7109375" bestFit="1" customWidth="1"/>
    <col min="74" max="74" width="9.28515625" bestFit="1" customWidth="1"/>
    <col min="75" max="75" width="12.7109375" bestFit="1" customWidth="1"/>
    <col min="76" max="76" width="9.28515625" bestFit="1" customWidth="1"/>
  </cols>
  <sheetData>
    <row r="2" spans="2:76" x14ac:dyDescent="0.2">
      <c r="B2" s="235" t="s">
        <v>10</v>
      </c>
      <c r="C2" s="424" t="s">
        <v>9</v>
      </c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4" t="s">
        <v>4</v>
      </c>
      <c r="P2" s="420"/>
      <c r="Q2" s="420"/>
      <c r="R2" s="420"/>
      <c r="S2" s="420"/>
      <c r="T2" s="420"/>
      <c r="U2" s="420"/>
      <c r="V2" s="420"/>
      <c r="W2" s="420"/>
      <c r="X2" s="420"/>
      <c r="Y2" s="420"/>
      <c r="Z2" s="420"/>
      <c r="AA2" s="424" t="s">
        <v>5</v>
      </c>
      <c r="AB2" s="420"/>
      <c r="AC2" s="420"/>
      <c r="AD2" s="420"/>
      <c r="AE2" s="420"/>
      <c r="AF2" s="420"/>
      <c r="AG2" s="420"/>
      <c r="AH2" s="420"/>
      <c r="AI2" s="420"/>
      <c r="AJ2" s="420"/>
      <c r="AK2" s="420"/>
      <c r="AL2" s="420"/>
      <c r="AN2" t="s">
        <v>11</v>
      </c>
      <c r="AO2" s="420" t="s">
        <v>9</v>
      </c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4" t="s">
        <v>51</v>
      </c>
      <c r="BB2" s="420"/>
      <c r="BC2" s="420"/>
      <c r="BD2" s="420"/>
      <c r="BE2" s="420"/>
      <c r="BF2" s="420"/>
      <c r="BG2" s="420"/>
      <c r="BH2" s="420"/>
      <c r="BI2" s="420"/>
      <c r="BJ2" s="420"/>
      <c r="BK2" s="420"/>
      <c r="BL2" s="420"/>
      <c r="BM2" s="420" t="s">
        <v>5</v>
      </c>
      <c r="BN2" s="420"/>
      <c r="BO2" s="420"/>
      <c r="BP2" s="420"/>
      <c r="BQ2" s="420"/>
      <c r="BR2" s="420"/>
      <c r="BS2" s="420"/>
      <c r="BT2" s="420"/>
      <c r="BU2" s="420"/>
      <c r="BV2" s="420"/>
      <c r="BW2" s="420"/>
      <c r="BX2" s="420"/>
    </row>
    <row r="3" spans="2:76" x14ac:dyDescent="0.2">
      <c r="C3" s="421" t="s">
        <v>1</v>
      </c>
      <c r="D3" s="422"/>
      <c r="E3" s="422"/>
      <c r="F3" s="423"/>
      <c r="G3" s="424" t="s">
        <v>2</v>
      </c>
      <c r="H3" s="420"/>
      <c r="I3" s="420"/>
      <c r="J3" s="420"/>
      <c r="K3" s="424" t="s">
        <v>3</v>
      </c>
      <c r="L3" s="420"/>
      <c r="M3" s="420"/>
      <c r="N3" s="420"/>
      <c r="O3" s="424" t="s">
        <v>1</v>
      </c>
      <c r="P3" s="420"/>
      <c r="Q3" s="420"/>
      <c r="R3" s="420"/>
      <c r="S3" s="424" t="s">
        <v>2</v>
      </c>
      <c r="T3" s="420"/>
      <c r="U3" s="420"/>
      <c r="V3" s="420"/>
      <c r="W3" s="424" t="s">
        <v>3</v>
      </c>
      <c r="X3" s="420"/>
      <c r="Y3" s="420"/>
      <c r="Z3" s="420"/>
      <c r="AA3" s="424" t="s">
        <v>1</v>
      </c>
      <c r="AB3" s="420"/>
      <c r="AC3" s="420"/>
      <c r="AD3" s="420"/>
      <c r="AE3" s="424" t="s">
        <v>2</v>
      </c>
      <c r="AF3" s="420"/>
      <c r="AG3" s="420"/>
      <c r="AH3" s="420"/>
      <c r="AI3" s="424" t="s">
        <v>3</v>
      </c>
      <c r="AJ3" s="420"/>
      <c r="AK3" s="420"/>
      <c r="AL3" s="420"/>
      <c r="AO3" s="420" t="s">
        <v>1</v>
      </c>
      <c r="AP3" s="420"/>
      <c r="AQ3" s="420"/>
      <c r="AR3" s="420"/>
      <c r="AS3" s="420" t="s">
        <v>2</v>
      </c>
      <c r="AT3" s="420"/>
      <c r="AU3" s="420"/>
      <c r="AV3" s="420"/>
      <c r="AW3" s="420" t="s">
        <v>3</v>
      </c>
      <c r="AX3" s="420"/>
      <c r="AY3" s="420"/>
      <c r="AZ3" s="420"/>
      <c r="BA3" s="420" t="s">
        <v>1</v>
      </c>
      <c r="BB3" s="420"/>
      <c r="BC3" s="420"/>
      <c r="BD3" s="420"/>
      <c r="BE3" s="420" t="s">
        <v>2</v>
      </c>
      <c r="BF3" s="420"/>
      <c r="BG3" s="420"/>
      <c r="BH3" s="420"/>
      <c r="BI3" s="420" t="s">
        <v>3</v>
      </c>
      <c r="BJ3" s="420"/>
      <c r="BK3" s="420"/>
      <c r="BL3" s="420"/>
      <c r="BM3" s="420" t="s">
        <v>1</v>
      </c>
      <c r="BN3" s="420"/>
      <c r="BO3" s="420"/>
      <c r="BP3" s="420"/>
      <c r="BQ3" s="420" t="s">
        <v>2</v>
      </c>
      <c r="BR3" s="420"/>
      <c r="BS3" s="420"/>
      <c r="BT3" s="420"/>
      <c r="BU3" s="420" t="s">
        <v>3</v>
      </c>
      <c r="BV3" s="420"/>
      <c r="BW3" s="420"/>
      <c r="BX3" s="420"/>
    </row>
    <row r="4" spans="2:76" x14ac:dyDescent="0.2">
      <c r="C4" s="330" t="s">
        <v>12</v>
      </c>
      <c r="D4" s="330" t="s">
        <v>8</v>
      </c>
      <c r="E4" s="330" t="s">
        <v>264</v>
      </c>
      <c r="F4" s="330" t="s">
        <v>263</v>
      </c>
      <c r="G4" s="330" t="s">
        <v>12</v>
      </c>
      <c r="H4" s="330" t="s">
        <v>8</v>
      </c>
      <c r="I4" s="330" t="s">
        <v>264</v>
      </c>
      <c r="J4" s="330" t="s">
        <v>263</v>
      </c>
      <c r="K4" s="330" t="s">
        <v>12</v>
      </c>
      <c r="L4" s="330" t="s">
        <v>8</v>
      </c>
      <c r="M4" s="330" t="s">
        <v>264</v>
      </c>
      <c r="N4" s="330" t="s">
        <v>263</v>
      </c>
      <c r="O4" s="330" t="s">
        <v>12</v>
      </c>
      <c r="P4" s="330" t="s">
        <v>8</v>
      </c>
      <c r="Q4" s="330" t="s">
        <v>264</v>
      </c>
      <c r="R4" s="330" t="s">
        <v>263</v>
      </c>
      <c r="S4" s="330" t="s">
        <v>12</v>
      </c>
      <c r="T4" s="330" t="s">
        <v>8</v>
      </c>
      <c r="U4" s="330" t="s">
        <v>264</v>
      </c>
      <c r="V4" s="330" t="s">
        <v>263</v>
      </c>
      <c r="W4" s="330" t="s">
        <v>12</v>
      </c>
      <c r="X4" s="330" t="s">
        <v>8</v>
      </c>
      <c r="Y4" s="330" t="s">
        <v>264</v>
      </c>
      <c r="Z4" s="330" t="s">
        <v>263</v>
      </c>
      <c r="AA4" s="330" t="s">
        <v>12</v>
      </c>
      <c r="AB4" s="330" t="s">
        <v>8</v>
      </c>
      <c r="AC4" s="330" t="s">
        <v>264</v>
      </c>
      <c r="AD4" s="330" t="s">
        <v>263</v>
      </c>
      <c r="AE4" s="330" t="s">
        <v>12</v>
      </c>
      <c r="AF4" s="330" t="s">
        <v>8</v>
      </c>
      <c r="AG4" s="330" t="s">
        <v>264</v>
      </c>
      <c r="AH4" s="330" t="s">
        <v>263</v>
      </c>
      <c r="AI4" s="330" t="s">
        <v>12</v>
      </c>
      <c r="AJ4" s="330" t="s">
        <v>8</v>
      </c>
      <c r="AK4" s="330" t="s">
        <v>264</v>
      </c>
      <c r="AL4" s="330" t="s">
        <v>263</v>
      </c>
      <c r="AM4" s="314"/>
      <c r="AN4" s="314"/>
      <c r="AO4" s="330" t="s">
        <v>12</v>
      </c>
      <c r="AP4" s="330" t="s">
        <v>8</v>
      </c>
      <c r="AQ4" s="330" t="s">
        <v>264</v>
      </c>
      <c r="AR4" s="330" t="s">
        <v>263</v>
      </c>
      <c r="AS4" s="330" t="s">
        <v>12</v>
      </c>
      <c r="AT4" s="330" t="s">
        <v>8</v>
      </c>
      <c r="AU4" s="330" t="s">
        <v>264</v>
      </c>
      <c r="AV4" s="330" t="s">
        <v>263</v>
      </c>
      <c r="AW4" s="330" t="s">
        <v>12</v>
      </c>
      <c r="AX4" s="330" t="s">
        <v>8</v>
      </c>
      <c r="AY4" s="330" t="s">
        <v>264</v>
      </c>
      <c r="AZ4" s="330" t="s">
        <v>263</v>
      </c>
      <c r="BA4" s="330" t="s">
        <v>12</v>
      </c>
      <c r="BB4" s="330" t="s">
        <v>8</v>
      </c>
      <c r="BC4" s="330" t="s">
        <v>264</v>
      </c>
      <c r="BD4" s="330" t="s">
        <v>263</v>
      </c>
      <c r="BE4" s="330" t="s">
        <v>12</v>
      </c>
      <c r="BF4" s="330" t="s">
        <v>8</v>
      </c>
      <c r="BG4" s="330" t="s">
        <v>264</v>
      </c>
      <c r="BH4" s="330" t="s">
        <v>263</v>
      </c>
      <c r="BI4" s="330" t="s">
        <v>12</v>
      </c>
      <c r="BJ4" s="330" t="s">
        <v>8</v>
      </c>
      <c r="BK4" s="330" t="s">
        <v>264</v>
      </c>
      <c r="BL4" s="330" t="s">
        <v>263</v>
      </c>
      <c r="BM4" s="330" t="s">
        <v>12</v>
      </c>
      <c r="BN4" s="330" t="s">
        <v>8</v>
      </c>
      <c r="BO4" s="330" t="s">
        <v>264</v>
      </c>
      <c r="BP4" s="330" t="s">
        <v>263</v>
      </c>
      <c r="BQ4" s="330" t="s">
        <v>12</v>
      </c>
      <c r="BR4" s="330" t="s">
        <v>8</v>
      </c>
      <c r="BS4" s="330" t="s">
        <v>264</v>
      </c>
      <c r="BT4" s="330" t="s">
        <v>263</v>
      </c>
      <c r="BU4" s="330" t="s">
        <v>12</v>
      </c>
      <c r="BV4" s="330" t="s">
        <v>8</v>
      </c>
      <c r="BW4" s="330" t="s">
        <v>264</v>
      </c>
      <c r="BX4" s="330" t="s">
        <v>263</v>
      </c>
    </row>
    <row r="5" spans="2:76" x14ac:dyDescent="0.2">
      <c r="C5" s="335">
        <f>IF(AND(ISNUMBER('Laboratorio_M '!E7),ISNUMBER('Courier_M '!E9)),'Laboratorio_M '!E7," ")</f>
        <v>22.587</v>
      </c>
      <c r="D5" s="334">
        <f>IF(AND(ISNUMBER('Laboratorio_M '!E7),ISNUMBER('Courier_M '!E9)),'Courier_M '!E9," ")</f>
        <v>22.597080230712891</v>
      </c>
      <c r="E5" s="334">
        <f>IF(ISNUMBER(C5-D5),IF(D5&lt;17,"",C5-D5)," ")</f>
        <v>-1.0080230712890881E-2</v>
      </c>
      <c r="F5" s="336">
        <f t="shared" ref="F5:F34" si="0">IF(ISNUMBER(ABS(E5)/C5*100),ABS(E5)/C5*100," ")</f>
        <v>4.4628462004209855E-2</v>
      </c>
      <c r="G5" s="334">
        <f>IF(AND(ISNUMBER('Laboratorio_M '!G7),ISNUMBER('Courier_M '!G9)),'Laboratorio_M '!G7," ")</f>
        <v>1.877</v>
      </c>
      <c r="H5" s="334">
        <f>IF(AND(ISNUMBER('Laboratorio_M '!G7),ISNUMBER('Courier_M '!G9)),'Courier_M '!G9," ")</f>
        <v>1.4718281030654907</v>
      </c>
      <c r="I5" s="334">
        <f>IF(ISNUMBER(G5-H5),IF(H5&lt;0.2,"",G5-H5)," ")</f>
        <v>0.40517189693450928</v>
      </c>
      <c r="J5" s="336">
        <f t="shared" ref="J5:J34" si="1">IF(ISNUMBER(ABS(I5)/G5*100),ABS(I5)/G5*100," ")</f>
        <v>21.58614261771493</v>
      </c>
      <c r="K5" s="334">
        <f>IF(AND(ISNUMBER('Laboratorio_M '!I7),ISNUMBER('Courier_M.'!I9)),Laboratorio_M!I7," ")</f>
        <v>28.57</v>
      </c>
      <c r="L5" s="334">
        <f>IF(AND(ISNUMBER('Laboratorio_M '!I7),ISNUMBER('Courier_M.'!I9)),'Courier_M.'!I9," ")</f>
        <v>27.8409423828125</v>
      </c>
      <c r="M5" s="334">
        <f t="shared" ref="M5:M34" si="2">IF(ISNUMBER(K5-L5),IF(L5&lt;16,"",K5-L5)," ")</f>
        <v>0.72905761718750028</v>
      </c>
      <c r="N5" s="336">
        <f t="shared" ref="N5:N34" si="3">IF(ISNUMBER(ABS(M5)/K5*100),ABS(M5)/K5*100," ")</f>
        <v>2.5518292516188321</v>
      </c>
      <c r="O5" s="334">
        <f>IF(AND(AND(ISNUMBER('Laboratorio_M '!K7),ISNUMBER('Courier_M.'!K9)),AND('Laboratorio_M '!K7&gt;17,'Courier_M.'!K9&gt;17)),Laboratorio_M!K7," ")</f>
        <v>22.686</v>
      </c>
      <c r="P5" s="334">
        <f>IF(AND(AND(ISNUMBER('Laboratorio_M '!K7),ISNUMBER('Courier_M.'!K9)),AND(Laboratorio_M!K7&gt;17,'Courier_M.'!K9&gt;17)),'Courier_M.'!K9," ")</f>
        <v>21.793367385864258</v>
      </c>
      <c r="Q5" s="334">
        <f t="shared" ref="Q5:Q34" si="4">IF(ISNUMBER(O5-P5),IF(P5&lt;17,"",O5-P5)," ")</f>
        <v>0.89263261413574213</v>
      </c>
      <c r="R5" s="336">
        <f t="shared" ref="R5:R34" si="5">IF(ISNUMBER(ABS(Q5)/O5*100),ABS(Q5)/O5*100," ")</f>
        <v>3.9347289700067978</v>
      </c>
      <c r="S5" s="334">
        <f>IF(AND(ISNUMBER(Laboratorio_M!M7),ISNUMBER('Courier_M.'!M9)),Laboratorio_M!M7," ")</f>
        <v>7.3999999999999996E-2</v>
      </c>
      <c r="T5" s="334">
        <f>IF(AND(ISNUMBER('Laboratorio_M '!M7),ISNUMBER('Courier_M.'!M9)),'Courier_M.'!M9," ")</f>
        <v>0.43541663885116577</v>
      </c>
      <c r="U5" s="334">
        <f t="shared" ref="U5:U34" si="6">IF(ISNUMBER(S5-T5),IF(T5&lt;0.02,"",S5-T5)," ")</f>
        <v>-0.36141663885116576</v>
      </c>
      <c r="V5" s="336">
        <f t="shared" ref="V5:V34" si="7">IF(ISNUMBER(ABS(U5)/S5*100),ABS(U5)/S5*100," ")</f>
        <v>488.40086331238615</v>
      </c>
      <c r="W5" s="334">
        <f>IF(AND(AND(ISNUMBER('Laboratorio_M '!O7),ISNUMBER('Courier_M.'!O9)),AND(Laboratorio_M!O7&gt;20,'Courier_M.'!O9&gt;20)),Laboratorio_M!O7," ")</f>
        <v>30.11</v>
      </c>
      <c r="X5" s="334">
        <f>IF(AND(AND(ISNUMBER('Laboratorio_M '!O7),ISNUMBER('Courier_M.'!O9)),AND(Laboratorio_M!O7&gt;20,'Courier_M.'!O9&gt;20)),'Courier_M.'!O9," ")</f>
        <v>28.034366607666016</v>
      </c>
      <c r="Y5" s="334">
        <f t="shared" ref="Y5:Y34" si="8">IF(ISNUMBER(W5-X5),IF(X5&lt;20,"",W5-X5)," ")</f>
        <v>2.0756333923339838</v>
      </c>
      <c r="Z5" s="336">
        <f t="shared" ref="Z5:Z34" si="9">IF(ISNUMBER(ABS(Y5)/W5*100),ABS(Y5)/W5*100," ")</f>
        <v>6.8935018011756357</v>
      </c>
      <c r="AA5" s="334">
        <f>IF(AND(ISNUMBER('Laboratorio_M '!Q7),ISNUMBER('Courier_M '!Q9)),'Laboratorio_M '!Q7," ")</f>
        <v>0.55300000000000005</v>
      </c>
      <c r="AB5" s="334">
        <f>IF(AND(ISNUMBER('Laboratorio_M '!Q7),ISNUMBER('Courier_M '!Q9)),'Courier_M '!Q9," ")</f>
        <v>0.61717796325683594</v>
      </c>
      <c r="AC5" s="334">
        <f t="shared" ref="AC5:AC34" si="10">IF(ISNUMBER(AA5-AB5),IF(AB5&lt;0.25,"",AA5-AB5)," ")</f>
        <v>-6.417796325683589E-2</v>
      </c>
      <c r="AD5" s="336">
        <f t="shared" ref="AD5:AD34" si="11">IF(ISNUMBER(ABS(AC5)/AA5*100),ABS(AC5)/AA5*100," ")</f>
        <v>11.605418310458569</v>
      </c>
      <c r="AE5" s="334">
        <f>IF(AND(ISNUMBER('Laboratorio_M '!S7),ISNUMBER('Courier_M '!S9)),'Laboratorio_M '!S7," ")</f>
        <v>56.453000000000003</v>
      </c>
      <c r="AF5" s="334">
        <f>IF(AND(ISNUMBER('Laboratorio_M '!S7),ISNUMBER('Courier_M '!S9)),'Courier_M '!S9," ")</f>
        <v>56.281028747558594</v>
      </c>
      <c r="AG5" s="334">
        <f>IF(ISNUMBER(AE5-AF5),IF(AF5&lt;45,"",AE5-AF5)," ")</f>
        <v>0.17197125244140921</v>
      </c>
      <c r="AH5" s="336">
        <f t="shared" ref="AH5:AH34" si="12">IF(ISNUMBER(ABS(AG5)/AE5*100),ABS(AG5)/AE5*100," ")</f>
        <v>0.3046273049110042</v>
      </c>
      <c r="AI5" s="334">
        <f>IF(AND(ISNUMBER('Laboratorio_M '!U7),ISNUMBER('Courier_M '!U9)),'Laboratorio_M '!U7," ")</f>
        <v>0.88900000000000001</v>
      </c>
      <c r="AJ5" s="334">
        <f>IF(AND(ISNUMBER('Laboratorio_M '!U7),ISNUMBER('Courier_M '!U9)),'Courier_M '!U9," ")</f>
        <v>0.71101564168930054</v>
      </c>
      <c r="AK5" s="334">
        <f t="shared" ref="AK5:AK34" si="13">IF(ISNUMBER(AI5-AJ5),IF(AJ5&lt;0.4,"",AI5-AJ5)," ")</f>
        <v>0.17798435831069948</v>
      </c>
      <c r="AL5" s="336">
        <f t="shared" ref="AL5:AL34" si="14">IF(ISNUMBER(ABS(AK5)/AI5*100),ABS(AK5)/AI5*100," ")</f>
        <v>20.020737717738974</v>
      </c>
      <c r="AM5" s="334"/>
      <c r="AN5" s="334"/>
      <c r="AO5" s="335">
        <f>IF(AND(ISNUMBER('Laboratorio_M '!F7),ISNUMBER('Courier_M.'!F9)),Laboratorio_M!F7," ")</f>
        <v>24.972000000000001</v>
      </c>
      <c r="AP5" s="334">
        <f>IF(AND(ISNUMBER('Laboratorio_M '!F7),ISNUMBER('Courier_M.'!F9)),'Courier_M.'!F9," ")</f>
        <v>22.597080230712891</v>
      </c>
      <c r="AQ5" s="334">
        <f t="shared" ref="AQ5:AQ34" si="15">IF(ISNUMBER(AO5-AP5),IF(AP5&lt;17,"",AO5-AP5)," ")</f>
        <v>2.3749197692871107</v>
      </c>
      <c r="AR5" s="336">
        <f t="shared" ref="AR5:AR34" si="16">IF(ISNUMBER(ABS(AQ5)/AO5*100),ABS(AQ5)/AO5*100," ")</f>
        <v>9.5103306474736122</v>
      </c>
      <c r="AS5" s="334">
        <f>IF(AND(ISNUMBER('Laboratorio_M '!H7),ISNUMBER('Courier_M.'!H9)),Laboratorio_M!H7," ")</f>
        <v>1.639</v>
      </c>
      <c r="AT5" s="334">
        <f>IF(AND(ISNUMBER('Laboratorio_M '!H7),ISNUMBER('Courier_M.'!H9)),'Courier_M.'!H9," ")</f>
        <v>1.4718281030654907</v>
      </c>
      <c r="AU5" s="334">
        <f>IF(ISNUMBER(AS5-AT5),IF(AT5&lt;0.2,"",AS5-AT5)," ")</f>
        <v>0.16717189693450929</v>
      </c>
      <c r="AV5" s="336">
        <f t="shared" ref="AV5:AV34" si="17">IF(ISNUMBER(ABS(AU5)/AS5*100),ABS(AU5)/AS5*100," ")</f>
        <v>10.199627634808376</v>
      </c>
      <c r="AW5" s="334">
        <f>IF(AND(ISNUMBER('Laboratorio_M '!J7),ISNUMBER('Courier_M.'!J9)),Laboratorio_M!J7," ")</f>
        <v>28.59</v>
      </c>
      <c r="AX5" s="334">
        <f>IF(AND(ISNUMBER('Laboratorio_M '!J7),ISNUMBER('Courier_M.'!J9)),'Courier_M.'!J9," ")</f>
        <v>27.8409423828125</v>
      </c>
      <c r="AY5" s="334">
        <f t="shared" ref="AY5:AY34" si="18">IF(ISNUMBER(AW5-AX5),IF(AX5&lt;16,"",AW5-AX5)," ")</f>
        <v>0.74905761718749986</v>
      </c>
      <c r="AZ5" s="336">
        <f t="shared" ref="AZ5:AZ34" si="19">IF(ISNUMBER(ABS(AY5)/AW5*100),ABS(AY5)/AW5*100," ")</f>
        <v>2.6199986610265822</v>
      </c>
      <c r="BA5" s="334">
        <f>IF(AND(ISNUMBER('Laboratorio_M '!L7),ISNUMBER('Courier_M.'!L9)),Laboratorio_M!L7," ")</f>
        <v>24.474</v>
      </c>
      <c r="BB5" s="334">
        <f>IF(AND(ISNUMBER('Laboratorio_M '!L7),ISNUMBER('Courier_M '!L9)),'Courier_M '!L9," ")</f>
        <v>21.793367385864258</v>
      </c>
      <c r="BC5" s="334">
        <f t="shared" ref="BC5:BC34" si="20">IF(ISNUMBER(BA5-BB5),IF(BB5&lt;17,"",BA5-BB5)," ")</f>
        <v>2.6806326141357424</v>
      </c>
      <c r="BD5" s="336">
        <f t="shared" ref="BD5:BD34" si="21">IF(ISNUMBER(ABS(BC5)/BA5*100),ABS(BC5)/BA5*100," ")</f>
        <v>10.952981180582423</v>
      </c>
      <c r="BE5" s="334">
        <f>IF(AND(ISNUMBER('Laboratorio_M '!N7),ISNUMBER('Courier_M.'!N9)),Laboratorio_M!N7," ")</f>
        <v>8.1000000000000003E-2</v>
      </c>
      <c r="BF5" s="334">
        <f>IF(AND(ISNUMBER('Laboratorio_M '!N7),ISNUMBER('Courier_M.'!N9)),'Courier_M.'!N9," ")</f>
        <v>0.43541663885116577</v>
      </c>
      <c r="BG5" s="334">
        <f t="shared" ref="BG5:BG34" si="22">IF(ISNUMBER(BE5-BF5),IF(BF5&lt;0.02,"",BE5-BF5)," ")</f>
        <v>-0.35441663885116576</v>
      </c>
      <c r="BH5" s="336">
        <f t="shared" ref="BH5:BH34" si="23">IF(ISNUMBER(ABS(BG5)/BE5*100),ABS(BG5)/BE5*100," ")</f>
        <v>437.5514059890935</v>
      </c>
      <c r="BI5" s="337">
        <f>IF(AND(ISNUMBER('Laboratorio_M '!P7),ISNUMBER('Courier_M.'!P9)),Laboratorio_M!P7," ")</f>
        <v>29.68</v>
      </c>
      <c r="BJ5" s="334">
        <f>IF(AND(ISNUMBER('Laboratorio_M '!P7),ISNUMBER('Courier_M '!P9)),'Courier_M '!P9," ")</f>
        <v>28.034366607666016</v>
      </c>
      <c r="BK5" s="334">
        <f t="shared" ref="BK5:BK34" si="24">IF(ISNUMBER(BI5-BJ5),IF(BJ5&lt;20,"",BI5-BJ5)," ")</f>
        <v>1.6456333923339841</v>
      </c>
      <c r="BL5" s="336">
        <f t="shared" ref="BL5:BL34" si="25">IF(ISNUMBER(ABS(BK5)/BI5*100),ABS(BK5)/BI5*100," ")</f>
        <v>5.5445869013948252</v>
      </c>
      <c r="BM5" s="334">
        <f>IF(AND(ISNUMBER('Laboratorio_M '!R7),ISNUMBER('Courier_M '!R9)),'Laboratorio_M '!R7," ")</f>
        <v>0.80700000000000005</v>
      </c>
      <c r="BN5" s="334">
        <f>IF(AND(ISNUMBER('Laboratorio_M '!R7),ISNUMBER('Courier_M '!R9)),'Courier_M '!R9," ")</f>
        <v>0.3722979724407196</v>
      </c>
      <c r="BO5" s="334">
        <f>IF(ISNUMBER(BM5-BN5),IF(BN5&lt;0.25,"",BM5-BN5)," ")</f>
        <v>0.43470202755928045</v>
      </c>
      <c r="BP5" s="336">
        <f t="shared" ref="BP5:BP34" si="26">IF(ISNUMBER(ABS(BO5)/BM5*100),ABS(BO5)/BM5*100," ")</f>
        <v>53.866422250220623</v>
      </c>
      <c r="BQ5" s="334">
        <f>IF(AND(ISNUMBER('Laboratorio_M '!T7),ISNUMBER('Courier_M '!T9)),'Laboratorio_M '!T7," ")</f>
        <v>56.274999999999999</v>
      </c>
      <c r="BR5" s="334">
        <f>IF(AND(ISNUMBER('Laboratorio_M '!T7),ISNUMBER('Courier_M '!T9)),'Courier_M '!T9," ")</f>
        <v>54.564903259277344</v>
      </c>
      <c r="BS5" s="334">
        <f>IF(ISNUMBER(BQ5-BR5),IF(BR5&lt;45,"",BQ5-BR5)," ")</f>
        <v>1.7100967407226548</v>
      </c>
      <c r="BT5" s="336">
        <f>IF(ISNUMBER(ABS(BS5)/BQ5*100),ABS(BS5)/BQ5*100," ")</f>
        <v>3.0388213962197335</v>
      </c>
      <c r="BU5" s="334">
        <f>IF(AND(ISNUMBER('Laboratorio_M '!V7),ISNUMBER('Courier_M '!V9)),'Laboratorio_M '!V7," ")</f>
        <v>1.075</v>
      </c>
      <c r="BV5" s="334">
        <f>IF(AND(ISNUMBER('Laboratorio_M '!V7),ISNUMBER('Courier_M '!V9)),'Courier_M '!V9," ")</f>
        <v>1.0222067832946777</v>
      </c>
      <c r="BW5" s="334">
        <f t="shared" ref="BW5:BW34" si="27">IF(ISNUMBER(BU5-BV5),IF(BV5&lt;0.4,"",BU5-BV5)," ")</f>
        <v>5.2793216705322221E-2</v>
      </c>
      <c r="BX5" s="336">
        <f t="shared" ref="BX5:BX34" si="28">IF(ISNUMBER(ABS(BW5)/BU5*100),ABS(BW5)/BU5*100," ")</f>
        <v>4.9109969028206715</v>
      </c>
    </row>
    <row r="6" spans="2:76" x14ac:dyDescent="0.2">
      <c r="C6" s="338" t="str">
        <f>IF(AND(ISNUMBER('Laboratorio_M '!E8),ISNUMBER('Courier_M '!E10)),'Laboratorio_M '!E8," ")</f>
        <v xml:space="preserve"> </v>
      </c>
      <c r="D6" s="334" t="str">
        <f>IF(AND(ISNUMBER('Laboratorio_M '!E8),ISNUMBER('Courier_M '!E10)),'Courier_M '!E10," ")</f>
        <v xml:space="preserve"> </v>
      </c>
      <c r="E6" s="334" t="str">
        <f t="shared" ref="E6:E35" si="29">IF(ISNUMBER(C6-D6),IF(D6&lt;17,"",C6-D6)," ")</f>
        <v xml:space="preserve"> </v>
      </c>
      <c r="F6" s="339" t="str">
        <f t="shared" si="0"/>
        <v xml:space="preserve"> </v>
      </c>
      <c r="G6" s="334">
        <f>IF(AND(ISNUMBER('Laboratorio_M '!G8),ISNUMBER('Courier_M '!G10)),'Laboratorio_M '!G8," ")</f>
        <v>4.1959999999999997</v>
      </c>
      <c r="H6" s="334">
        <f>IF(AND(ISNUMBER('Laboratorio_M '!G8),ISNUMBER('Courier_M '!G10)),'Courier_M '!G10," ")</f>
        <v>3.6074600219726563</v>
      </c>
      <c r="I6" s="334">
        <f t="shared" ref="I6:I34" si="30">IF(ISNUMBER(G6-H6),IF(H6&lt;0.2,"",G6-H6)," ")</f>
        <v>0.58853997802734348</v>
      </c>
      <c r="J6" s="339">
        <f t="shared" si="1"/>
        <v>14.026214919622104</v>
      </c>
      <c r="K6" s="334">
        <f>IF(AND(ISNUMBER('Laboratorio_M '!I8),ISNUMBER('Courier_M.'!I10)),Laboratorio_M!I8," ")</f>
        <v>24.32</v>
      </c>
      <c r="L6" s="334">
        <f>IF(AND(ISNUMBER('Laboratorio_M '!I8),ISNUMBER('Courier_M.'!I10)),'Courier_M.'!I10," ")</f>
        <v>26.366144180297852</v>
      </c>
      <c r="M6" s="334">
        <f t="shared" si="2"/>
        <v>-2.0461441802978513</v>
      </c>
      <c r="N6" s="339">
        <f t="shared" si="3"/>
        <v>8.4134217939878759</v>
      </c>
      <c r="O6" s="334">
        <f>IF(AND(AND(ISNUMBER('Laboratorio_M '!K8),ISNUMBER('Courier_M.'!K10)),AND('Laboratorio_M '!K8&gt;17,'Courier_M.'!K10&gt;17)),Laboratorio_M!K8," ")</f>
        <v>23.491</v>
      </c>
      <c r="P6" s="334">
        <f>IF(AND(AND(ISNUMBER('Laboratorio_M '!K8),ISNUMBER('Courier_M.'!K10)),AND(Laboratorio_M!K8&gt;17,'Courier_M.'!K10&gt;17)),'Courier_M.'!K10," ")</f>
        <v>25.253507614135742</v>
      </c>
      <c r="Q6" s="334">
        <f t="shared" si="4"/>
        <v>-1.7625076141357425</v>
      </c>
      <c r="R6" s="339">
        <f t="shared" si="5"/>
        <v>7.5029058538833713</v>
      </c>
      <c r="S6" s="334">
        <f>IF(AND(ISNUMBER(Laboratorio_M!M8),ISNUMBER('Courier_M.'!M10)),Laboratorio_M!M8," ")</f>
        <v>0.11799999999999999</v>
      </c>
      <c r="T6" s="334">
        <f>IF(AND(ISNUMBER('Laboratorio_M '!M8),ISNUMBER('Courier_M.'!M10)),'Courier_M.'!M10," ")</f>
        <v>0.20480257272720337</v>
      </c>
      <c r="U6" s="334">
        <f t="shared" si="6"/>
        <v>-8.6802572727203375E-2</v>
      </c>
      <c r="V6" s="339">
        <f t="shared" si="7"/>
        <v>73.561502311189315</v>
      </c>
      <c r="W6" s="334">
        <f>IF(AND(AND(ISNUMBER('Laboratorio_M '!O8),ISNUMBER('Courier_M.'!O10)),AND(Laboratorio_M!O8&gt;20,'Courier_M.'!O10&gt;20)),Laboratorio_M!O8," ")</f>
        <v>27.59</v>
      </c>
      <c r="X6" s="334">
        <f>IF(AND(AND(ISNUMBER('Laboratorio_M '!O8),ISNUMBER('Courier_M.'!O10)),AND(Laboratorio_M!O8&gt;20,'Courier_M.'!O10&gt;20)),'Courier_M.'!O10," ")</f>
        <v>28.988348007202148</v>
      </c>
      <c r="Y6" s="334">
        <f t="shared" si="8"/>
        <v>-1.3983480072021486</v>
      </c>
      <c r="Z6" s="339">
        <f t="shared" si="9"/>
        <v>5.0683146328457722</v>
      </c>
      <c r="AA6" s="334">
        <f>IF(AND(ISNUMBER('Laboratorio_M '!Q8),ISNUMBER('Courier_M '!Q10)),'Laboratorio_M '!Q8," ")</f>
        <v>1.028</v>
      </c>
      <c r="AB6" s="334">
        <f>IF(AND(ISNUMBER('Laboratorio_M '!Q8),ISNUMBER('Courier_M '!Q10)),'Courier_M '!Q10," ")</f>
        <v>0.73687160015106201</v>
      </c>
      <c r="AC6" s="334">
        <f t="shared" si="10"/>
        <v>0.29112839984893801</v>
      </c>
      <c r="AD6" s="339">
        <f t="shared" si="11"/>
        <v>28.319883253787744</v>
      </c>
      <c r="AE6" s="334">
        <f>IF(AND(ISNUMBER('Laboratorio_M '!S8),ISNUMBER('Courier_M '!S10)),'Laboratorio_M '!S8," ")</f>
        <v>56.585000000000001</v>
      </c>
      <c r="AF6" s="334">
        <f>IF(AND(ISNUMBER('Laboratorio_M '!S8),ISNUMBER('Courier_M '!S10)),'Courier_M '!S10," ")</f>
        <v>55.200344085693359</v>
      </c>
      <c r="AG6" s="334">
        <f t="shared" ref="AG6:AG35" si="31">IF(ISNUMBER(AE6-AF6),IF(AF6&lt;45,"",AE6-AF6)," ")</f>
        <v>1.3846559143066415</v>
      </c>
      <c r="AH6" s="339">
        <f t="shared" si="12"/>
        <v>2.4470370492297278</v>
      </c>
      <c r="AI6" s="334">
        <f>IF(AND(ISNUMBER('Laboratorio_M '!U8),ISNUMBER('Courier_M '!U10)),'Laboratorio_M '!U8," ")</f>
        <v>0.96599999999999997</v>
      </c>
      <c r="AJ6" s="334">
        <f>IF(AND(ISNUMBER('Laboratorio_M '!U8),ISNUMBER('Courier_M '!U10)),'Courier_M '!U10," ")</f>
        <v>1.2449944019317627</v>
      </c>
      <c r="AK6" s="334">
        <f t="shared" si="13"/>
        <v>-0.27899440193176273</v>
      </c>
      <c r="AL6" s="339">
        <f t="shared" si="14"/>
        <v>28.881408067470261</v>
      </c>
      <c r="AM6" s="334"/>
      <c r="AN6" s="334"/>
      <c r="AO6" s="338">
        <f>IF(AND(ISNUMBER('Laboratorio_M '!F8),ISNUMBER('Courier_M.'!F10)),Laboratorio_M!F8," ")</f>
        <v>21.707000000000001</v>
      </c>
      <c r="AP6" s="334">
        <f>IF(AND(ISNUMBER('Laboratorio_M '!F8),ISNUMBER('Courier_M.'!F10)),'Courier_M.'!F10," ")</f>
        <v>23.120279312133789</v>
      </c>
      <c r="AQ6" s="334">
        <f t="shared" si="15"/>
        <v>-1.4132793121337883</v>
      </c>
      <c r="AR6" s="339">
        <f t="shared" si="16"/>
        <v>6.5107076617394775</v>
      </c>
      <c r="AS6" s="334">
        <f>IF(AND(ISNUMBER('Laboratorio_M '!H8),ISNUMBER('Courier_M.'!H10)),Laboratorio_M!H8," ")</f>
        <v>1.746</v>
      </c>
      <c r="AT6" s="334">
        <f>IF(AND(ISNUMBER('Laboratorio_M '!H8),ISNUMBER('Courier_M.'!H10)),'Courier_M.'!H10," ")</f>
        <v>3.6074600219726563</v>
      </c>
      <c r="AU6" s="334">
        <f t="shared" ref="AU6:AU34" si="32">IF(ISNUMBER(AS6-AT6),IF(AT6&lt;0.2,"",AS6-AT6)," ")</f>
        <v>-1.8614600219726563</v>
      </c>
      <c r="AV6" s="339">
        <f t="shared" si="17"/>
        <v>106.61283058262636</v>
      </c>
      <c r="AW6" s="334">
        <f>IF(AND(ISNUMBER('Laboratorio_M '!J8),ISNUMBER('Courier_M.'!J10)),Laboratorio_M!J8," ")</f>
        <v>27.85</v>
      </c>
      <c r="AX6" s="334">
        <f>IF(AND(ISNUMBER('Laboratorio_M '!J8),ISNUMBER('Courier_M.'!J10)),'Courier_M.'!J10," ")</f>
        <v>26.366144180297852</v>
      </c>
      <c r="AY6" s="334">
        <f t="shared" si="18"/>
        <v>1.4838558197021499</v>
      </c>
      <c r="AZ6" s="339">
        <f t="shared" si="19"/>
        <v>5.3280280779251337</v>
      </c>
      <c r="BA6" s="334">
        <f>IF(AND(ISNUMBER('Laboratorio_M '!L8),ISNUMBER('Courier_M.'!L10)),Laboratorio_M!L8," ")</f>
        <v>21.212</v>
      </c>
      <c r="BB6" s="334">
        <f>IF(AND(ISNUMBER('Laboratorio_M '!L8),ISNUMBER('Courier_M '!L10)),'Courier_M '!L10," ")</f>
        <v>25.253507614135742</v>
      </c>
      <c r="BC6" s="334">
        <f t="shared" si="20"/>
        <v>-4.0415076141357424</v>
      </c>
      <c r="BD6" s="339">
        <f t="shared" si="21"/>
        <v>19.052930483385548</v>
      </c>
      <c r="BE6" s="334">
        <f>IF(AND(ISNUMBER('Laboratorio_M '!N8),ISNUMBER('Courier_M.'!N10)),Laboratorio_M!N8," ")</f>
        <v>8.8999999999999996E-2</v>
      </c>
      <c r="BF6" s="334">
        <f>IF(AND(ISNUMBER('Laboratorio_M '!N8),ISNUMBER('Courier_M.'!N10)),'Courier_M.'!N10," ")</f>
        <v>0.20480257272720337</v>
      </c>
      <c r="BG6" s="334">
        <f t="shared" si="22"/>
        <v>-0.11580257272720337</v>
      </c>
      <c r="BH6" s="339">
        <f t="shared" si="23"/>
        <v>130.11525025528471</v>
      </c>
      <c r="BI6" s="337">
        <f>IF(AND(ISNUMBER('Laboratorio_M '!P8),ISNUMBER('Courier_M.'!P10)),Laboratorio_M!P8," ")</f>
        <v>30.19</v>
      </c>
      <c r="BJ6" s="334">
        <f>IF(AND(ISNUMBER('Laboratorio_M '!P8),ISNUMBER('Courier_M '!P10)),'Courier_M '!P10," ")</f>
        <v>28.988348007202148</v>
      </c>
      <c r="BK6" s="334">
        <f t="shared" si="24"/>
        <v>1.2016519927978528</v>
      </c>
      <c r="BL6" s="339">
        <f t="shared" si="25"/>
        <v>3.9802980881015331</v>
      </c>
      <c r="BM6" s="334">
        <f>IF(AND(ISNUMBER('Laboratorio_M '!R8),ISNUMBER('Courier_M '!R10)),'Laboratorio_M '!R8," ")</f>
        <v>0.92100000000000004</v>
      </c>
      <c r="BN6" s="334">
        <f>IF(AND(ISNUMBER('Laboratorio_M '!R8),ISNUMBER('Courier_M '!R10)),'Courier_M '!R10," ")</f>
        <v>0.73687160015106201</v>
      </c>
      <c r="BO6" s="334">
        <f t="shared" ref="BO6:BO35" si="33">IF(ISNUMBER(BM6-BN6),IF(BN6&lt;0.25,"",BM6-BN6)," ")</f>
        <v>0.18412839984893803</v>
      </c>
      <c r="BP6" s="339">
        <f t="shared" si="26"/>
        <v>19.992225825074701</v>
      </c>
      <c r="BQ6" s="334">
        <f>IF(AND(ISNUMBER('Laboratorio_M '!T8),ISNUMBER('Courier_M '!T10)),'Laboratorio_M '!T8," ")</f>
        <v>56.829000000000001</v>
      </c>
      <c r="BR6" s="334">
        <f>IF(AND(ISNUMBER('Laboratorio_M '!T8),ISNUMBER('Courier_M '!T10)),'Courier_M '!T10," ")</f>
        <v>55.200344085693359</v>
      </c>
      <c r="BS6" s="334">
        <f t="shared" ref="BS6:BS35" si="34">IF(ISNUMBER(BQ6-BR6),IF(BR6&lt;45,"",BQ6-BR6)," ")</f>
        <v>1.6286559143066413</v>
      </c>
      <c r="BT6" s="339">
        <f t="shared" ref="BT6:BT35" si="35">IF(ISNUMBER(ABS(BS6)/BQ6*100),ABS(BS6)/BQ6*100," ")</f>
        <v>2.865888743962838</v>
      </c>
      <c r="BU6" s="334">
        <f>IF(AND(ISNUMBER('Laboratorio_M '!V8),ISNUMBER('Courier_M '!V10)),'Laboratorio_M '!V8," ")</f>
        <v>1.0249999999999999</v>
      </c>
      <c r="BV6" s="334">
        <f>IF(AND(ISNUMBER('Laboratorio_M '!V8),ISNUMBER('Courier_M '!V10)),'Courier_M '!V10," ")</f>
        <v>1.2449944019317627</v>
      </c>
      <c r="BW6" s="334">
        <f t="shared" si="27"/>
        <v>-0.21999440193176278</v>
      </c>
      <c r="BX6" s="339">
        <f t="shared" si="28"/>
        <v>21.462868481147591</v>
      </c>
    </row>
    <row r="7" spans="2:76" x14ac:dyDescent="0.2">
      <c r="C7" s="338">
        <f>IF(AND(ISNUMBER('Laboratorio_M '!E9),ISNUMBER('Courier_M '!E11)),'Laboratorio_M '!E9," ")</f>
        <v>23.045000000000002</v>
      </c>
      <c r="D7" s="334">
        <f>IF(AND(ISNUMBER('Laboratorio_M '!E9),ISNUMBER('Courier_M '!E11)),'Courier_M '!E11," ")</f>
        <v>23.490447998046875</v>
      </c>
      <c r="E7" s="334">
        <f t="shared" si="29"/>
        <v>-0.44544799804687329</v>
      </c>
      <c r="F7" s="339">
        <f t="shared" si="0"/>
        <v>1.9329485703921598</v>
      </c>
      <c r="G7" s="334">
        <f>IF(AND(ISNUMBER('Laboratorio_M '!G9),ISNUMBER('Courier_M '!G11)),'Laboratorio_M '!G9," ")</f>
        <v>3.2970000000000002</v>
      </c>
      <c r="H7" s="334">
        <f>IF(AND(ISNUMBER('Laboratorio_M '!G9),ISNUMBER('Courier_M '!G11)),'Courier_M '!G11," ")</f>
        <v>2.1859698295593262</v>
      </c>
      <c r="I7" s="334">
        <f t="shared" si="30"/>
        <v>1.111030170440674</v>
      </c>
      <c r="J7" s="339">
        <f t="shared" si="1"/>
        <v>33.698215663957356</v>
      </c>
      <c r="K7" s="334">
        <f>IF(AND(ISNUMBER('Laboratorio_M '!I9),ISNUMBER('Courier_M.'!I11)),Laboratorio_M!I9," ")</f>
        <v>27.29</v>
      </c>
      <c r="L7" s="334">
        <f>IF(AND(ISNUMBER('Laboratorio_M '!I9),ISNUMBER('Courier_M.'!I11)),'Courier_M.'!I11," ")</f>
        <v>27.079072952270508</v>
      </c>
      <c r="M7" s="334">
        <f t="shared" si="2"/>
        <v>0.21092704772949133</v>
      </c>
      <c r="N7" s="339">
        <f t="shared" si="3"/>
        <v>0.77290966555328455</v>
      </c>
      <c r="O7" s="334">
        <f>IF(AND(AND(ISNUMBER('Laboratorio_M '!K9),ISNUMBER('Courier_M.'!K11)),AND('Laboratorio_M '!K9&gt;17,'Courier_M.'!K11&gt;17)),Laboratorio_M!K9," ")</f>
        <v>23.145</v>
      </c>
      <c r="P7" s="334">
        <f>IF(AND(AND(ISNUMBER('Laboratorio_M '!K9),ISNUMBER('Courier_M.'!K11)),AND(Laboratorio_M!K9&gt;17,'Courier_M.'!K11&gt;17)),'Courier_M.'!K11," ")</f>
        <v>25.209236145019531</v>
      </c>
      <c r="Q7" s="334">
        <f t="shared" si="4"/>
        <v>-2.0642361450195317</v>
      </c>
      <c r="R7" s="339">
        <f t="shared" si="5"/>
        <v>8.9187130914648165</v>
      </c>
      <c r="S7" s="334">
        <f>IF(AND(ISNUMBER(Laboratorio_M!M9),ISNUMBER('Courier_M.'!M11)),Laboratorio_M!M9," ")</f>
        <v>8.3000000000000004E-2</v>
      </c>
      <c r="T7" s="334">
        <f>IF(AND(ISNUMBER('Laboratorio_M '!M9),ISNUMBER('Courier_M.'!M11)),'Courier_M.'!M11," ")</f>
        <v>0.14440962672233582</v>
      </c>
      <c r="U7" s="334">
        <f t="shared" si="6"/>
        <v>-6.1409626722335811E-2</v>
      </c>
      <c r="V7" s="339">
        <f t="shared" si="7"/>
        <v>73.987502075103379</v>
      </c>
      <c r="W7" s="334">
        <f>IF(AND(AND(ISNUMBER('Laboratorio_M '!O9),ISNUMBER('Courier_M.'!O11)),AND(Laboratorio_M!O9&gt;20,'Courier_M.'!O11&gt;20)),Laboratorio_M!O9," ")</f>
        <v>29.33</v>
      </c>
      <c r="X7" s="334">
        <f>IF(AND(AND(ISNUMBER('Laboratorio_M '!O9),ISNUMBER('Courier_M.'!O11)),AND(Laboratorio_M!O9&gt;20,'Courier_M.'!O11&gt;20)),'Courier_M.'!O11," ")</f>
        <v>29.779209136962891</v>
      </c>
      <c r="Y7" s="334">
        <f t="shared" si="8"/>
        <v>-0.44920913696289233</v>
      </c>
      <c r="Z7" s="339">
        <f t="shared" si="9"/>
        <v>1.53156882701293</v>
      </c>
      <c r="AA7" s="334">
        <f>IF(AND(ISNUMBER('Laboratorio_M '!Q9),ISNUMBER('Courier_M '!Q11)),'Laboratorio_M '!Q9," ")</f>
        <v>1.0660000000000001</v>
      </c>
      <c r="AB7" s="334">
        <f>IF(AND(ISNUMBER('Laboratorio_M '!Q9),ISNUMBER('Courier_M '!Q11)),'Courier_M '!Q11," ")</f>
        <v>0.75456440448760986</v>
      </c>
      <c r="AC7" s="334">
        <f t="shared" si="10"/>
        <v>0.3114355955123902</v>
      </c>
      <c r="AD7" s="339">
        <f t="shared" si="11"/>
        <v>29.215346670955928</v>
      </c>
      <c r="AE7" s="334">
        <f>IF(AND(ISNUMBER('Laboratorio_M '!S9),ISNUMBER('Courier_M '!S11)),'Laboratorio_M '!S9," ")</f>
        <v>56.305</v>
      </c>
      <c r="AF7" s="334">
        <f>IF(AND(ISNUMBER('Laboratorio_M '!S9),ISNUMBER('Courier_M '!S11)),'Courier_M '!S11," ")</f>
        <v>55.188297271728516</v>
      </c>
      <c r="AG7" s="334">
        <f t="shared" si="31"/>
        <v>1.1167027282714841</v>
      </c>
      <c r="AH7" s="339">
        <f t="shared" si="12"/>
        <v>1.9833100582035061</v>
      </c>
      <c r="AI7" s="334">
        <f>IF(AND(ISNUMBER('Laboratorio_M '!U9),ISNUMBER('Courier_M '!U11)),'Laboratorio_M '!U9," ")</f>
        <v>1.073</v>
      </c>
      <c r="AJ7" s="334">
        <f>IF(AND(ISNUMBER('Laboratorio_M '!U9),ISNUMBER('Courier_M '!U11)),'Courier_M '!U11," ")</f>
        <v>1.1859440803527832</v>
      </c>
      <c r="AK7" s="334">
        <f t="shared" si="13"/>
        <v>-0.11294408035278325</v>
      </c>
      <c r="AL7" s="339">
        <f t="shared" si="14"/>
        <v>10.526009352542708</v>
      </c>
      <c r="AM7" s="334"/>
      <c r="AN7" s="334"/>
      <c r="AO7" s="338">
        <f>IF(AND(ISNUMBER('Laboratorio_M '!F9),ISNUMBER('Courier_M.'!F11)),Laboratorio_M!F9," ")</f>
        <v>23.134</v>
      </c>
      <c r="AP7" s="334">
        <f>IF(AND(ISNUMBER('Laboratorio_M '!F9),ISNUMBER('Courier_M.'!F11)),'Courier_M.'!F11," ")</f>
        <v>23.319372177124023</v>
      </c>
      <c r="AQ7" s="334">
        <f t="shared" si="15"/>
        <v>-0.1853721771240231</v>
      </c>
      <c r="AR7" s="339">
        <f t="shared" si="16"/>
        <v>0.80129755824337801</v>
      </c>
      <c r="AS7" s="334">
        <f>IF(AND(ISNUMBER('Laboratorio_M '!H9),ISNUMBER('Courier_M.'!H11)),Laboratorio_M!H9," ")</f>
        <v>3.585</v>
      </c>
      <c r="AT7" s="334">
        <f>IF(AND(ISNUMBER('Laboratorio_M '!H9),ISNUMBER('Courier_M.'!H11)),'Courier_M.'!H11," ")</f>
        <v>2.4801154136657715</v>
      </c>
      <c r="AU7" s="334">
        <f t="shared" si="32"/>
        <v>1.1048845863342285</v>
      </c>
      <c r="AV7" s="339">
        <f t="shared" si="17"/>
        <v>30.819653733172341</v>
      </c>
      <c r="AW7" s="334">
        <f>IF(AND(ISNUMBER('Laboratorio_M '!J9),ISNUMBER('Courier_M.'!J11)),Laboratorio_M!J9," ")</f>
        <v>27.32</v>
      </c>
      <c r="AX7" s="334">
        <f>IF(AND(ISNUMBER('Laboratorio_M '!J9),ISNUMBER('Courier_M.'!J11)),'Courier_M.'!J11," ")</f>
        <v>27.109212875366211</v>
      </c>
      <c r="AY7" s="334">
        <f t="shared" si="18"/>
        <v>0.21078712463378935</v>
      </c>
      <c r="AZ7" s="339">
        <f t="shared" si="19"/>
        <v>0.77154877245164477</v>
      </c>
      <c r="BA7" s="334">
        <f>IF(AND(ISNUMBER('Laboratorio_M '!L9),ISNUMBER('Courier_M.'!L11)),Laboratorio_M!L9," ")</f>
        <v>22.411999999999999</v>
      </c>
      <c r="BB7" s="334">
        <f>IF(AND(ISNUMBER('Laboratorio_M '!L9),ISNUMBER('Courier_M '!L11)),'Courier_M '!L11," ")</f>
        <v>25.286367416381836</v>
      </c>
      <c r="BC7" s="334">
        <f t="shared" si="20"/>
        <v>-2.8743674163818369</v>
      </c>
      <c r="BD7" s="339">
        <f t="shared" si="21"/>
        <v>12.825126790923777</v>
      </c>
      <c r="BE7" s="334">
        <f>IF(AND(ISNUMBER('Laboratorio_M '!N9),ISNUMBER('Courier_M.'!N11)),Laboratorio_M!N9," ")</f>
        <v>6.6000000000000003E-2</v>
      </c>
      <c r="BF7" s="334">
        <f>IF(AND(ISNUMBER('Laboratorio_M '!N9),ISNUMBER('Courier_M.'!N11)),'Courier_M.'!N11," ")</f>
        <v>0.10134220868349075</v>
      </c>
      <c r="BG7" s="334">
        <f t="shared" si="22"/>
        <v>-3.534220868349075E-2</v>
      </c>
      <c r="BH7" s="339">
        <f t="shared" si="23"/>
        <v>53.548801035592042</v>
      </c>
      <c r="BI7" s="337">
        <f>IF(AND(ISNUMBER('Laboratorio_M '!P9),ISNUMBER('Courier_M.'!P11)),Laboratorio_M!P9," ")</f>
        <v>28.11</v>
      </c>
      <c r="BJ7" s="334">
        <f>IF(AND(ISNUMBER('Laboratorio_M '!P9),ISNUMBER('Courier_M '!P11)),'Courier_M '!P11," ")</f>
        <v>29.626953125</v>
      </c>
      <c r="BK7" s="334">
        <f t="shared" si="24"/>
        <v>-1.5169531250000006</v>
      </c>
      <c r="BL7" s="339">
        <f t="shared" si="25"/>
        <v>5.3964892387050893</v>
      </c>
      <c r="BM7" s="334">
        <f>IF(AND(ISNUMBER('Laboratorio_M '!R9),ISNUMBER('Courier_M '!R11)),'Laboratorio_M '!R9," ")</f>
        <v>0.73399999999999999</v>
      </c>
      <c r="BN7" s="334">
        <f>IF(AND(ISNUMBER('Laboratorio_M '!R9),ISNUMBER('Courier_M '!R11)),'Courier_M '!R11," ")</f>
        <v>0.80398333072662354</v>
      </c>
      <c r="BO7" s="334">
        <f t="shared" si="33"/>
        <v>-6.9983330726623549E-2</v>
      </c>
      <c r="BP7" s="339">
        <f t="shared" si="26"/>
        <v>9.5345137229732355</v>
      </c>
      <c r="BQ7" s="334">
        <f>IF(AND(ISNUMBER('Laboratorio_M '!T9),ISNUMBER('Courier_M '!T11)),'Laboratorio_M '!T9," ")</f>
        <v>55.981000000000002</v>
      </c>
      <c r="BR7" s="334">
        <f>IF(AND(ISNUMBER('Laboratorio_M '!T9),ISNUMBER('Courier_M '!T11)),'Courier_M '!T11," ")</f>
        <v>55.157562255859375</v>
      </c>
      <c r="BS7" s="334">
        <f t="shared" si="34"/>
        <v>0.82343774414062665</v>
      </c>
      <c r="BT7" s="339">
        <f t="shared" si="35"/>
        <v>1.4709236064747444</v>
      </c>
      <c r="BU7" s="334">
        <f>IF(AND(ISNUMBER('Laboratorio_M '!V9),ISNUMBER('Courier_M '!V11)),'Laboratorio_M '!V9," ")</f>
        <v>1.206</v>
      </c>
      <c r="BV7" s="334">
        <f>IF(AND(ISNUMBER('Laboratorio_M '!V9),ISNUMBER('Courier_M '!V11)),'Courier_M '!V11," ")</f>
        <v>1.0723105669021606</v>
      </c>
      <c r="BW7" s="334">
        <f t="shared" si="27"/>
        <v>0.13368943309783932</v>
      </c>
      <c r="BX7" s="339">
        <f t="shared" si="28"/>
        <v>11.085359295011553</v>
      </c>
    </row>
    <row r="8" spans="2:76" x14ac:dyDescent="0.2">
      <c r="C8" s="338">
        <f>IF(AND(ISNUMBER('Laboratorio_M '!E10),ISNUMBER('Courier_M '!E12)),'Laboratorio_M '!E10," ")</f>
        <v>20.696000000000002</v>
      </c>
      <c r="D8" s="334">
        <f>IF(AND(ISNUMBER('Laboratorio_M '!E10),ISNUMBER('Courier_M '!E12)),'Courier_M '!E12," ")</f>
        <v>21.243520736694336</v>
      </c>
      <c r="E8" s="334">
        <f t="shared" si="29"/>
        <v>-0.54752073669433443</v>
      </c>
      <c r="F8" s="339">
        <f t="shared" si="0"/>
        <v>2.6455389287511326</v>
      </c>
      <c r="G8" s="334">
        <f>IF(AND(ISNUMBER('Laboratorio_M '!G10),ISNUMBER('Courier_M '!G12)),'Laboratorio_M '!G10," ")</f>
        <v>2.0670000000000002</v>
      </c>
      <c r="H8" s="334">
        <f>IF(AND(ISNUMBER('Laboratorio_M '!G10),ISNUMBER('Courier_M '!G12)),'Courier_M '!G12," ")</f>
        <v>1.1837607622146606</v>
      </c>
      <c r="I8" s="334">
        <f t="shared" si="30"/>
        <v>0.88323923778533953</v>
      </c>
      <c r="J8" s="339">
        <f t="shared" si="1"/>
        <v>42.730490458894025</v>
      </c>
      <c r="K8" s="334">
        <f>IF(AND(ISNUMBER('Laboratorio_M '!I10),ISNUMBER('Courier_M.'!I12)),Laboratorio_M!I10," ")</f>
        <v>27.38</v>
      </c>
      <c r="L8" s="334">
        <f>IF(AND(ISNUMBER('Laboratorio_M '!I10),ISNUMBER('Courier_M.'!I12)),'Courier_M.'!I12," ")</f>
        <v>26.980056762695313</v>
      </c>
      <c r="M8" s="334">
        <f t="shared" si="2"/>
        <v>0.39994323730468651</v>
      </c>
      <c r="N8" s="339">
        <f t="shared" si="3"/>
        <v>1.4607130653933036</v>
      </c>
      <c r="O8" s="334">
        <f>IF(AND(AND(ISNUMBER('Laboratorio_M '!K10),ISNUMBER('Courier_M.'!K12)),AND('Laboratorio_M '!K10&gt;17,'Courier_M.'!K12&gt;17)),Laboratorio_M!K10," ")</f>
        <v>23.283000000000001</v>
      </c>
      <c r="P8" s="334">
        <f>IF(AND(AND(ISNUMBER('Laboratorio_M '!K10),ISNUMBER('Courier_M.'!K12)),AND(Laboratorio_M!K10&gt;17,'Courier_M.'!K12&gt;17)),'Courier_M.'!K12," ")</f>
        <v>24.104804992675781</v>
      </c>
      <c r="Q8" s="334">
        <f t="shared" si="4"/>
        <v>-0.82180499267578</v>
      </c>
      <c r="R8" s="339">
        <f t="shared" si="5"/>
        <v>3.5296353248111498</v>
      </c>
      <c r="S8" s="334">
        <f>IF(AND(ISNUMBER(Laboratorio_M!M10),ISNUMBER('Courier_M.'!M12)),Laboratorio_M!M10," ")</f>
        <v>0.11</v>
      </c>
      <c r="T8" s="334">
        <f>IF(AND(ISNUMBER('Laboratorio_M '!M10),ISNUMBER('Courier_M.'!M12)),'Courier_M.'!M12," ")</f>
        <v>0.10239333659410477</v>
      </c>
      <c r="U8" s="334">
        <f t="shared" si="6"/>
        <v>7.6066634058952337E-3</v>
      </c>
      <c r="V8" s="339">
        <f t="shared" si="7"/>
        <v>6.915148550813849</v>
      </c>
      <c r="W8" s="334">
        <f>IF(AND(AND(ISNUMBER('Laboratorio_M '!O10),ISNUMBER('Courier_M.'!O12)),AND(Laboratorio_M!O10&gt;20,'Courier_M.'!O12&gt;20)),Laboratorio_M!O10," ")</f>
        <v>28.11</v>
      </c>
      <c r="X8" s="334">
        <f>IF(AND(AND(ISNUMBER('Laboratorio_M '!O10),ISNUMBER('Courier_M.'!O12)),AND(Laboratorio_M!O10&gt;20,'Courier_M.'!O12&gt;20)),'Courier_M.'!O12," ")</f>
        <v>29.65827751159668</v>
      </c>
      <c r="Y8" s="334">
        <f t="shared" si="8"/>
        <v>-1.5482775115966803</v>
      </c>
      <c r="Z8" s="339">
        <f t="shared" si="9"/>
        <v>5.5079242675086455</v>
      </c>
      <c r="AA8" s="334">
        <f>IF(AND(ISNUMBER('Laboratorio_M '!Q10),ISNUMBER('Courier_M '!Q12)),'Laboratorio_M '!Q10," ")</f>
        <v>0.94599999999999995</v>
      </c>
      <c r="AB8" s="334">
        <f>IF(AND(ISNUMBER('Laboratorio_M '!Q10),ISNUMBER('Courier_M '!Q12)),'Courier_M '!Q12," ")</f>
        <v>0.85311043262481689</v>
      </c>
      <c r="AC8" s="334">
        <f t="shared" si="10"/>
        <v>9.2889567375183058E-2</v>
      </c>
      <c r="AD8" s="339">
        <f t="shared" si="11"/>
        <v>9.8191931686240022</v>
      </c>
      <c r="AE8" s="334">
        <f>IF(AND(ISNUMBER('Laboratorio_M '!S10),ISNUMBER('Courier_M '!S12)),'Laboratorio_M '!S10," ")</f>
        <v>56.015999999999998</v>
      </c>
      <c r="AF8" s="334">
        <f>IF(AND(ISNUMBER('Laboratorio_M '!S10),ISNUMBER('Courier_M '!S12)),'Courier_M '!S12," ")</f>
        <v>54.821533203125</v>
      </c>
      <c r="AG8" s="334">
        <f t="shared" si="31"/>
        <v>1.1944667968749982</v>
      </c>
      <c r="AH8" s="339">
        <f t="shared" si="12"/>
        <v>2.1323671752267179</v>
      </c>
      <c r="AI8" s="334">
        <f>IF(AND(ISNUMBER('Laboratorio_M '!U10),ISNUMBER('Courier_M '!U12)),'Laboratorio_M '!U10," ")</f>
        <v>1.107</v>
      </c>
      <c r="AJ8" s="334">
        <f>IF(AND(ISNUMBER('Laboratorio_M '!U10),ISNUMBER('Courier_M '!U12)),'Courier_M '!U12," ")</f>
        <v>1.2263364791870117</v>
      </c>
      <c r="AK8" s="334">
        <f t="shared" si="13"/>
        <v>-0.11933647918701173</v>
      </c>
      <c r="AL8" s="339">
        <f t="shared" si="14"/>
        <v>10.780169754924277</v>
      </c>
      <c r="AM8" s="334"/>
      <c r="AN8" s="334"/>
      <c r="AO8" s="338">
        <f>IF(AND(ISNUMBER('Laboratorio_M '!F10),ISNUMBER('Courier_M.'!F12)),Laboratorio_M!F10," ")</f>
        <v>24.681000000000001</v>
      </c>
      <c r="AP8" s="334">
        <f>IF(AND(ISNUMBER('Laboratorio_M '!F10),ISNUMBER('Courier_M.'!F12)),'Courier_M.'!F12," ")</f>
        <v>22.771310806274414</v>
      </c>
      <c r="AQ8" s="334">
        <f t="shared" si="15"/>
        <v>1.9096891937255869</v>
      </c>
      <c r="AR8" s="339">
        <f t="shared" si="16"/>
        <v>7.7374871104314531</v>
      </c>
      <c r="AS8" s="334">
        <f>IF(AND(ISNUMBER('Laboratorio_M '!H10),ISNUMBER('Courier_M.'!H12)),Laboratorio_M!H10," ")</f>
        <v>2.3029999999999999</v>
      </c>
      <c r="AT8" s="334">
        <f>IF(AND(ISNUMBER('Laboratorio_M '!H10),ISNUMBER('Courier_M.'!H12)),'Courier_M.'!H12," ")</f>
        <v>1.6933015584945679</v>
      </c>
      <c r="AU8" s="334">
        <f t="shared" si="32"/>
        <v>0.60969844150543206</v>
      </c>
      <c r="AV8" s="339">
        <f t="shared" si="17"/>
        <v>26.474096461373513</v>
      </c>
      <c r="AW8" s="334">
        <f>IF(AND(ISNUMBER('Laboratorio_M '!J10),ISNUMBER('Courier_M.'!J12)),Laboratorio_M!J10," ")</f>
        <v>28.45</v>
      </c>
      <c r="AX8" s="334">
        <f>IF(AND(ISNUMBER('Laboratorio_M '!J10),ISNUMBER('Courier_M.'!J12)),'Courier_M.'!J12," ")</f>
        <v>27.111610412597656</v>
      </c>
      <c r="AY8" s="334">
        <f t="shared" si="18"/>
        <v>1.338389587402343</v>
      </c>
      <c r="AZ8" s="339">
        <f t="shared" si="19"/>
        <v>4.7043570734704501</v>
      </c>
      <c r="BA8" s="334">
        <f>IF(AND(ISNUMBER('Laboratorio_M '!L10),ISNUMBER('Courier_M.'!L12)),Laboratorio_M!L10," ")</f>
        <v>20.567</v>
      </c>
      <c r="BB8" s="334">
        <f>IF(AND(ISNUMBER('Laboratorio_M '!L10),ISNUMBER('Courier_M '!L12)),'Courier_M '!L12," ")</f>
        <v>23.548566818237305</v>
      </c>
      <c r="BC8" s="334">
        <f t="shared" si="20"/>
        <v>-2.9815668182373045</v>
      </c>
      <c r="BD8" s="339">
        <f t="shared" si="21"/>
        <v>14.496848437970069</v>
      </c>
      <c r="BE8" s="334">
        <f>IF(AND(ISNUMBER('Laboratorio_M '!N10),ISNUMBER('Courier_M.'!N12)),Laboratorio_M!N10," ")</f>
        <v>0.04</v>
      </c>
      <c r="BF8" s="334">
        <f>IF(AND(ISNUMBER('Laboratorio_M '!N10),ISNUMBER('Courier_M.'!N12)),'Courier_M.'!N12," ")</f>
        <v>8.8767431676387787E-2</v>
      </c>
      <c r="BG8" s="334">
        <f t="shared" si="22"/>
        <v>-4.8767431676387786E-2</v>
      </c>
      <c r="BH8" s="339">
        <f t="shared" si="23"/>
        <v>121.91857919096947</v>
      </c>
      <c r="BI8" s="337">
        <f>IF(AND(ISNUMBER('Laboratorio_M '!P10),ISNUMBER('Courier_M.'!P12)),Laboratorio_M!P10," ")</f>
        <v>28.27</v>
      </c>
      <c r="BJ8" s="334">
        <f>IF(AND(ISNUMBER('Laboratorio_M '!P10),ISNUMBER('Courier_M '!P12)),'Courier_M '!P12," ")</f>
        <v>29.206361770629883</v>
      </c>
      <c r="BK8" s="334">
        <f t="shared" si="24"/>
        <v>-0.93636177062988324</v>
      </c>
      <c r="BL8" s="339">
        <f t="shared" si="25"/>
        <v>3.3122100128400542</v>
      </c>
      <c r="BM8" s="334">
        <f>IF(AND(ISNUMBER('Laboratorio_M '!R10),ISNUMBER('Courier_M '!R12)),'Laboratorio_M '!R10," ")</f>
        <v>1.1970000000000001</v>
      </c>
      <c r="BN8" s="334">
        <f>IF(AND(ISNUMBER('Laboratorio_M '!R10),ISNUMBER('Courier_M '!R12)),'Courier_M '!R12," ")</f>
        <v>0.87987202405929565</v>
      </c>
      <c r="BO8" s="334">
        <f t="shared" si="33"/>
        <v>0.31712797594070441</v>
      </c>
      <c r="BP8" s="339">
        <f t="shared" si="26"/>
        <v>26.493565241495769</v>
      </c>
      <c r="BQ8" s="334">
        <f>IF(AND(ISNUMBER('Laboratorio_M '!T10),ISNUMBER('Courier_M '!T12)),'Laboratorio_M '!T10," ")</f>
        <v>55.908000000000001</v>
      </c>
      <c r="BR8" s="334">
        <f>IF(AND(ISNUMBER('Laboratorio_M '!T10),ISNUMBER('Courier_M '!T12)),'Courier_M '!T12," ")</f>
        <v>55.142543792724609</v>
      </c>
      <c r="BS8" s="334">
        <f t="shared" si="34"/>
        <v>0.76545620727539188</v>
      </c>
      <c r="BT8" s="339">
        <f t="shared" si="35"/>
        <v>1.3691353782560489</v>
      </c>
      <c r="BU8" s="334">
        <f>IF(AND(ISNUMBER('Laboratorio_M '!V10),ISNUMBER('Courier_M '!V12)),'Laboratorio_M '!V10," ")</f>
        <v>1.4350000000000001</v>
      </c>
      <c r="BV8" s="334">
        <f>IF(AND(ISNUMBER('Laboratorio_M '!V10),ISNUMBER('Courier_M '!V12)),'Courier_M '!V12," ")</f>
        <v>1.3764969110488892</v>
      </c>
      <c r="BW8" s="334">
        <f t="shared" si="27"/>
        <v>5.8503088951110893E-2</v>
      </c>
      <c r="BX8" s="339">
        <f t="shared" si="28"/>
        <v>4.0768703101819437</v>
      </c>
    </row>
    <row r="9" spans="2:76" x14ac:dyDescent="0.2">
      <c r="C9" s="338" t="str">
        <f>IF(AND(ISNUMBER('Laboratorio_M '!E11),ISNUMBER('Courier_M '!E13)),'Laboratorio_M '!E11," ")</f>
        <v xml:space="preserve"> </v>
      </c>
      <c r="D9" s="334" t="str">
        <f>IF(AND(ISNUMBER('Laboratorio_M '!E11),ISNUMBER('Courier_M '!E13)),'Courier_M '!E13," ")</f>
        <v xml:space="preserve"> </v>
      </c>
      <c r="E9" s="334" t="str">
        <f t="shared" si="29"/>
        <v xml:space="preserve"> </v>
      </c>
      <c r="F9" s="339" t="str">
        <f t="shared" si="0"/>
        <v xml:space="preserve"> </v>
      </c>
      <c r="G9" s="334">
        <f>IF(AND(ISNUMBER('Laboratorio_M '!G11),ISNUMBER('Courier_M '!G13)),'Laboratorio_M '!G11," ")</f>
        <v>2.5670000000000002</v>
      </c>
      <c r="H9" s="334">
        <f>IF(AND(ISNUMBER('Laboratorio_M '!G11),ISNUMBER('Courier_M '!G13)),'Courier_M '!G13," ")</f>
        <v>2.1402573585510254</v>
      </c>
      <c r="I9" s="334">
        <f t="shared" si="30"/>
        <v>0.42674264144897478</v>
      </c>
      <c r="J9" s="339">
        <f t="shared" si="1"/>
        <v>16.624177695713861</v>
      </c>
      <c r="K9" s="334">
        <f>IF(AND(ISNUMBER('Laboratorio_M '!I11),ISNUMBER('Courier_M.'!I13)),Laboratorio_M!I11," ")</f>
        <v>27.76</v>
      </c>
      <c r="L9" s="334">
        <f>IF(AND(ISNUMBER('Laboratorio_M '!I11),ISNUMBER('Courier_M.'!I13)),'Courier_M.'!I13," ")</f>
        <v>26.868280410766602</v>
      </c>
      <c r="M9" s="334">
        <f t="shared" si="2"/>
        <v>0.8917195892334</v>
      </c>
      <c r="N9" s="339">
        <f t="shared" si="3"/>
        <v>3.2122463589099417</v>
      </c>
      <c r="O9" s="334">
        <f>IF(AND(AND(ISNUMBER('Laboratorio_M '!K11),ISNUMBER('Courier_M.'!K13)),AND('Laboratorio_M '!K11&gt;17,'Courier_M.'!K13&gt;17)),Laboratorio_M!K11," ")</f>
        <v>21.212</v>
      </c>
      <c r="P9" s="334">
        <f>IF(AND(AND(ISNUMBER('Laboratorio_M '!K11),ISNUMBER('Courier_M.'!K13)),AND(Laboratorio_M!K11&gt;17,'Courier_M.'!K13&gt;17)),'Courier_M.'!K13," ")</f>
        <v>21.278430938720703</v>
      </c>
      <c r="Q9" s="334">
        <f t="shared" si="4"/>
        <v>-6.6430938720703381E-2</v>
      </c>
      <c r="R9" s="339">
        <f t="shared" si="5"/>
        <v>0.31317621497597298</v>
      </c>
      <c r="S9" s="334">
        <f>IF(AND(ISNUMBER(Laboratorio_M!M11),ISNUMBER('Courier_M.'!M13)),Laboratorio_M!M11," ")</f>
        <v>3.2000000000000001E-2</v>
      </c>
      <c r="T9" s="334">
        <f>IF(AND(ISNUMBER('Laboratorio_M '!M11),ISNUMBER('Courier_M.'!M13)),'Courier_M.'!M13," ")</f>
        <v>9.7924016416072845E-2</v>
      </c>
      <c r="U9" s="334">
        <f t="shared" si="6"/>
        <v>-6.5924016416072845E-2</v>
      </c>
      <c r="V9" s="339">
        <f t="shared" si="7"/>
        <v>206.01255130022764</v>
      </c>
      <c r="W9" s="334">
        <f>IF(AND(AND(ISNUMBER('Laboratorio_M '!O11),ISNUMBER('Courier_M.'!O13)),AND(Laboratorio_M!O11&gt;20,'Courier_M.'!O13&gt;20)),Laboratorio_M!O11," ")</f>
        <v>30.01</v>
      </c>
      <c r="X9" s="334">
        <f>IF(AND(AND(ISNUMBER('Laboratorio_M '!O11),ISNUMBER('Courier_M.'!O13)),AND(Laboratorio_M!O11&gt;20,'Courier_M.'!O13&gt;20)),'Courier_M.'!O13," ")</f>
        <v>29.11121940612793</v>
      </c>
      <c r="Y9" s="334">
        <f t="shared" si="8"/>
        <v>0.89878059387207188</v>
      </c>
      <c r="Z9" s="339">
        <f t="shared" si="9"/>
        <v>2.9949370005733815</v>
      </c>
      <c r="AA9" s="334">
        <f>IF(AND(ISNUMBER('Laboratorio_M '!Q11),ISNUMBER('Courier_M '!Q13)),'Laboratorio_M '!Q11," ")</f>
        <v>0.84099999999999997</v>
      </c>
      <c r="AB9" s="334">
        <f>IF(AND(ISNUMBER('Laboratorio_M '!Q11),ISNUMBER('Courier_M '!Q13)),'Courier_M '!Q13," ")</f>
        <v>0.72932702302932739</v>
      </c>
      <c r="AC9" s="334">
        <f t="shared" si="10"/>
        <v>0.11167297697067258</v>
      </c>
      <c r="AD9" s="339">
        <f t="shared" si="11"/>
        <v>13.278594170115646</v>
      </c>
      <c r="AE9" s="334">
        <f>IF(AND(ISNUMBER('Laboratorio_M '!S11),ISNUMBER('Courier_M '!S13)),'Laboratorio_M '!S11," ")</f>
        <v>55.356999999999999</v>
      </c>
      <c r="AF9" s="334">
        <f>IF(AND(ISNUMBER('Laboratorio_M '!S11),ISNUMBER('Courier_M '!S13)),'Courier_M '!S13," ")</f>
        <v>55.340721130371094</v>
      </c>
      <c r="AG9" s="334">
        <f t="shared" si="31"/>
        <v>1.6278869628905568E-2</v>
      </c>
      <c r="AH9" s="339">
        <f t="shared" si="12"/>
        <v>2.9407066186580864E-2</v>
      </c>
      <c r="AI9" s="334">
        <f>IF(AND(ISNUMBER('Laboratorio_M '!U11),ISNUMBER('Courier_M '!U13)),'Laboratorio_M '!U11," ")</f>
        <v>1.1439999999999999</v>
      </c>
      <c r="AJ9" s="334">
        <f>IF(AND(ISNUMBER('Laboratorio_M '!U11),ISNUMBER('Courier_M '!U13)),'Courier_M '!U13," ")</f>
        <v>1.0783861875534058</v>
      </c>
      <c r="AK9" s="334">
        <f t="shared" si="13"/>
        <v>6.5613812446594144E-2</v>
      </c>
      <c r="AL9" s="339">
        <f t="shared" si="14"/>
        <v>5.7354731159610273</v>
      </c>
      <c r="AM9" s="334"/>
      <c r="AN9" s="334"/>
      <c r="AO9" s="338">
        <f>IF(AND(ISNUMBER('Laboratorio_M '!F11),ISNUMBER('Courier_M.'!F13)),Laboratorio_M!F11," ")</f>
        <v>24.085999999999999</v>
      </c>
      <c r="AP9" s="334">
        <f>IF(AND(ISNUMBER('Laboratorio_M '!F11),ISNUMBER('Courier_M.'!F13)),'Courier_M.'!F13," ")</f>
        <v>23.512538909912109</v>
      </c>
      <c r="AQ9" s="334">
        <f t="shared" si="15"/>
        <v>0.57346109008788915</v>
      </c>
      <c r="AR9" s="339">
        <f t="shared" si="16"/>
        <v>2.380889687319975</v>
      </c>
      <c r="AS9" s="334">
        <f>IF(AND(ISNUMBER('Laboratorio_M '!H11),ISNUMBER('Courier_M.'!H13)),Laboratorio_M!H11," ")</f>
        <v>1.821</v>
      </c>
      <c r="AT9" s="334">
        <f>IF(AND(ISNUMBER('Laboratorio_M '!H11),ISNUMBER('Courier_M.'!H13)),'Courier_M.'!H13," ")</f>
        <v>1.935106635093689</v>
      </c>
      <c r="AU9" s="334">
        <f t="shared" si="32"/>
        <v>-0.11410663509368901</v>
      </c>
      <c r="AV9" s="339">
        <f t="shared" si="17"/>
        <v>6.2661523939422858</v>
      </c>
      <c r="AW9" s="334">
        <f>IF(AND(ISNUMBER('Laboratorio_M '!J11),ISNUMBER('Courier_M.'!J13)),Laboratorio_M!J11," ")</f>
        <v>28.67</v>
      </c>
      <c r="AX9" s="334">
        <f>IF(AND(ISNUMBER('Laboratorio_M '!J11),ISNUMBER('Courier_M.'!J13)),'Courier_M.'!J13," ")</f>
        <v>28.150907516479492</v>
      </c>
      <c r="AY9" s="334">
        <f t="shared" si="18"/>
        <v>0.51909248352050952</v>
      </c>
      <c r="AZ9" s="339">
        <f t="shared" si="19"/>
        <v>1.8105772009784076</v>
      </c>
      <c r="BA9" s="334">
        <f>IF(AND(ISNUMBER('Laboratorio_M '!L11),ISNUMBER('Courier_M.'!L13)),Laboratorio_M!L11," ")</f>
        <v>25.276</v>
      </c>
      <c r="BB9" s="334">
        <f>IF(AND(ISNUMBER('Laboratorio_M '!L11),ISNUMBER('Courier_M '!L13)),'Courier_M '!L13," ")</f>
        <v>24.443809509277344</v>
      </c>
      <c r="BC9" s="334">
        <f t="shared" si="20"/>
        <v>0.83219049072265605</v>
      </c>
      <c r="BD9" s="339">
        <f t="shared" si="21"/>
        <v>3.2924137154718154</v>
      </c>
      <c r="BE9" s="334">
        <f>IF(AND(ISNUMBER('Laboratorio_M '!N11),ISNUMBER('Courier_M.'!N13)),Laboratorio_M!N11," ")</f>
        <v>5.2999999999999999E-2</v>
      </c>
      <c r="BF9" s="334">
        <f>IF(AND(ISNUMBER('Laboratorio_M '!N11),ISNUMBER('Courier_M.'!N13)),'Courier_M.'!N13," ")</f>
        <v>6.4414113759994507E-2</v>
      </c>
      <c r="BG9" s="334">
        <f t="shared" si="22"/>
        <v>-1.1414113759994508E-2</v>
      </c>
      <c r="BH9" s="339">
        <f t="shared" si="23"/>
        <v>21.536063698102847</v>
      </c>
      <c r="BI9" s="337">
        <f>IF(AND(ISNUMBER('Laboratorio_M '!P11),ISNUMBER('Courier_M.'!P13)),Laboratorio_M!P11," ")</f>
        <v>29.66</v>
      </c>
      <c r="BJ9" s="334">
        <f>IF(AND(ISNUMBER('Laboratorio_M '!P11),ISNUMBER('Courier_M '!P13)),'Courier_M '!P13," ")</f>
        <v>28.646036148071289</v>
      </c>
      <c r="BK9" s="334">
        <f t="shared" si="24"/>
        <v>1.0139638519287111</v>
      </c>
      <c r="BL9" s="339">
        <f t="shared" si="25"/>
        <v>3.4186239107508802</v>
      </c>
      <c r="BM9" s="334">
        <f>IF(AND(ISNUMBER('Laboratorio_M '!R11),ISNUMBER('Courier_M '!R13)),'Laboratorio_M '!R11," ")</f>
        <v>0.51100000000000001</v>
      </c>
      <c r="BN9" s="334">
        <f>IF(AND(ISNUMBER('Laboratorio_M '!R11),ISNUMBER('Courier_M '!R13)),'Courier_M '!R13," ")</f>
        <v>0.8940466046333313</v>
      </c>
      <c r="BO9" s="334">
        <f t="shared" si="33"/>
        <v>-0.38304660463333129</v>
      </c>
      <c r="BP9" s="339">
        <f t="shared" si="26"/>
        <v>74.960196601434689</v>
      </c>
      <c r="BQ9" s="334">
        <f>IF(AND(ISNUMBER('Laboratorio_M '!T11),ISNUMBER('Courier_M '!T13)),'Laboratorio_M '!T11," ")</f>
        <v>57.058999999999997</v>
      </c>
      <c r="BR9" s="334">
        <f>IF(AND(ISNUMBER('Laboratorio_M '!T11),ISNUMBER('Courier_M '!T13)),'Courier_M '!T13," ")</f>
        <v>56.507232666015625</v>
      </c>
      <c r="BS9" s="334">
        <f t="shared" si="34"/>
        <v>0.5517673339843725</v>
      </c>
      <c r="BT9" s="339">
        <f t="shared" si="35"/>
        <v>0.96701192447181428</v>
      </c>
      <c r="BU9" s="334">
        <f>IF(AND(ISNUMBER('Laboratorio_M '!V11),ISNUMBER('Courier_M '!V13)),'Laboratorio_M '!V11," ")</f>
        <v>0.64800000000000002</v>
      </c>
      <c r="BV9" s="334">
        <f>IF(AND(ISNUMBER('Laboratorio_M '!V11),ISNUMBER('Courier_M '!V13)),'Courier_M '!V13," ")</f>
        <v>0.90941131114959717</v>
      </c>
      <c r="BW9" s="334">
        <f t="shared" si="27"/>
        <v>-0.26141131114959715</v>
      </c>
      <c r="BX9" s="339">
        <f t="shared" si="28"/>
        <v>40.341251720616846</v>
      </c>
    </row>
    <row r="10" spans="2:76" x14ac:dyDescent="0.2">
      <c r="C10" s="338" t="str">
        <f>IF(AND(ISNUMBER('Laboratorio_M '!E12),ISNUMBER('Courier_M '!E14)),'Laboratorio_M '!E12," ")</f>
        <v xml:space="preserve"> </v>
      </c>
      <c r="D10" s="334" t="str">
        <f>IF(AND(ISNUMBER('Laboratorio_M '!E12),ISNUMBER('Courier_M '!E14)),'Courier_M '!E14," ")</f>
        <v xml:space="preserve"> </v>
      </c>
      <c r="E10" s="334" t="str">
        <f t="shared" si="29"/>
        <v xml:space="preserve"> </v>
      </c>
      <c r="F10" s="339" t="str">
        <f t="shared" si="0"/>
        <v xml:space="preserve"> </v>
      </c>
      <c r="G10" s="334">
        <f>IF(AND(ISNUMBER('Laboratorio_M '!G12),ISNUMBER('Courier_M '!G14)),'Laboratorio_M '!G12," ")</f>
        <v>0.96499999999999997</v>
      </c>
      <c r="H10" s="334">
        <f>IF(AND(ISNUMBER('Laboratorio_M '!G12),ISNUMBER('Courier_M '!G14)),'Courier_M '!G14," ")</f>
        <v>1.1269073486328125</v>
      </c>
      <c r="I10" s="334">
        <f t="shared" si="30"/>
        <v>-0.16190734863281253</v>
      </c>
      <c r="J10" s="339">
        <f t="shared" si="1"/>
        <v>16.77796358889249</v>
      </c>
      <c r="K10" s="334">
        <f>IF(AND(ISNUMBER('Laboratorio_M '!I12),ISNUMBER('Courier_M.'!I14)),Laboratorio_M!I12," ")</f>
        <v>30.71</v>
      </c>
      <c r="L10" s="334">
        <f>IF(AND(ISNUMBER('Laboratorio_M '!I12),ISNUMBER('Courier_M.'!I14)),'Courier_M.'!I14," ")</f>
        <v>27.757684707641602</v>
      </c>
      <c r="M10" s="334">
        <f t="shared" si="2"/>
        <v>2.9523152923583993</v>
      </c>
      <c r="N10" s="339">
        <f t="shared" si="3"/>
        <v>9.6135307468524882</v>
      </c>
      <c r="O10" s="334">
        <f>IF(AND(AND(ISNUMBER('Laboratorio_M '!K12),ISNUMBER('Courier_M.'!K14)),AND('Laboratorio_M '!K12&gt;17,'Courier_M.'!K14&gt;17)),Laboratorio_M!K12," ")</f>
        <v>23.591000000000001</v>
      </c>
      <c r="P10" s="334">
        <f>IF(AND(AND(ISNUMBER('Laboratorio_M '!K12),ISNUMBER('Courier_M.'!K14)),AND(Laboratorio_M!K12&gt;17,'Courier_M.'!K14&gt;17)),'Courier_M.'!K14," ")</f>
        <v>23.779850006103516</v>
      </c>
      <c r="Q10" s="334">
        <f t="shared" si="4"/>
        <v>-0.18885000610351454</v>
      </c>
      <c r="R10" s="339">
        <f t="shared" si="5"/>
        <v>0.80051717224159435</v>
      </c>
      <c r="S10" s="334">
        <f>IF(AND(ISNUMBER(Laboratorio_M!M12),ISNUMBER('Courier_M.'!M14)),Laboratorio_M!M12," ")</f>
        <v>2.9000000000000001E-2</v>
      </c>
      <c r="T10" s="334">
        <f>IF(AND(ISNUMBER('Laboratorio_M '!M12),ISNUMBER('Courier_M.'!M14)),'Courier_M.'!M14," ")</f>
        <v>5.3388558328151703E-2</v>
      </c>
      <c r="U10" s="334">
        <f t="shared" si="6"/>
        <v>-2.4388558328151701E-2</v>
      </c>
      <c r="V10" s="339">
        <f t="shared" si="7"/>
        <v>84.098476993626548</v>
      </c>
      <c r="W10" s="334">
        <f>IF(AND(AND(ISNUMBER('Laboratorio_M '!O12),ISNUMBER('Courier_M.'!O14)),AND(Laboratorio_M!O12&gt;20,'Courier_M.'!O14&gt;20)),Laboratorio_M!O12," ")</f>
        <v>30.43</v>
      </c>
      <c r="X10" s="334">
        <f>IF(AND(AND(ISNUMBER('Laboratorio_M '!O12),ISNUMBER('Courier_M.'!O14)),AND(Laboratorio_M!O12&gt;20,'Courier_M.'!O14&gt;20)),'Courier_M.'!O14," ")</f>
        <v>29.30029296875</v>
      </c>
      <c r="Y10" s="334">
        <f t="shared" si="8"/>
        <v>1.1297070312499997</v>
      </c>
      <c r="Z10" s="339">
        <f t="shared" si="9"/>
        <v>3.7124779206375282</v>
      </c>
      <c r="AA10" s="334">
        <f>IF(AND(ISNUMBER('Laboratorio_M '!Q12),ISNUMBER('Courier_M '!Q14)),'Laboratorio_M '!Q12," ")</f>
        <v>0.48599999999999999</v>
      </c>
      <c r="AB10" s="334">
        <f>IF(AND(ISNUMBER('Laboratorio_M '!Q12),ISNUMBER('Courier_M '!Q14)),'Courier_M '!Q14," ")</f>
        <v>0.90129506587982178</v>
      </c>
      <c r="AC10" s="334">
        <f t="shared" si="10"/>
        <v>-0.41529506587982179</v>
      </c>
      <c r="AD10" s="339">
        <f t="shared" si="11"/>
        <v>85.451659646053869</v>
      </c>
      <c r="AE10" s="334">
        <f>IF(AND(ISNUMBER('Laboratorio_M '!S12),ISNUMBER('Courier_M '!S14)),'Laboratorio_M '!S12," ")</f>
        <v>57.497999999999998</v>
      </c>
      <c r="AF10" s="334">
        <f>IF(AND(ISNUMBER('Laboratorio_M '!S12),ISNUMBER('Courier_M '!S14)),'Courier_M '!S14," ")</f>
        <v>56.813716888427734</v>
      </c>
      <c r="AG10" s="334">
        <f t="shared" si="31"/>
        <v>0.68428311157226318</v>
      </c>
      <c r="AH10" s="339">
        <f t="shared" si="12"/>
        <v>1.1900989800902</v>
      </c>
      <c r="AI10" s="334">
        <f>IF(AND(ISNUMBER('Laboratorio_M '!U12),ISNUMBER('Courier_M '!U14)),'Laboratorio_M '!U12," ")</f>
        <v>0.57299999999999995</v>
      </c>
      <c r="AJ10" s="334">
        <f>IF(AND(ISNUMBER('Laboratorio_M '!U12),ISNUMBER('Courier_M '!U14)),'Courier_M '!U14," ")</f>
        <v>0.85128504037857056</v>
      </c>
      <c r="AK10" s="334">
        <f t="shared" si="13"/>
        <v>-0.2782850403785706</v>
      </c>
      <c r="AL10" s="339">
        <f t="shared" si="14"/>
        <v>48.566324673398015</v>
      </c>
      <c r="AM10" s="334"/>
      <c r="AN10" s="334"/>
      <c r="AO10" s="338">
        <f>IF(AND(ISNUMBER('Laboratorio_M '!F12),ISNUMBER('Courier_M.'!F14)),Laboratorio_M!F12," ")</f>
        <v>22.599</v>
      </c>
      <c r="AP10" s="334">
        <f>IF(AND(ISNUMBER('Laboratorio_M '!F12),ISNUMBER('Courier_M.'!F14)),'Courier_M.'!F14," ")</f>
        <v>20.650722503662109</v>
      </c>
      <c r="AQ10" s="334">
        <f t="shared" si="15"/>
        <v>1.9482774963378908</v>
      </c>
      <c r="AR10" s="339">
        <f t="shared" si="16"/>
        <v>8.6210783500946526</v>
      </c>
      <c r="AS10" s="334">
        <f>IF(AND(ISNUMBER('Laboratorio_M '!H12),ISNUMBER('Courier_M.'!H14)),Laboratorio_M!H12," ")</f>
        <v>1.1180000000000001</v>
      </c>
      <c r="AT10" s="334">
        <f>IF(AND(ISNUMBER('Laboratorio_M '!H12),ISNUMBER('Courier_M.'!H14)),'Courier_M.'!H14," ")</f>
        <v>0.90195196866989136</v>
      </c>
      <c r="AU10" s="334">
        <f t="shared" si="32"/>
        <v>0.21604803133010875</v>
      </c>
      <c r="AV10" s="339">
        <f t="shared" si="17"/>
        <v>19.324510852424755</v>
      </c>
      <c r="AW10" s="334">
        <f>IF(AND(ISNUMBER('Laboratorio_M '!J12),ISNUMBER('Courier_M.'!J14)),Laboratorio_M!J12," ")</f>
        <v>30.82</v>
      </c>
      <c r="AX10" s="334">
        <f>IF(AND(ISNUMBER('Laboratorio_M '!J12),ISNUMBER('Courier_M.'!J14)),'Courier_M.'!J14," ")</f>
        <v>27.238611221313477</v>
      </c>
      <c r="AY10" s="334">
        <f t="shared" si="18"/>
        <v>3.5813887786865237</v>
      </c>
      <c r="AZ10" s="339">
        <f t="shared" si="19"/>
        <v>11.620339969781062</v>
      </c>
      <c r="BA10" s="334">
        <f>IF(AND(ISNUMBER('Laboratorio_M '!L12),ISNUMBER('Courier_M.'!L14)),Laboratorio_M!L12," ")</f>
        <v>23.491</v>
      </c>
      <c r="BB10" s="334">
        <f>IF(AND(ISNUMBER('Laboratorio_M '!L12),ISNUMBER('Courier_M '!L14)),'Courier_M '!L14," ")</f>
        <v>21.322835922241211</v>
      </c>
      <c r="BC10" s="334">
        <f t="shared" si="20"/>
        <v>2.1681640777587887</v>
      </c>
      <c r="BD10" s="339">
        <f t="shared" si="21"/>
        <v>9.2297649217095437</v>
      </c>
      <c r="BE10" s="334">
        <f>IF(AND(ISNUMBER('Laboratorio_M '!N12),ISNUMBER('Courier_M.'!N14)),Laboratorio_M!N12," ")</f>
        <v>5.0999999999999997E-2</v>
      </c>
      <c r="BF10" s="334">
        <f>IF(AND(ISNUMBER('Laboratorio_M '!N12),ISNUMBER('Courier_M.'!N14)),'Courier_M.'!N14," ")</f>
        <v>0.18215537071228027</v>
      </c>
      <c r="BG10" s="334">
        <f t="shared" si="22"/>
        <v>-0.13115537071228028</v>
      </c>
      <c r="BH10" s="339">
        <f t="shared" si="23"/>
        <v>257.1673935534908</v>
      </c>
      <c r="BI10" s="337">
        <f>IF(AND(ISNUMBER('Laboratorio_M '!P12),ISNUMBER('Courier_M.'!P14)),Laboratorio_M!P12," ")</f>
        <v>31.43</v>
      </c>
      <c r="BJ10" s="334">
        <f>IF(AND(ISNUMBER('Laboratorio_M '!P12),ISNUMBER('Courier_M '!P14)),'Courier_M '!P14," ")</f>
        <v>28.816394805908203</v>
      </c>
      <c r="BK10" s="334">
        <f t="shared" si="24"/>
        <v>2.6136051940917966</v>
      </c>
      <c r="BL10" s="339">
        <f t="shared" si="25"/>
        <v>8.3156385430855764</v>
      </c>
      <c r="BM10" s="334">
        <f>IF(AND(ISNUMBER('Laboratorio_M '!R12),ISNUMBER('Courier_M '!R14)),'Laboratorio_M '!R12," ")</f>
        <v>0.46600000000000003</v>
      </c>
      <c r="BN10" s="334">
        <f>IF(AND(ISNUMBER('Laboratorio_M '!R12),ISNUMBER('Courier_M '!R14)),'Courier_M '!R14," ")</f>
        <v>0.62800890207290649</v>
      </c>
      <c r="BO10" s="334">
        <f t="shared" si="33"/>
        <v>-0.16200890207290647</v>
      </c>
      <c r="BP10" s="339">
        <f t="shared" si="26"/>
        <v>34.765858813928425</v>
      </c>
      <c r="BQ10" s="334">
        <f>IF(AND(ISNUMBER('Laboratorio_M '!T12),ISNUMBER('Courier_M '!T14)),'Laboratorio_M '!T12," ")</f>
        <v>57.186</v>
      </c>
      <c r="BR10" s="334">
        <f>IF(AND(ISNUMBER('Laboratorio_M '!T12),ISNUMBER('Courier_M '!T14)),'Courier_M '!T14," ")</f>
        <v>56.694122314453125</v>
      </c>
      <c r="BS10" s="334">
        <f t="shared" si="34"/>
        <v>0.49187768554687494</v>
      </c>
      <c r="BT10" s="339">
        <f t="shared" si="35"/>
        <v>0.86013654661433736</v>
      </c>
      <c r="BU10" s="334">
        <f>IF(AND(ISNUMBER('Laboratorio_M '!V12),ISNUMBER('Courier_M '!V14)),'Laboratorio_M '!V12," ")</f>
        <v>0.65</v>
      </c>
      <c r="BV10" s="334">
        <f>IF(AND(ISNUMBER('Laboratorio_M '!V12),ISNUMBER('Courier_M '!V14)),'Courier_M '!V14," ")</f>
        <v>0.71730285882949829</v>
      </c>
      <c r="BW10" s="334">
        <f t="shared" si="27"/>
        <v>-6.7302858829498269E-2</v>
      </c>
      <c r="BX10" s="339">
        <f t="shared" si="28"/>
        <v>10.354285973768965</v>
      </c>
    </row>
    <row r="11" spans="2:76" x14ac:dyDescent="0.2">
      <c r="C11" s="338" t="str">
        <f>IF(AND(ISNUMBER('Laboratorio_M '!E13),ISNUMBER('Courier_M '!E15)),'Laboratorio_M '!E13," ")</f>
        <v xml:space="preserve"> </v>
      </c>
      <c r="D11" s="334" t="str">
        <f>IF(AND(ISNUMBER('Laboratorio_M '!E13),ISNUMBER('Courier_M '!E15)),'Courier_M '!E15," ")</f>
        <v xml:space="preserve"> </v>
      </c>
      <c r="E11" s="334" t="str">
        <f t="shared" si="29"/>
        <v xml:space="preserve"> </v>
      </c>
      <c r="F11" s="339" t="str">
        <f t="shared" si="0"/>
        <v xml:space="preserve"> </v>
      </c>
      <c r="G11" s="334">
        <f>IF(AND(ISNUMBER('Laboratorio_M '!G13),ISNUMBER('Courier_M '!G15)),'Laboratorio_M '!G13," ")</f>
        <v>1.2949999999999999</v>
      </c>
      <c r="H11" s="334">
        <f>IF(AND(ISNUMBER('Laboratorio_M '!G13),ISNUMBER('Courier_M '!G15)),'Courier_M '!G15," ")</f>
        <v>1.2089604139328003</v>
      </c>
      <c r="I11" s="334">
        <f t="shared" si="30"/>
        <v>8.6039586067199636E-2</v>
      </c>
      <c r="J11" s="339">
        <f t="shared" si="1"/>
        <v>6.6439834800926372</v>
      </c>
      <c r="K11" s="334">
        <f>IF(AND(ISNUMBER('Laboratorio_M '!I13),ISNUMBER('Courier_M.'!I15)),Laboratorio_M!I13," ")</f>
        <v>29.01</v>
      </c>
      <c r="L11" s="334">
        <f>IF(AND(ISNUMBER('Laboratorio_M '!I13),ISNUMBER('Courier_M.'!I15)),'Courier_M.'!I15," ")</f>
        <v>28.074106216430664</v>
      </c>
      <c r="M11" s="334">
        <f t="shared" si="2"/>
        <v>0.9358937835693375</v>
      </c>
      <c r="N11" s="339">
        <f t="shared" si="3"/>
        <v>3.2261074924830657</v>
      </c>
      <c r="O11" s="334">
        <f>IF(AND(AND(ISNUMBER('Laboratorio_M '!K13),ISNUMBER('Courier_M.'!K15)),AND('Laboratorio_M '!K13&gt;17,'Courier_M.'!K15&gt;17)),Laboratorio_M!K13," ")</f>
        <v>22.138999999999999</v>
      </c>
      <c r="P11" s="334">
        <f>IF(AND(AND(ISNUMBER('Laboratorio_M '!K13),ISNUMBER('Courier_M.'!K15)),AND(Laboratorio_M!K13&gt;17,'Courier_M.'!K15&gt;17)),'Courier_M.'!K15," ")</f>
        <v>19.861064910888672</v>
      </c>
      <c r="Q11" s="334">
        <f t="shared" si="4"/>
        <v>2.2779350891113275</v>
      </c>
      <c r="R11" s="339">
        <f t="shared" si="5"/>
        <v>10.289241108954007</v>
      </c>
      <c r="S11" s="334">
        <f>IF(AND(ISNUMBER(Laboratorio_M!M13),ISNUMBER('Courier_M.'!M15)),Laboratorio_M!M13," ")</f>
        <v>4.3999999999999997E-2</v>
      </c>
      <c r="T11" s="334">
        <f>IF(AND(ISNUMBER('Laboratorio_M '!M13),ISNUMBER('Courier_M.'!M15)),'Courier_M.'!M15," ")</f>
        <v>0.67277532815933228</v>
      </c>
      <c r="U11" s="334">
        <f t="shared" si="6"/>
        <v>-0.62877532815933224</v>
      </c>
      <c r="V11" s="339">
        <f t="shared" si="7"/>
        <v>1429.0348367257552</v>
      </c>
      <c r="W11" s="334">
        <f>IF(AND(AND(ISNUMBER('Laboratorio_M '!O13),ISNUMBER('Courier_M.'!O15)),AND(Laboratorio_M!O13&gt;20,'Courier_M.'!O15&gt;20)),Laboratorio_M!O13," ")</f>
        <v>30.03</v>
      </c>
      <c r="X11" s="334">
        <f>IF(AND(AND(ISNUMBER('Laboratorio_M '!O13),ISNUMBER('Courier_M.'!O15)),AND(Laboratorio_M!O13&gt;20,'Courier_M.'!O15&gt;20)),'Courier_M.'!O15," ")</f>
        <v>28.955646514892578</v>
      </c>
      <c r="Y11" s="334">
        <f t="shared" si="8"/>
        <v>1.074353485107423</v>
      </c>
      <c r="Z11" s="339">
        <f t="shared" si="9"/>
        <v>3.5776006830084013</v>
      </c>
      <c r="AA11" s="334">
        <f>IF(AND(ISNUMBER('Laboratorio_M '!Q13),ISNUMBER('Courier_M '!Q15)),'Laboratorio_M '!Q13," ")</f>
        <v>0.53</v>
      </c>
      <c r="AB11" s="334">
        <f>IF(AND(ISNUMBER('Laboratorio_M '!Q13),ISNUMBER('Courier_M '!Q15)),'Courier_M '!Q15," ")</f>
        <v>0.64794796705245972</v>
      </c>
      <c r="AC11" s="334">
        <f t="shared" si="10"/>
        <v>-0.11794796705245969</v>
      </c>
      <c r="AD11" s="339">
        <f t="shared" si="11"/>
        <v>22.25433340612447</v>
      </c>
      <c r="AE11" s="334">
        <f>IF(AND(ISNUMBER('Laboratorio_M '!S13),ISNUMBER('Courier_M '!S15)),'Laboratorio_M '!S13," ")</f>
        <v>56.895000000000003</v>
      </c>
      <c r="AF11" s="334">
        <f>IF(AND(ISNUMBER('Laboratorio_M '!S13),ISNUMBER('Courier_M '!S15)),'Courier_M '!S15," ")</f>
        <v>56.881526947021484</v>
      </c>
      <c r="AG11" s="334">
        <f t="shared" si="31"/>
        <v>1.3473052978518751E-2</v>
      </c>
      <c r="AH11" s="339">
        <f t="shared" si="12"/>
        <v>2.3680557128954654E-2</v>
      </c>
      <c r="AI11" s="334">
        <f>IF(AND(ISNUMBER('Laboratorio_M '!U13),ISNUMBER('Courier_M '!U15)),'Laboratorio_M '!U13," ")</f>
        <v>0.84299999999999997</v>
      </c>
      <c r="AJ11" s="334">
        <f>IF(AND(ISNUMBER('Laboratorio_M '!U13),ISNUMBER('Courier_M '!U15)),'Courier_M '!U15," ")</f>
        <v>0.73414802551269531</v>
      </c>
      <c r="AK11" s="334">
        <f t="shared" si="13"/>
        <v>0.10885197448730466</v>
      </c>
      <c r="AL11" s="339">
        <f t="shared" si="14"/>
        <v>12.912452489597232</v>
      </c>
      <c r="AM11" s="334"/>
      <c r="AN11" s="334"/>
      <c r="AO11" s="338">
        <f>IF(AND(ISNUMBER('Laboratorio_M '!F13),ISNUMBER('Courier_M.'!F15)),Laboratorio_M!F13," ")</f>
        <v>23.193999999999999</v>
      </c>
      <c r="AP11" s="334">
        <f>IF(AND(ISNUMBER('Laboratorio_M '!F13),ISNUMBER('Courier_M.'!F15)),'Courier_M.'!F15," ")</f>
        <v>23.196371078491211</v>
      </c>
      <c r="AQ11" s="334">
        <f t="shared" si="15"/>
        <v>-2.3710784912118754E-3</v>
      </c>
      <c r="AR11" s="339">
        <f t="shared" si="16"/>
        <v>1.0222809740501318E-2</v>
      </c>
      <c r="AS11" s="334">
        <f>IF(AND(ISNUMBER('Laboratorio_M '!H13),ISNUMBER('Courier_M.'!H15)),Laboratorio_M!H13," ")</f>
        <v>1.2709999999999999</v>
      </c>
      <c r="AT11" s="334">
        <f>IF(AND(ISNUMBER('Laboratorio_M '!H13),ISNUMBER('Courier_M.'!H15)),'Courier_M.'!H15," ")</f>
        <v>1.2117031812667847</v>
      </c>
      <c r="AU11" s="334">
        <f t="shared" si="32"/>
        <v>5.929681873321524E-2</v>
      </c>
      <c r="AV11" s="339">
        <f t="shared" si="17"/>
        <v>4.6653673275543071</v>
      </c>
      <c r="AW11" s="334">
        <f>IF(AND(ISNUMBER('Laboratorio_M '!J13),ISNUMBER('Courier_M.'!J15)),Laboratorio_M!J13," ")</f>
        <v>28.32</v>
      </c>
      <c r="AX11" s="334">
        <f>IF(AND(ISNUMBER('Laboratorio_M '!J13),ISNUMBER('Courier_M.'!J15)),'Courier_M.'!J15," ")</f>
        <v>29.422849655151367</v>
      </c>
      <c r="AY11" s="334">
        <f t="shared" si="18"/>
        <v>-1.1028496551513669</v>
      </c>
      <c r="AZ11" s="339">
        <f t="shared" si="19"/>
        <v>3.8942431325966345</v>
      </c>
      <c r="BA11" s="334">
        <f>IF(AND(ISNUMBER('Laboratorio_M '!L13),ISNUMBER('Courier_M.'!L15)),Laboratorio_M!L13," ")</f>
        <v>23.69</v>
      </c>
      <c r="BB11" s="334">
        <f>IF(AND(ISNUMBER('Laboratorio_M '!L13),ISNUMBER('Courier_M '!L15)),'Courier_M '!L15," ")</f>
        <v>23.91087532043457</v>
      </c>
      <c r="BC11" s="334">
        <f t="shared" si="20"/>
        <v>-0.22087532043456903</v>
      </c>
      <c r="BD11" s="339">
        <f t="shared" si="21"/>
        <v>0.93235677684495155</v>
      </c>
      <c r="BE11" s="334">
        <f>IF(AND(ISNUMBER('Laboratorio_M '!N13),ISNUMBER('Courier_M.'!N15)),Laboratorio_M!N13," ")</f>
        <v>4.2000000000000003E-2</v>
      </c>
      <c r="BF11" s="334">
        <f>IF(AND(ISNUMBER('Laboratorio_M '!N13),ISNUMBER('Courier_M.'!N15)),'Courier_M.'!N15," ")</f>
        <v>0.15042237937450409</v>
      </c>
      <c r="BG11" s="334">
        <f t="shared" si="22"/>
        <v>-0.10842237937450408</v>
      </c>
      <c r="BH11" s="339">
        <f t="shared" si="23"/>
        <v>258.14852232024782</v>
      </c>
      <c r="BI11" s="337">
        <f>IF(AND(ISNUMBER('Laboratorio_M '!P13),ISNUMBER('Courier_M.'!P15)),Laboratorio_M!P13," ")</f>
        <v>28.87</v>
      </c>
      <c r="BJ11" s="334">
        <f>IF(AND(ISNUMBER('Laboratorio_M '!P13),ISNUMBER('Courier_M '!P15)),'Courier_M '!P15," ")</f>
        <v>29.585695266723633</v>
      </c>
      <c r="BK11" s="334">
        <f t="shared" si="24"/>
        <v>-0.71569526672363182</v>
      </c>
      <c r="BL11" s="339">
        <f t="shared" si="25"/>
        <v>2.479027595163255</v>
      </c>
      <c r="BM11" s="334">
        <f>IF(AND(ISNUMBER('Laboratorio_M '!R13),ISNUMBER('Courier_M '!R15)),'Laboratorio_M '!R13," ")</f>
        <v>0.79800000000000004</v>
      </c>
      <c r="BN11" s="334">
        <f>IF(AND(ISNUMBER('Laboratorio_M '!R13),ISNUMBER('Courier_M '!R15)),'Courier_M '!R15," ")</f>
        <v>0.52867209911346436</v>
      </c>
      <c r="BO11" s="334">
        <f t="shared" si="33"/>
        <v>0.26932790088653569</v>
      </c>
      <c r="BP11" s="339">
        <f t="shared" si="26"/>
        <v>33.750363519616002</v>
      </c>
      <c r="BQ11" s="334">
        <f>IF(AND(ISNUMBER('Laboratorio_M '!T13),ISNUMBER('Courier_M '!T15)),'Laboratorio_M '!T13," ")</f>
        <v>54.981000000000002</v>
      </c>
      <c r="BR11" s="334">
        <f>IF(AND(ISNUMBER('Laboratorio_M '!T13),ISNUMBER('Courier_M '!T15)),'Courier_M '!T15," ")</f>
        <v>56.233108520507813</v>
      </c>
      <c r="BS11" s="334">
        <f t="shared" si="34"/>
        <v>-1.2521085205078109</v>
      </c>
      <c r="BT11" s="339">
        <f t="shared" si="35"/>
        <v>2.2773476664808041</v>
      </c>
      <c r="BU11" s="334">
        <f>IF(AND(ISNUMBER('Laboratorio_M '!V13),ISNUMBER('Courier_M '!V15)),'Laboratorio_M '!V13," ")</f>
        <v>2.41</v>
      </c>
      <c r="BV11" s="334">
        <f>IF(AND(ISNUMBER('Laboratorio_M '!V13),ISNUMBER('Courier_M '!V15)),'Courier_M '!V15," ")</f>
        <v>0.89357143640518188</v>
      </c>
      <c r="BW11" s="334">
        <f t="shared" si="27"/>
        <v>1.5164285635948183</v>
      </c>
      <c r="BX11" s="339">
        <f t="shared" si="28"/>
        <v>62.922347037129391</v>
      </c>
    </row>
    <row r="12" spans="2:76" x14ac:dyDescent="0.2">
      <c r="C12" s="338" t="str">
        <f>IF(AND(ISNUMBER('Laboratorio_M '!E14),ISNUMBER('Courier_M '!E16)),'Laboratorio_M '!E14," ")</f>
        <v xml:space="preserve"> </v>
      </c>
      <c r="D12" s="334" t="str">
        <f>IF(AND(ISNUMBER('Laboratorio_M '!E14),ISNUMBER('Courier_M '!E16)),'Courier_M '!E16," ")</f>
        <v xml:space="preserve"> </v>
      </c>
      <c r="E12" s="334" t="str">
        <f t="shared" si="29"/>
        <v xml:space="preserve"> </v>
      </c>
      <c r="F12" s="339" t="str">
        <f t="shared" si="0"/>
        <v xml:space="preserve"> </v>
      </c>
      <c r="G12" s="334" t="str">
        <f>IF(AND(ISNUMBER('Laboratorio_M '!G14),ISNUMBER('Courier_M '!G16)),'Laboratorio_M '!G14," ")</f>
        <v xml:space="preserve"> </v>
      </c>
      <c r="H12" s="334" t="str">
        <f>IF(AND(ISNUMBER('Laboratorio_M '!G14),ISNUMBER('Courier_M '!G16)),'Courier_M '!G16," ")</f>
        <v xml:space="preserve"> </v>
      </c>
      <c r="I12" s="334" t="str">
        <f t="shared" si="30"/>
        <v xml:space="preserve"> </v>
      </c>
      <c r="J12" s="339" t="str">
        <f t="shared" si="1"/>
        <v xml:space="preserve"> </v>
      </c>
      <c r="K12" s="334" t="str">
        <f>IF(AND(ISNUMBER('Laboratorio_M '!I14),ISNUMBER('Courier_M.'!I16)),Laboratorio_M!I14," ")</f>
        <v xml:space="preserve"> </v>
      </c>
      <c r="L12" s="334" t="str">
        <f>IF(AND(ISNUMBER('Laboratorio_M '!I14),ISNUMBER('Courier_M.'!I16)),'Courier_M.'!I16," ")</f>
        <v xml:space="preserve"> </v>
      </c>
      <c r="M12" s="334" t="str">
        <f t="shared" si="2"/>
        <v xml:space="preserve"> </v>
      </c>
      <c r="N12" s="339" t="str">
        <f t="shared" si="3"/>
        <v xml:space="preserve"> </v>
      </c>
      <c r="O12" s="334" t="str">
        <f>IF(AND(AND(ISNUMBER('Laboratorio_M '!K14),ISNUMBER('Courier_M.'!K16)),AND('Laboratorio_M '!K14&gt;17,'Courier_M.'!K16&gt;17)),Laboratorio_M!K14," ")</f>
        <v xml:space="preserve"> </v>
      </c>
      <c r="P12" s="334" t="str">
        <f>IF(AND(AND(ISNUMBER('Laboratorio_M '!K14),ISNUMBER('Courier_M.'!K16)),AND(Laboratorio_M!K14&gt;17,'Courier_M.'!K16&gt;17)),'Courier_M.'!K16," ")</f>
        <v xml:space="preserve"> </v>
      </c>
      <c r="Q12" s="334" t="str">
        <f t="shared" si="4"/>
        <v xml:space="preserve"> </v>
      </c>
      <c r="R12" s="339" t="str">
        <f t="shared" si="5"/>
        <v xml:space="preserve"> </v>
      </c>
      <c r="S12" s="334" t="str">
        <f>IF(AND(ISNUMBER(Laboratorio_M!M14),ISNUMBER('Courier_M.'!M16)),Laboratorio_M!M14," ")</f>
        <v xml:space="preserve"> </v>
      </c>
      <c r="T12" s="334" t="str">
        <f>IF(AND(ISNUMBER('Laboratorio_M '!M14),ISNUMBER('Courier_M.'!M16)),'Courier_M.'!M16," ")</f>
        <v xml:space="preserve"> </v>
      </c>
      <c r="U12" s="334" t="str">
        <f t="shared" si="6"/>
        <v xml:space="preserve"> </v>
      </c>
      <c r="V12" s="339" t="str">
        <f t="shared" si="7"/>
        <v xml:space="preserve"> </v>
      </c>
      <c r="W12" s="334" t="str">
        <f>IF(AND(AND(ISNUMBER('Laboratorio_M '!O14),ISNUMBER('Courier_M.'!O16)),AND(Laboratorio_M!O14&gt;20,'Courier_M.'!O16&gt;20)),Laboratorio_M!O14," ")</f>
        <v xml:space="preserve"> </v>
      </c>
      <c r="X12" s="334" t="str">
        <f>IF(AND(AND(ISNUMBER('Laboratorio_M '!O14),ISNUMBER('Courier_M.'!O16)),AND(Laboratorio_M!O14&gt;20,'Courier_M.'!O16&gt;20)),'Courier_M.'!O16," ")</f>
        <v xml:space="preserve"> </v>
      </c>
      <c r="Y12" s="334" t="str">
        <f t="shared" si="8"/>
        <v xml:space="preserve"> </v>
      </c>
      <c r="Z12" s="339" t="str">
        <f t="shared" si="9"/>
        <v xml:space="preserve"> </v>
      </c>
      <c r="AA12" s="334" t="str">
        <f>IF(AND(ISNUMBER('Laboratorio_M '!Q14),ISNUMBER('Courier_M '!Q16)),'Laboratorio_M '!Q14," ")</f>
        <v xml:space="preserve"> </v>
      </c>
      <c r="AB12" s="334" t="str">
        <f>IF(AND(ISNUMBER('Laboratorio_M '!Q14),ISNUMBER('Courier_M '!Q16)),'Courier_M '!Q16," ")</f>
        <v xml:space="preserve"> </v>
      </c>
      <c r="AC12" s="334" t="str">
        <f t="shared" si="10"/>
        <v xml:space="preserve"> </v>
      </c>
      <c r="AD12" s="339" t="str">
        <f t="shared" si="11"/>
        <v xml:space="preserve"> </v>
      </c>
      <c r="AE12" s="334" t="str">
        <f>IF(AND(ISNUMBER('Laboratorio_M '!S14),ISNUMBER('Courier_M '!S16)),'Laboratorio_M '!S14," ")</f>
        <v xml:space="preserve"> </v>
      </c>
      <c r="AF12" s="334" t="str">
        <f>IF(AND(ISNUMBER('Laboratorio_M '!S14),ISNUMBER('Courier_M '!S16)),'Courier_M '!S16," ")</f>
        <v xml:space="preserve"> </v>
      </c>
      <c r="AG12" s="334" t="str">
        <f t="shared" si="31"/>
        <v xml:space="preserve"> </v>
      </c>
      <c r="AH12" s="339" t="str">
        <f t="shared" si="12"/>
        <v xml:space="preserve"> </v>
      </c>
      <c r="AI12" s="334" t="str">
        <f>IF(AND(ISNUMBER('Laboratorio_M '!U14),ISNUMBER('Courier_M '!U16)),'Laboratorio_M '!U14," ")</f>
        <v xml:space="preserve"> </v>
      </c>
      <c r="AJ12" s="334" t="str">
        <f>IF(AND(ISNUMBER('Laboratorio_M '!U14),ISNUMBER('Courier_M '!U16)),'Courier_M '!U16," ")</f>
        <v xml:space="preserve"> </v>
      </c>
      <c r="AK12" s="334" t="str">
        <f t="shared" si="13"/>
        <v xml:space="preserve"> </v>
      </c>
      <c r="AL12" s="339" t="str">
        <f t="shared" si="14"/>
        <v xml:space="preserve"> </v>
      </c>
      <c r="AM12" s="334"/>
      <c r="AN12" s="334"/>
      <c r="AO12" s="338">
        <f>IF(AND(ISNUMBER('Laboratorio_M '!F14),ISNUMBER('Courier_M.'!F16)),Laboratorio_M!F14," ")</f>
        <v>23.591000000000001</v>
      </c>
      <c r="AP12" s="334">
        <f>IF(AND(ISNUMBER('Laboratorio_M '!F14),ISNUMBER('Courier_M.'!F16)),'Courier_M.'!F16," ")</f>
        <v>23.660287857055664</v>
      </c>
      <c r="AQ12" s="334">
        <f t="shared" si="15"/>
        <v>-6.9287857055662982E-2</v>
      </c>
      <c r="AR12" s="339">
        <f t="shared" si="16"/>
        <v>0.29370462064203712</v>
      </c>
      <c r="AS12" s="334">
        <f>IF(AND(ISNUMBER('Laboratorio_M '!H14),ISNUMBER('Courier_M.'!H16)),Laboratorio_M!H14," ")</f>
        <v>1.1879999999999999</v>
      </c>
      <c r="AT12" s="334">
        <f>IF(AND(ISNUMBER('Laboratorio_M '!H14),ISNUMBER('Courier_M.'!H16)),'Courier_M.'!H16," ")</f>
        <v>1.2693836688995361</v>
      </c>
      <c r="AU12" s="334">
        <f t="shared" si="32"/>
        <v>-8.1383668899536188E-2</v>
      </c>
      <c r="AV12" s="339">
        <f t="shared" si="17"/>
        <v>6.8504771800956394</v>
      </c>
      <c r="AW12" s="334">
        <f>IF(AND(ISNUMBER('Laboratorio_M '!J14),ISNUMBER('Courier_M.'!J16)),Laboratorio_M!J14," ")</f>
        <v>29.69</v>
      </c>
      <c r="AX12" s="334">
        <f>IF(AND(ISNUMBER('Laboratorio_M '!J14),ISNUMBER('Courier_M.'!J16)),'Courier_M.'!J16," ")</f>
        <v>29.418380737304688</v>
      </c>
      <c r="AY12" s="334">
        <f t="shared" si="18"/>
        <v>0.27161926269531378</v>
      </c>
      <c r="AZ12" s="339">
        <f t="shared" si="19"/>
        <v>0.91485100267872599</v>
      </c>
      <c r="BA12" s="334">
        <f>IF(AND(ISNUMBER('Laboratorio_M '!L14),ISNUMBER('Courier_M.'!L16)),Laboratorio_M!L14," ")</f>
        <v>25.474</v>
      </c>
      <c r="BB12" s="334">
        <f>IF(AND(ISNUMBER('Laboratorio_M '!L14),ISNUMBER('Courier_M '!L16)),'Courier_M '!L16," ")</f>
        <v>23.487161636352539</v>
      </c>
      <c r="BC12" s="334">
        <f t="shared" si="20"/>
        <v>1.9868383636474611</v>
      </c>
      <c r="BD12" s="339">
        <f t="shared" si="21"/>
        <v>7.7994754009871281</v>
      </c>
      <c r="BE12" s="334">
        <f>IF(AND(ISNUMBER('Laboratorio_M '!N14),ISNUMBER('Courier_M.'!N16)),Laboratorio_M!N14," ")</f>
        <v>0.05</v>
      </c>
      <c r="BF12" s="334">
        <f>IF(AND(ISNUMBER('Laboratorio_M '!N14),ISNUMBER('Courier_M.'!N16)),'Courier_M.'!N16," ")</f>
        <v>0.38917356729507446</v>
      </c>
      <c r="BG12" s="334">
        <f t="shared" si="22"/>
        <v>-0.33917356729507447</v>
      </c>
      <c r="BH12" s="339">
        <f t="shared" si="23"/>
        <v>678.34713459014893</v>
      </c>
      <c r="BI12" s="337">
        <f>IF(AND(ISNUMBER('Laboratorio_M '!P14),ISNUMBER('Courier_M.'!P16)),Laboratorio_M!P14," ")</f>
        <v>29.77</v>
      </c>
      <c r="BJ12" s="334">
        <f>IF(AND(ISNUMBER('Laboratorio_M '!P14),ISNUMBER('Courier_M '!P16)),'Courier_M '!P16," ")</f>
        <v>29.424104690551758</v>
      </c>
      <c r="BK12" s="334">
        <f t="shared" si="24"/>
        <v>0.34589530944824176</v>
      </c>
      <c r="BL12" s="339">
        <f t="shared" si="25"/>
        <v>1.1618922050663143</v>
      </c>
      <c r="BM12" s="334">
        <f>IF(AND(ISNUMBER('Laboratorio_M '!R14),ISNUMBER('Courier_M '!R16)),'Laboratorio_M '!R14," ")</f>
        <v>0.73399999999999999</v>
      </c>
      <c r="BN12" s="334">
        <f>IF(AND(ISNUMBER('Laboratorio_M '!R14),ISNUMBER('Courier_M '!R16)),'Courier_M '!R16," ")</f>
        <v>0.58700937032699585</v>
      </c>
      <c r="BO12" s="334">
        <f t="shared" si="33"/>
        <v>0.14699062967300414</v>
      </c>
      <c r="BP12" s="339">
        <f t="shared" si="26"/>
        <v>20.025971345095932</v>
      </c>
      <c r="BQ12" s="334">
        <f>IF(AND(ISNUMBER('Laboratorio_M '!T14),ISNUMBER('Courier_M '!T16)),'Laboratorio_M '!T14," ")</f>
        <v>55.753999999999998</v>
      </c>
      <c r="BR12" s="334">
        <f>IF(AND(ISNUMBER('Laboratorio_M '!T14),ISNUMBER('Courier_M '!T16)),'Courier_M '!T16," ")</f>
        <v>56.782024383544922</v>
      </c>
      <c r="BS12" s="334">
        <f t="shared" si="34"/>
        <v>-1.0280243835449241</v>
      </c>
      <c r="BT12" s="339">
        <f t="shared" si="35"/>
        <v>1.8438576309232058</v>
      </c>
      <c r="BU12" s="334">
        <f>IF(AND(ISNUMBER('Laboratorio_M '!V14),ISNUMBER('Courier_M '!V16)),'Laboratorio_M '!V14," ")</f>
        <v>1.889</v>
      </c>
      <c r="BV12" s="334">
        <f>IF(AND(ISNUMBER('Laboratorio_M '!V14),ISNUMBER('Courier_M '!V16)),'Courier_M '!V16," ")</f>
        <v>0.76169872283935547</v>
      </c>
      <c r="BW12" s="334">
        <f t="shared" si="27"/>
        <v>1.1273012771606445</v>
      </c>
      <c r="BX12" s="339">
        <f t="shared" si="28"/>
        <v>59.677145429361808</v>
      </c>
    </row>
    <row r="13" spans="2:76" x14ac:dyDescent="0.2">
      <c r="C13" s="338">
        <f>IF(AND(ISNUMBER('Laboratorio_M '!E15),ISNUMBER('Courier_M '!E17)),'Laboratorio_M '!E15," ")</f>
        <v>24.175000000000001</v>
      </c>
      <c r="D13" s="334">
        <f>IF(AND(ISNUMBER('Laboratorio_M '!E15),ISNUMBER('Courier_M '!E17)),'Courier_M '!E17," ")</f>
        <v>24.543853759765625</v>
      </c>
      <c r="E13" s="334">
        <f t="shared" si="29"/>
        <v>-0.36885375976562429</v>
      </c>
      <c r="F13" s="339">
        <f t="shared" si="0"/>
        <v>1.5257652937564603</v>
      </c>
      <c r="G13" s="334">
        <f>IF(AND(ISNUMBER('Laboratorio_M '!G15),ISNUMBER('Courier_M '!G17)),'Laboratorio_M '!G15," ")</f>
        <v>1.6910000000000001</v>
      </c>
      <c r="H13" s="334">
        <f>IF(AND(ISNUMBER('Laboratorio_M '!G15),ISNUMBER('Courier_M '!G17)),'Courier_M '!G17," ")</f>
        <v>1.3908547163009644</v>
      </c>
      <c r="I13" s="334">
        <f t="shared" si="30"/>
        <v>0.3001452836990357</v>
      </c>
      <c r="J13" s="339">
        <f t="shared" si="1"/>
        <v>17.74957325245628</v>
      </c>
      <c r="K13" s="334">
        <f>IF(AND(ISNUMBER('Laboratorio_M '!I15),ISNUMBER('Courier_M.'!I17)),Laboratorio_M!I15," ")</f>
        <v>28</v>
      </c>
      <c r="L13" s="334">
        <f>IF(AND(ISNUMBER('Laboratorio_M '!I15),ISNUMBER('Courier_M.'!I17)),'Courier_M.'!I17," ")</f>
        <v>29.382139205932617</v>
      </c>
      <c r="M13" s="334">
        <f t="shared" si="2"/>
        <v>-1.3821392059326172</v>
      </c>
      <c r="N13" s="339">
        <f t="shared" si="3"/>
        <v>4.9362114497593472</v>
      </c>
      <c r="O13" s="334">
        <f>IF(AND(AND(ISNUMBER('Laboratorio_M '!K15),ISNUMBER('Courier_M.'!K17)),AND('Laboratorio_M '!K15&gt;17,'Courier_M.'!K17&gt;17)),Laboratorio_M!K15," ")</f>
        <v>23.376999999999999</v>
      </c>
      <c r="P13" s="334">
        <f>IF(AND(AND(ISNUMBER('Laboratorio_M '!K15),ISNUMBER('Courier_M.'!K17)),AND(Laboratorio_M!K15&gt;17,'Courier_M.'!K17&gt;17)),'Courier_M.'!K17," ")</f>
        <v>25.519594192504883</v>
      </c>
      <c r="Q13" s="334">
        <f t="shared" si="4"/>
        <v>-2.1425941925048839</v>
      </c>
      <c r="R13" s="339">
        <f t="shared" si="5"/>
        <v>9.1653941588094447</v>
      </c>
      <c r="S13" s="334">
        <f>IF(AND(ISNUMBER(Laboratorio_M!M15),ISNUMBER('Courier_M.'!M17)),Laboratorio_M!M15," ")</f>
        <v>6.7000000000000004E-2</v>
      </c>
      <c r="T13" s="334">
        <f>IF(AND(ISNUMBER('Laboratorio_M '!M15),ISNUMBER('Courier_M.'!M17)),'Courier_M.'!M17," ")</f>
        <v>0.16438183188438416</v>
      </c>
      <c r="U13" s="334">
        <f t="shared" si="6"/>
        <v>-9.7381831884384151E-2</v>
      </c>
      <c r="V13" s="339">
        <f t="shared" si="7"/>
        <v>145.34601773788677</v>
      </c>
      <c r="W13" s="334">
        <f>IF(AND(AND(ISNUMBER('Laboratorio_M '!O15),ISNUMBER('Courier_M.'!O17)),AND(Laboratorio_M!O15&gt;20,'Courier_M.'!O17&gt;20)),Laboratorio_M!O15," ")</f>
        <v>28.91</v>
      </c>
      <c r="X13" s="334">
        <f>IF(AND(AND(ISNUMBER('Laboratorio_M '!O15),ISNUMBER('Courier_M.'!O17)),AND(Laboratorio_M!O15&gt;20,'Courier_M.'!O17&gt;20)),'Courier_M.'!O17," ")</f>
        <v>29.57487678527832</v>
      </c>
      <c r="Y13" s="334">
        <f t="shared" si="8"/>
        <v>-0.66487678527832017</v>
      </c>
      <c r="Z13" s="339">
        <f t="shared" si="9"/>
        <v>2.2998159297070919</v>
      </c>
      <c r="AA13" s="334" t="str">
        <f>IF(AND(ISNUMBER('Laboratorio_M '!Q15),ISNUMBER('Courier_M '!Q17)),'Laboratorio_M '!Q15," ")</f>
        <v xml:space="preserve"> </v>
      </c>
      <c r="AB13" s="334" t="str">
        <f>IF(AND(ISNUMBER('Laboratorio_M '!Q15),ISNUMBER('Courier_M '!Q17)),'Courier_M '!Q17," ")</f>
        <v xml:space="preserve"> </v>
      </c>
      <c r="AC13" s="334" t="str">
        <f t="shared" si="10"/>
        <v xml:space="preserve"> </v>
      </c>
      <c r="AD13" s="339" t="str">
        <f t="shared" si="11"/>
        <v xml:space="preserve"> </v>
      </c>
      <c r="AE13" s="334" t="str">
        <f>IF(AND(ISNUMBER('Laboratorio_M '!S15),ISNUMBER('Courier_M '!S17)),'Laboratorio_M '!S15," ")</f>
        <v xml:space="preserve"> </v>
      </c>
      <c r="AF13" s="334" t="str">
        <f>IF(AND(ISNUMBER('Laboratorio_M '!S15),ISNUMBER('Courier_M '!S17)),'Courier_M '!S17," ")</f>
        <v xml:space="preserve"> </v>
      </c>
      <c r="AG13" s="334" t="str">
        <f t="shared" si="31"/>
        <v xml:space="preserve"> </v>
      </c>
      <c r="AH13" s="339" t="str">
        <f t="shared" si="12"/>
        <v xml:space="preserve"> </v>
      </c>
      <c r="AI13" s="334" t="str">
        <f>IF(AND(ISNUMBER('Laboratorio_M '!U15),ISNUMBER('Courier_M '!U17)),'Laboratorio_M '!U15," ")</f>
        <v xml:space="preserve"> </v>
      </c>
      <c r="AJ13" s="334" t="str">
        <f>IF(AND(ISNUMBER('Laboratorio_M '!U15),ISNUMBER('Courier_M '!U17)),'Courier_M '!U17," ")</f>
        <v xml:space="preserve"> </v>
      </c>
      <c r="AK13" s="334" t="str">
        <f t="shared" si="13"/>
        <v xml:space="preserve"> </v>
      </c>
      <c r="AL13" s="339" t="str">
        <f t="shared" si="14"/>
        <v xml:space="preserve"> </v>
      </c>
      <c r="AM13" s="334"/>
      <c r="AN13" s="334"/>
      <c r="AO13" s="338">
        <f>IF(AND(ISNUMBER('Laboratorio_M '!F15),ISNUMBER('Courier_M.'!F17)),Laboratorio_M!F15," ")</f>
        <v>23.88</v>
      </c>
      <c r="AP13" s="334">
        <f>IF(AND(ISNUMBER('Laboratorio_M '!F15),ISNUMBER('Courier_M.'!F17)),'Courier_M.'!F17," ")</f>
        <v>24.543853759765625</v>
      </c>
      <c r="AQ13" s="334">
        <f t="shared" si="15"/>
        <v>-0.66385375976562599</v>
      </c>
      <c r="AR13" s="339">
        <f t="shared" si="16"/>
        <v>2.7799571179465077</v>
      </c>
      <c r="AS13" s="334">
        <f>IF(AND(ISNUMBER('Laboratorio_M '!H15),ISNUMBER('Courier_M.'!H17)),Laboratorio_M!H15," ")</f>
        <v>1.782</v>
      </c>
      <c r="AT13" s="334">
        <f>IF(AND(ISNUMBER('Laboratorio_M '!H15),ISNUMBER('Courier_M.'!H17)),'Courier_M.'!H17," ")</f>
        <v>1.3908547163009644</v>
      </c>
      <c r="AU13" s="334">
        <f t="shared" si="32"/>
        <v>0.39114528369903567</v>
      </c>
      <c r="AV13" s="339">
        <f t="shared" si="17"/>
        <v>21.949791453369006</v>
      </c>
      <c r="AW13" s="334">
        <f>IF(AND(ISNUMBER('Laboratorio_M '!J15),ISNUMBER('Courier_M.'!J17)),Laboratorio_M!J15," ")</f>
        <v>27.25</v>
      </c>
      <c r="AX13" s="334">
        <f>IF(AND(ISNUMBER('Laboratorio_M '!J15),ISNUMBER('Courier_M.'!J17)),'Courier_M.'!J17," ")</f>
        <v>29.382139205932617</v>
      </c>
      <c r="AY13" s="334">
        <f t="shared" si="18"/>
        <v>-2.1321392059326172</v>
      </c>
      <c r="AZ13" s="339">
        <f t="shared" si="19"/>
        <v>7.8243640584683192</v>
      </c>
      <c r="BA13" s="334">
        <f>IF(AND(ISNUMBER('Laboratorio_M '!L15),ISNUMBER('Courier_M.'!L17)),Laboratorio_M!L15," ")</f>
        <v>22.786000000000001</v>
      </c>
      <c r="BB13" s="334">
        <f>IF(AND(ISNUMBER('Laboratorio_M '!L15),ISNUMBER('Courier_M '!L17)),'Courier_M '!L17," ")</f>
        <v>25.519594192504883</v>
      </c>
      <c r="BC13" s="334">
        <f t="shared" si="20"/>
        <v>-2.7335941925048814</v>
      </c>
      <c r="BD13" s="339">
        <f t="shared" si="21"/>
        <v>11.9968146778938</v>
      </c>
      <c r="BE13" s="334">
        <f>IF(AND(ISNUMBER('Laboratorio_M '!N15),ISNUMBER('Courier_M.'!N17)),Laboratorio_M!N15," ")</f>
        <v>0.104</v>
      </c>
      <c r="BF13" s="334">
        <f>IF(AND(ISNUMBER('Laboratorio_M '!N15),ISNUMBER('Courier_M.'!N17)),'Courier_M.'!N17," ")</f>
        <v>0.16438183188438416</v>
      </c>
      <c r="BG13" s="334">
        <f t="shared" si="22"/>
        <v>-6.038183188438416E-2</v>
      </c>
      <c r="BH13" s="339">
        <f t="shared" si="23"/>
        <v>58.059453734984764</v>
      </c>
      <c r="BI13" s="337">
        <f>IF(AND(ISNUMBER('Laboratorio_M '!P15),ISNUMBER('Courier_M.'!P17)),Laboratorio_M!P15," ")</f>
        <v>28.84</v>
      </c>
      <c r="BJ13" s="334">
        <f>IF(AND(ISNUMBER('Laboratorio_M '!P15),ISNUMBER('Courier_M '!P17)),'Courier_M '!P17," ")</f>
        <v>29.57487678527832</v>
      </c>
      <c r="BK13" s="334">
        <f t="shared" si="24"/>
        <v>-0.73487678527832045</v>
      </c>
      <c r="BL13" s="339">
        <f t="shared" si="25"/>
        <v>2.5481164538083236</v>
      </c>
      <c r="BM13" s="334">
        <f>IF(AND(ISNUMBER('Laboratorio_M '!R15),ISNUMBER('Courier_M '!R17)),'Laboratorio_M '!R15," ")</f>
        <v>2.198</v>
      </c>
      <c r="BN13" s="334">
        <f>IF(AND(ISNUMBER('Laboratorio_M '!R15),ISNUMBER('Courier_M '!R17)),'Courier_M '!R17," ")</f>
        <v>0.58700937032699585</v>
      </c>
      <c r="BO13" s="334">
        <f t="shared" si="33"/>
        <v>1.6109906296730041</v>
      </c>
      <c r="BP13" s="339">
        <f t="shared" si="26"/>
        <v>73.29347723717035</v>
      </c>
      <c r="BQ13" s="334">
        <f>IF(AND(ISNUMBER('Laboratorio_M '!T15),ISNUMBER('Courier_M '!T17)),'Laboratorio_M '!T15," ")</f>
        <v>51.384</v>
      </c>
      <c r="BR13" s="334">
        <f>IF(AND(ISNUMBER('Laboratorio_M '!T15),ISNUMBER('Courier_M '!T17)),'Courier_M '!T17," ")</f>
        <v>56.782024383544922</v>
      </c>
      <c r="BS13" s="334">
        <f t="shared" si="34"/>
        <v>-5.3980243835449215</v>
      </c>
      <c r="BT13" s="339">
        <f t="shared" si="35"/>
        <v>10.505263084899816</v>
      </c>
      <c r="BU13" s="334">
        <f>IF(AND(ISNUMBER('Laboratorio_M '!V15),ISNUMBER('Courier_M '!V17)),'Laboratorio_M '!V15," ")</f>
        <v>4.452</v>
      </c>
      <c r="BV13" s="334">
        <f>IF(AND(ISNUMBER('Laboratorio_M '!V15),ISNUMBER('Courier_M '!V17)),'Courier_M '!V17," ")</f>
        <v>0.76169872283935547</v>
      </c>
      <c r="BW13" s="334">
        <f t="shared" si="27"/>
        <v>3.6903012771606445</v>
      </c>
      <c r="BX13" s="339">
        <f t="shared" si="28"/>
        <v>82.890864266860845</v>
      </c>
    </row>
    <row r="14" spans="2:76" x14ac:dyDescent="0.2">
      <c r="C14" s="338">
        <f>IF(AND(ISNUMBER('Laboratorio_M '!E16),ISNUMBER('Courier_M '!E18)),'Laboratorio_M '!E16," ")</f>
        <v>21.393000000000001</v>
      </c>
      <c r="D14" s="334">
        <f>IF(AND(ISNUMBER('Laboratorio_M '!E16),ISNUMBER('Courier_M '!E18)),'Courier_M '!E18," ")</f>
        <v>23.831357955932617</v>
      </c>
      <c r="E14" s="334">
        <f t="shared" si="29"/>
        <v>-2.4383579559326165</v>
      </c>
      <c r="F14" s="339">
        <f t="shared" si="0"/>
        <v>11.39792434877117</v>
      </c>
      <c r="G14" s="334">
        <f>IF(AND(ISNUMBER('Laboratorio_M '!G16),ISNUMBER('Courier_M '!G18)),'Laboratorio_M '!G16," ")</f>
        <v>1.86</v>
      </c>
      <c r="H14" s="334">
        <f>IF(AND(ISNUMBER('Laboratorio_M '!G16),ISNUMBER('Courier_M '!G18)),'Courier_M '!G18," ")</f>
        <v>2.3223707675933838</v>
      </c>
      <c r="I14" s="334">
        <f t="shared" si="30"/>
        <v>-0.46237076759338369</v>
      </c>
      <c r="J14" s="339">
        <f t="shared" si="1"/>
        <v>24.858643418999122</v>
      </c>
      <c r="K14" s="334">
        <f>IF(AND(ISNUMBER('Laboratorio_M '!I16),ISNUMBER('Courier_M.'!I18)),Laboratorio_M!I16," ")</f>
        <v>27.75</v>
      </c>
      <c r="L14" s="334">
        <f>IF(AND(ISNUMBER('Laboratorio_M '!I16),ISNUMBER('Courier_M.'!I18)),'Courier_M.'!I18," ")</f>
        <v>28.879756927490234</v>
      </c>
      <c r="M14" s="334">
        <f t="shared" si="2"/>
        <v>-1.1297569274902344</v>
      </c>
      <c r="N14" s="339">
        <f t="shared" si="3"/>
        <v>4.0711961350999433</v>
      </c>
      <c r="O14" s="334">
        <f>IF(AND(AND(ISNUMBER('Laboratorio_M '!K16),ISNUMBER('Courier_M.'!K18)),AND('Laboratorio_M '!K16&gt;17,'Courier_M.'!K18&gt;17)),Laboratorio_M!K16," ")</f>
        <v>22.486999999999998</v>
      </c>
      <c r="P14" s="334">
        <f>IF(AND(AND(ISNUMBER('Laboratorio_M '!K16),ISNUMBER('Courier_M.'!K18)),AND(Laboratorio_M!K16&gt;17,'Courier_M.'!K18&gt;17)),'Courier_M.'!K18," ")</f>
        <v>25.068899154663086</v>
      </c>
      <c r="Q14" s="334">
        <f t="shared" si="4"/>
        <v>-2.5818991546630876</v>
      </c>
      <c r="R14" s="339">
        <f t="shared" si="5"/>
        <v>11.481741249002036</v>
      </c>
      <c r="S14" s="334">
        <f>IF(AND(ISNUMBER(Laboratorio_M!M16),ISNUMBER('Courier_M.'!M18)),Laboratorio_M!M16," ")</f>
        <v>0.106</v>
      </c>
      <c r="T14" s="334">
        <f>IF(AND(ISNUMBER('Laboratorio_M '!M16),ISNUMBER('Courier_M.'!M18)),'Courier_M.'!M18," ")</f>
        <v>0.28070893883705139</v>
      </c>
      <c r="U14" s="334">
        <f t="shared" si="6"/>
        <v>-0.17470893883705141</v>
      </c>
      <c r="V14" s="339">
        <f t="shared" si="7"/>
        <v>164.81975361985982</v>
      </c>
      <c r="W14" s="334">
        <f>IF(AND(AND(ISNUMBER('Laboratorio_M '!O16),ISNUMBER('Courier_M.'!O18)),AND(Laboratorio_M!O16&gt;20,'Courier_M.'!O18&gt;20)),Laboratorio_M!O16," ")</f>
        <v>30.01</v>
      </c>
      <c r="X14" s="334">
        <f>IF(AND(AND(ISNUMBER('Laboratorio_M '!O16),ISNUMBER('Courier_M.'!O18)),AND(Laboratorio_M!O16&gt;20,'Courier_M.'!O18&gt;20)),'Courier_M.'!O18," ")</f>
        <v>29.135675430297852</v>
      </c>
      <c r="Y14" s="334">
        <f t="shared" si="8"/>
        <v>0.87432456970215</v>
      </c>
      <c r="Z14" s="339">
        <f t="shared" si="9"/>
        <v>2.9134440843123959</v>
      </c>
      <c r="AA14" s="334">
        <f>IF(AND(ISNUMBER('Laboratorio_M '!Q16),ISNUMBER('Courier_M '!Q18)),'Laboratorio_M '!Q16," ")</f>
        <v>0.53300000000000003</v>
      </c>
      <c r="AB14" s="334">
        <f>IF(AND(ISNUMBER('Laboratorio_M '!Q16),ISNUMBER('Courier_M '!Q18)),'Courier_M '!Q18," ")</f>
        <v>0.62732428312301636</v>
      </c>
      <c r="AC14" s="334">
        <f t="shared" si="10"/>
        <v>-9.4324283123016328E-2</v>
      </c>
      <c r="AD14" s="339">
        <f t="shared" si="11"/>
        <v>17.696863625331392</v>
      </c>
      <c r="AE14" s="334">
        <f>IF(AND(ISNUMBER('Laboratorio_M '!S16),ISNUMBER('Courier_M '!S18)),'Laboratorio_M '!S16," ")</f>
        <v>57.165999999999997</v>
      </c>
      <c r="AF14" s="334">
        <f>IF(AND(ISNUMBER('Laboratorio_M '!S16),ISNUMBER('Courier_M '!S18)),'Courier_M '!S18," ")</f>
        <v>54.337448120117188</v>
      </c>
      <c r="AG14" s="334">
        <f t="shared" si="31"/>
        <v>2.8285518798828093</v>
      </c>
      <c r="AH14" s="339">
        <f t="shared" si="12"/>
        <v>4.9479618652394945</v>
      </c>
      <c r="AI14" s="334">
        <f>IF(AND(ISNUMBER('Laboratorio_M '!U16),ISNUMBER('Courier_M '!U18)),'Laboratorio_M '!U16," ")</f>
        <v>0.86399999999999999</v>
      </c>
      <c r="AJ14" s="334">
        <f>IF(AND(ISNUMBER('Laboratorio_M '!U16),ISNUMBER('Courier_M '!U18)),'Courier_M '!U18," ")</f>
        <v>1.2080948352813721</v>
      </c>
      <c r="AK14" s="334">
        <f t="shared" si="13"/>
        <v>-0.34409483528137208</v>
      </c>
      <c r="AL14" s="339">
        <f t="shared" si="14"/>
        <v>39.825791120529175</v>
      </c>
      <c r="AM14" s="334"/>
      <c r="AN14" s="334"/>
      <c r="AO14" s="338">
        <f>IF(AND(ISNUMBER('Laboratorio_M '!F16),ISNUMBER('Courier_M.'!F18)),Laboratorio_M!F16," ")</f>
        <v>21.492000000000001</v>
      </c>
      <c r="AP14" s="334">
        <f>IF(AND(ISNUMBER('Laboratorio_M '!F16),ISNUMBER('Courier_M.'!F18)),'Courier_M.'!F18," ")</f>
        <v>22.841638565063477</v>
      </c>
      <c r="AQ14" s="334">
        <f t="shared" si="15"/>
        <v>-1.3496385650634757</v>
      </c>
      <c r="AR14" s="339">
        <f t="shared" si="16"/>
        <v>6.2797253166921445</v>
      </c>
      <c r="AS14" s="334">
        <f>IF(AND(ISNUMBER('Laboratorio_M '!H16),ISNUMBER('Courier_M.'!H18)),Laboratorio_M!H16," ")</f>
        <v>3.2440000000000002</v>
      </c>
      <c r="AT14" s="334">
        <f>IF(AND(ISNUMBER('Laboratorio_M '!H16),ISNUMBER('Courier_M.'!H18)),'Courier_M.'!H18," ")</f>
        <v>3.1678712368011475</v>
      </c>
      <c r="AU14" s="334">
        <f t="shared" si="32"/>
        <v>7.6128763198852756E-2</v>
      </c>
      <c r="AV14" s="339">
        <f t="shared" si="17"/>
        <v>2.3467559555749924</v>
      </c>
      <c r="AW14" s="334">
        <f>IF(AND(ISNUMBER('Laboratorio_M '!J16),ISNUMBER('Courier_M.'!J18)),Laboratorio_M!J16," ")</f>
        <v>28.32</v>
      </c>
      <c r="AX14" s="334">
        <f>IF(AND(ISNUMBER('Laboratorio_M '!J16),ISNUMBER('Courier_M.'!J18)),'Courier_M.'!J18," ")</f>
        <v>28.103832244873047</v>
      </c>
      <c r="AY14" s="334">
        <f t="shared" si="18"/>
        <v>0.21616775512695341</v>
      </c>
      <c r="AZ14" s="339">
        <f t="shared" si="19"/>
        <v>0.76330422008105014</v>
      </c>
      <c r="BA14" s="334">
        <f>IF(AND(ISNUMBER('Laboratorio_M '!L16),ISNUMBER('Courier_M.'!L18)),Laboratorio_M!L16," ")</f>
        <v>22.786000000000001</v>
      </c>
      <c r="BB14" s="334">
        <f>IF(AND(ISNUMBER('Laboratorio_M '!L16),ISNUMBER('Courier_M '!L18)),'Courier_M '!L18," ")</f>
        <v>24.310548782348633</v>
      </c>
      <c r="BC14" s="334">
        <f t="shared" si="20"/>
        <v>-1.5245487823486314</v>
      </c>
      <c r="BD14" s="339">
        <f t="shared" si="21"/>
        <v>6.6907258068490796</v>
      </c>
      <c r="BE14" s="334">
        <f>IF(AND(ISNUMBER('Laboratorio_M '!N16),ISNUMBER('Courier_M.'!N18)),Laboratorio_M!N16," ")</f>
        <v>7.6999999999999999E-2</v>
      </c>
      <c r="BF14" s="334">
        <f>IF(AND(ISNUMBER('Laboratorio_M '!N16),ISNUMBER('Courier_M.'!N18)),'Courier_M.'!N18," ")</f>
        <v>0.26761573553085327</v>
      </c>
      <c r="BG14" s="334">
        <f t="shared" si="22"/>
        <v>-0.19061573553085326</v>
      </c>
      <c r="BH14" s="339">
        <f t="shared" si="23"/>
        <v>247.55290328682241</v>
      </c>
      <c r="BI14" s="337">
        <f>IF(AND(ISNUMBER('Laboratorio_M '!P16),ISNUMBER('Courier_M.'!P18)),Laboratorio_M!P16," ")</f>
        <v>29.97</v>
      </c>
      <c r="BJ14" s="334">
        <f>IF(AND(ISNUMBER('Laboratorio_M '!P16),ISNUMBER('Courier_M '!P18)),'Courier_M '!P18," ")</f>
        <v>28.948293685913086</v>
      </c>
      <c r="BK14" s="334">
        <f t="shared" si="24"/>
        <v>1.0217063140869129</v>
      </c>
      <c r="BL14" s="339">
        <f t="shared" si="25"/>
        <v>3.4090968104334771</v>
      </c>
      <c r="BM14" s="334">
        <f>IF(AND(ISNUMBER('Laboratorio_M '!R16),ISNUMBER('Courier_M '!R18)),'Laboratorio_M '!R16," ")</f>
        <v>0.72599999999999998</v>
      </c>
      <c r="BN14" s="334">
        <f>IF(AND(ISNUMBER('Laboratorio_M '!R16),ISNUMBER('Courier_M '!R18)),'Courier_M '!R18," ")</f>
        <v>0.67065083980560303</v>
      </c>
      <c r="BO14" s="334">
        <f t="shared" si="33"/>
        <v>5.5349160194396951E-2</v>
      </c>
      <c r="BP14" s="339">
        <f t="shared" si="26"/>
        <v>7.6238512664458611</v>
      </c>
      <c r="BQ14" s="334">
        <f>IF(AND(ISNUMBER('Laboratorio_M '!T16),ISNUMBER('Courier_M '!T18)),'Laboratorio_M '!T16," ")</f>
        <v>56.784999999999997</v>
      </c>
      <c r="BR14" s="334">
        <f>IF(AND(ISNUMBER('Laboratorio_M '!T16),ISNUMBER('Courier_M '!T18)),'Courier_M '!T18," ")</f>
        <v>53.728702545166016</v>
      </c>
      <c r="BS14" s="334">
        <f t="shared" si="34"/>
        <v>3.056297454833981</v>
      </c>
      <c r="BT14" s="339">
        <f t="shared" si="35"/>
        <v>5.3822267409245068</v>
      </c>
      <c r="BU14" s="334">
        <f>IF(AND(ISNUMBER('Laboratorio_M '!V16),ISNUMBER('Courier_M '!V18)),'Laboratorio_M '!V16," ")</f>
        <v>0.93100000000000005</v>
      </c>
      <c r="BV14" s="334">
        <f>IF(AND(ISNUMBER('Laboratorio_M '!V16),ISNUMBER('Courier_M '!V18)),'Courier_M '!V18," ")</f>
        <v>1.5019298791885376</v>
      </c>
      <c r="BW14" s="334">
        <f t="shared" si="27"/>
        <v>-0.57092987918853755</v>
      </c>
      <c r="BX14" s="339">
        <f t="shared" si="28"/>
        <v>61.324369408006177</v>
      </c>
    </row>
    <row r="15" spans="2:76" x14ac:dyDescent="0.2">
      <c r="C15" s="338">
        <f>IF(AND(ISNUMBER('Laboratorio_M '!E17),ISNUMBER('Courier_M '!E19)),'Laboratorio_M '!E17," ")</f>
        <v>21.640999999999998</v>
      </c>
      <c r="D15" s="334">
        <f>IF(AND(ISNUMBER('Laboratorio_M '!E17),ISNUMBER('Courier_M '!E19)),'Courier_M '!E19," ")</f>
        <v>22.674943923950195</v>
      </c>
      <c r="E15" s="334">
        <f t="shared" si="29"/>
        <v>-1.0339439239501971</v>
      </c>
      <c r="F15" s="339">
        <f t="shared" si="0"/>
        <v>4.7777086269127906</v>
      </c>
      <c r="G15" s="334">
        <f>IF(AND(ISNUMBER('Laboratorio_M '!G17),ISNUMBER('Courier_M '!G19)),'Laboratorio_M '!G17," ")</f>
        <v>2.0419999999999998</v>
      </c>
      <c r="H15" s="334">
        <f>IF(AND(ISNUMBER('Laboratorio_M '!G17),ISNUMBER('Courier_M '!G19)),'Courier_M '!G19," ")</f>
        <v>2.301372766494751</v>
      </c>
      <c r="I15" s="334">
        <f t="shared" si="30"/>
        <v>-0.25937276649475116</v>
      </c>
      <c r="J15" s="339">
        <f t="shared" si="1"/>
        <v>12.701898457137666</v>
      </c>
      <c r="K15" s="334">
        <f>IF(AND(ISNUMBER('Laboratorio_M '!I17),ISNUMBER('Courier_M.'!I19)),Laboratorio_M!I17," ")</f>
        <v>28.26</v>
      </c>
      <c r="L15" s="334">
        <f>IF(AND(ISNUMBER('Laboratorio_M '!I17),ISNUMBER('Courier_M.'!I19)),'Courier_M.'!I19," ")</f>
        <v>28.175008773803711</v>
      </c>
      <c r="M15" s="334">
        <f t="shared" si="2"/>
        <v>8.4991226196290626E-2</v>
      </c>
      <c r="N15" s="339">
        <f t="shared" si="3"/>
        <v>0.30074743876960586</v>
      </c>
      <c r="O15" s="334">
        <f>IF(AND(AND(ISNUMBER('Laboratorio_M '!K17),ISNUMBER('Courier_M.'!K19)),AND('Laboratorio_M '!K17&gt;17,'Courier_M.'!K19&gt;17)),Laboratorio_M!K17," ")</f>
        <v>22.885000000000002</v>
      </c>
      <c r="P15" s="334">
        <f>IF(AND(AND(ISNUMBER('Laboratorio_M '!K17),ISNUMBER('Courier_M.'!K19)),AND(Laboratorio_M!K17&gt;17,'Courier_M.'!K19&gt;17)),'Courier_M.'!K19," ")</f>
        <v>24.298362731933594</v>
      </c>
      <c r="Q15" s="334">
        <f t="shared" si="4"/>
        <v>-1.4133627319335922</v>
      </c>
      <c r="R15" s="339">
        <f t="shared" si="5"/>
        <v>6.175935031389959</v>
      </c>
      <c r="S15" s="334">
        <f>IF(AND(ISNUMBER(Laboratorio_M!M17),ISNUMBER('Courier_M.'!M19)),Laboratorio_M!M17," ")</f>
        <v>9.0999999999999998E-2</v>
      </c>
      <c r="T15" s="334">
        <f>IF(AND(ISNUMBER('Laboratorio_M '!M17),ISNUMBER('Courier_M.'!M19)),'Courier_M.'!M19," ")</f>
        <v>5.9297509491443634E-2</v>
      </c>
      <c r="U15" s="334">
        <f t="shared" si="6"/>
        <v>3.1702490508556364E-2</v>
      </c>
      <c r="V15" s="339">
        <f t="shared" si="7"/>
        <v>34.837901657754244</v>
      </c>
      <c r="W15" s="334">
        <f>IF(AND(AND(ISNUMBER('Laboratorio_M '!O17),ISNUMBER('Courier_M.'!O19)),AND(Laboratorio_M!O17&gt;20,'Courier_M.'!O19&gt;20)),Laboratorio_M!O17," ")</f>
        <v>29.3</v>
      </c>
      <c r="X15" s="334">
        <f>IF(AND(AND(ISNUMBER('Laboratorio_M '!O17),ISNUMBER('Courier_M.'!O19)),AND(Laboratorio_M!O17&gt;20,'Courier_M.'!O19&gt;20)),'Courier_M.'!O19," ")</f>
        <v>29.958515167236328</v>
      </c>
      <c r="Y15" s="334">
        <f t="shared" si="8"/>
        <v>-0.65851516723632741</v>
      </c>
      <c r="Z15" s="339">
        <f t="shared" si="9"/>
        <v>2.2474920383492405</v>
      </c>
      <c r="AA15" s="334">
        <f>IF(AND(ISNUMBER('Laboratorio_M '!Q17),ISNUMBER('Courier_M '!Q19)),'Laboratorio_M '!Q17," ")</f>
        <v>0.64500000000000002</v>
      </c>
      <c r="AB15" s="334">
        <f>IF(AND(ISNUMBER('Laboratorio_M '!Q17),ISNUMBER('Courier_M '!Q19)),'Courier_M '!Q19," ")</f>
        <v>0.70668315887451172</v>
      </c>
      <c r="AC15" s="334">
        <f t="shared" si="10"/>
        <v>-6.1683158874511701E-2</v>
      </c>
      <c r="AD15" s="339">
        <f t="shared" si="11"/>
        <v>9.5632804456607285</v>
      </c>
      <c r="AE15" s="334">
        <f>IF(AND(ISNUMBER('Laboratorio_M '!S17),ISNUMBER('Courier_M '!S19)),'Laboratorio_M '!S17," ")</f>
        <v>57.445</v>
      </c>
      <c r="AF15" s="334">
        <f>IF(AND(ISNUMBER('Laboratorio_M '!S17),ISNUMBER('Courier_M '!S19)),'Courier_M '!S19," ")</f>
        <v>54.885494232177734</v>
      </c>
      <c r="AG15" s="334">
        <f t="shared" si="31"/>
        <v>2.5595057678222659</v>
      </c>
      <c r="AH15" s="339">
        <f t="shared" si="12"/>
        <v>4.4555762343498406</v>
      </c>
      <c r="AI15" s="334">
        <f>IF(AND(ISNUMBER('Laboratorio_M '!U17),ISNUMBER('Courier_M '!U19)),'Laboratorio_M '!U17," ")</f>
        <v>0.80100000000000005</v>
      </c>
      <c r="AJ15" s="334">
        <f>IF(AND(ISNUMBER('Laboratorio_M '!U17),ISNUMBER('Courier_M '!U19)),'Courier_M '!U19," ")</f>
        <v>1.1374205350875854</v>
      </c>
      <c r="AK15" s="334">
        <f t="shared" si="13"/>
        <v>-0.3364205350875854</v>
      </c>
      <c r="AL15" s="339">
        <f t="shared" si="14"/>
        <v>42.000066802445119</v>
      </c>
      <c r="AM15" s="334"/>
      <c r="AN15" s="334"/>
      <c r="AO15" s="338">
        <f>IF(AND(ISNUMBER('Laboratorio_M '!F17),ISNUMBER('Courier_M.'!F19)),Laboratorio_M!F17," ")</f>
        <v>22.542999999999999</v>
      </c>
      <c r="AP15" s="334">
        <f>IF(AND(ISNUMBER('Laboratorio_M '!F17),ISNUMBER('Courier_M.'!F19)),'Courier_M.'!F19," ")</f>
        <v>23.641651153564453</v>
      </c>
      <c r="AQ15" s="334">
        <f t="shared" si="15"/>
        <v>-1.0986511535644539</v>
      </c>
      <c r="AR15" s="339">
        <f t="shared" si="16"/>
        <v>4.8735800628330477</v>
      </c>
      <c r="AS15" s="334">
        <f>IF(AND(ISNUMBER('Laboratorio_M '!H17),ISNUMBER('Courier_M.'!H19)),Laboratorio_M!H17," ")</f>
        <v>2.032</v>
      </c>
      <c r="AT15" s="334">
        <f>IF(AND(ISNUMBER('Laboratorio_M '!H17),ISNUMBER('Courier_M.'!H19)),'Courier_M.'!H19," ")</f>
        <v>1.8395191431045532</v>
      </c>
      <c r="AU15" s="334">
        <f t="shared" si="32"/>
        <v>0.19248085689544681</v>
      </c>
      <c r="AV15" s="339">
        <f t="shared" si="17"/>
        <v>9.4724831149334054</v>
      </c>
      <c r="AW15" s="334">
        <f>IF(AND(ISNUMBER('Laboratorio_M '!J17),ISNUMBER('Courier_M.'!J19)),Laboratorio_M!J17," ")</f>
        <v>28.09</v>
      </c>
      <c r="AX15" s="334">
        <f>IF(AND(ISNUMBER('Laboratorio_M '!J17),ISNUMBER('Courier_M.'!J19)),'Courier_M.'!J19," ")</f>
        <v>29.346792221069336</v>
      </c>
      <c r="AY15" s="334">
        <f t="shared" si="18"/>
        <v>-1.2567922210693361</v>
      </c>
      <c r="AZ15" s="339">
        <f t="shared" si="19"/>
        <v>4.4741624103571951</v>
      </c>
      <c r="BA15" s="334">
        <f>IF(AND(ISNUMBER('Laboratorio_M '!L17),ISNUMBER('Courier_M.'!L19)),Laboratorio_M!L17," ")</f>
        <v>24.132000000000001</v>
      </c>
      <c r="BB15" s="334">
        <f>IF(AND(ISNUMBER('Laboratorio_M '!L17),ISNUMBER('Courier_M '!L19)),'Courier_M '!L19," ")</f>
        <v>24.033393859863281</v>
      </c>
      <c r="BC15" s="334">
        <f t="shared" si="20"/>
        <v>9.86061401367202E-2</v>
      </c>
      <c r="BD15" s="339">
        <f t="shared" si="21"/>
        <v>0.40861155369103341</v>
      </c>
      <c r="BE15" s="334">
        <f>IF(AND(ISNUMBER('Laboratorio_M '!N17),ISNUMBER('Courier_M.'!N19)),Laboratorio_M!N17," ")</f>
        <v>3.5000000000000003E-2</v>
      </c>
      <c r="BF15" s="334">
        <f>IF(AND(ISNUMBER('Laboratorio_M '!N17),ISNUMBER('Courier_M.'!N19)),'Courier_M.'!N19," ")</f>
        <v>7.9983144998550415E-2</v>
      </c>
      <c r="BG15" s="334">
        <f t="shared" si="22"/>
        <v>-4.4983144998550412E-2</v>
      </c>
      <c r="BH15" s="339">
        <f t="shared" si="23"/>
        <v>128.52327142442974</v>
      </c>
      <c r="BI15" s="337">
        <f>IF(AND(ISNUMBER('Laboratorio_M '!P17),ISNUMBER('Courier_M.'!P19)),Laboratorio_M!P17," ")</f>
        <v>28.79</v>
      </c>
      <c r="BJ15" s="334">
        <f>IF(AND(ISNUMBER('Laboratorio_M '!P17),ISNUMBER('Courier_M '!P19)),'Courier_M '!P19," ")</f>
        <v>29.672199249267578</v>
      </c>
      <c r="BK15" s="334">
        <f t="shared" si="24"/>
        <v>-0.88219924926757898</v>
      </c>
      <c r="BL15" s="339">
        <f t="shared" si="25"/>
        <v>3.0642558154483468</v>
      </c>
      <c r="BM15" s="334">
        <f>IF(AND(ISNUMBER('Laboratorio_M '!R17),ISNUMBER('Courier_M '!R19)),'Laboratorio_M '!R17," ")</f>
        <v>1.099</v>
      </c>
      <c r="BN15" s="334">
        <f>IF(AND(ISNUMBER('Laboratorio_M '!R17),ISNUMBER('Courier_M '!R19)),'Courier_M '!R19," ")</f>
        <v>0.81929582357406616</v>
      </c>
      <c r="BO15" s="334">
        <f t="shared" si="33"/>
        <v>0.27970417642593381</v>
      </c>
      <c r="BP15" s="339">
        <f t="shared" si="26"/>
        <v>25.450789483706444</v>
      </c>
      <c r="BQ15" s="334">
        <f>IF(AND(ISNUMBER('Laboratorio_M '!T17),ISNUMBER('Courier_M '!T19)),'Laboratorio_M '!T17," ")</f>
        <v>56.451000000000001</v>
      </c>
      <c r="BR15" s="334">
        <f>IF(AND(ISNUMBER('Laboratorio_M '!T17),ISNUMBER('Courier_M '!T19)),'Courier_M '!T19," ")</f>
        <v>55.107204437255859</v>
      </c>
      <c r="BS15" s="334">
        <f t="shared" si="34"/>
        <v>1.3437955627441411</v>
      </c>
      <c r="BT15" s="339">
        <f t="shared" si="35"/>
        <v>2.3804636990383541</v>
      </c>
      <c r="BU15" s="334">
        <f>IF(AND(ISNUMBER('Laboratorio_M '!V17),ISNUMBER('Courier_M '!V19)),'Laboratorio_M '!V17," ")</f>
        <v>1.28</v>
      </c>
      <c r="BV15" s="334">
        <f>IF(AND(ISNUMBER('Laboratorio_M '!V17),ISNUMBER('Courier_M '!V19)),'Courier_M '!V19," ")</f>
        <v>1.2822182178497314</v>
      </c>
      <c r="BW15" s="334">
        <f t="shared" si="27"/>
        <v>-2.2182178497314187E-3</v>
      </c>
      <c r="BX15" s="339">
        <f t="shared" si="28"/>
        <v>0.17329826951026708</v>
      </c>
    </row>
    <row r="16" spans="2:76" x14ac:dyDescent="0.2">
      <c r="C16" s="338">
        <f>IF(AND(ISNUMBER('Laboratorio_M '!E18),ISNUMBER('Courier_M '!E20)),'Laboratorio_M '!E18," ")</f>
        <v>21.724</v>
      </c>
      <c r="D16" s="334">
        <f>IF(AND(ISNUMBER('Laboratorio_M '!E18),ISNUMBER('Courier_M '!E20)),'Courier_M '!E20," ")</f>
        <v>22.421327590942383</v>
      </c>
      <c r="E16" s="334">
        <f t="shared" si="29"/>
        <v>-0.69732759094238261</v>
      </c>
      <c r="F16" s="339">
        <f t="shared" si="0"/>
        <v>3.2099410372969186</v>
      </c>
      <c r="G16" s="334">
        <f>IF(AND(ISNUMBER('Laboratorio_M '!G18),ISNUMBER('Courier_M '!G20)),'Laboratorio_M '!G18," ")</f>
        <v>5.9749999999999996</v>
      </c>
      <c r="H16" s="334">
        <f>IF(AND(ISNUMBER('Laboratorio_M '!G18),ISNUMBER('Courier_M '!G20)),'Courier_M '!G20," ")</f>
        <v>4.3784956932067871</v>
      </c>
      <c r="I16" s="334">
        <f t="shared" si="30"/>
        <v>1.5965043067932125</v>
      </c>
      <c r="J16" s="339">
        <f t="shared" si="1"/>
        <v>26.719737352187661</v>
      </c>
      <c r="K16" s="334">
        <f>IF(AND(ISNUMBER('Laboratorio_M '!I18),ISNUMBER('Courier_M.'!I20)),Laboratorio_M!I18," ")</f>
        <v>26.67</v>
      </c>
      <c r="L16" s="334">
        <f>IF(AND(ISNUMBER('Laboratorio_M '!I18),ISNUMBER('Courier_M.'!I20)),'Courier_M.'!I20," ")</f>
        <v>27.547765731811523</v>
      </c>
      <c r="M16" s="334">
        <f t="shared" si="2"/>
        <v>-0.87776573181152173</v>
      </c>
      <c r="N16" s="339">
        <f t="shared" si="3"/>
        <v>3.2912100930315775</v>
      </c>
      <c r="O16" s="334">
        <f>IF(AND(AND(ISNUMBER('Laboratorio_M '!K18),ISNUMBER('Courier_M.'!K20)),AND('Laboratorio_M '!K18&gt;17,'Courier_M.'!K20&gt;17)),Laboratorio_M!K18," ")</f>
        <v>22.841000000000001</v>
      </c>
      <c r="P16" s="334">
        <f>IF(AND(AND(ISNUMBER('Laboratorio_M '!K18),ISNUMBER('Courier_M.'!K20)),AND(Laboratorio_M!K18&gt;17,'Courier_M.'!K20&gt;17)),'Courier_M.'!K20," ")</f>
        <v>22.300138473510742</v>
      </c>
      <c r="Q16" s="334">
        <f t="shared" si="4"/>
        <v>0.54086152648925889</v>
      </c>
      <c r="R16" s="339">
        <f t="shared" si="5"/>
        <v>2.3679415371010855</v>
      </c>
      <c r="S16" s="334">
        <f>IF(AND(ISNUMBER(Laboratorio_M!M18),ISNUMBER('Courier_M.'!M20)),Laboratorio_M!M18," ")</f>
        <v>6.7000000000000004E-2</v>
      </c>
      <c r="T16" s="334">
        <f>IF(AND(ISNUMBER('Laboratorio_M '!M18),ISNUMBER('Courier_M.'!M20)),'Courier_M.'!M20," ")</f>
        <v>0.43560272455215454</v>
      </c>
      <c r="U16" s="334">
        <f t="shared" si="6"/>
        <v>-0.36860272455215454</v>
      </c>
      <c r="V16" s="339">
        <f t="shared" si="7"/>
        <v>550.15332022709629</v>
      </c>
      <c r="W16" s="334">
        <f>IF(AND(AND(ISNUMBER('Laboratorio_M '!O18),ISNUMBER('Courier_M.'!O20)),AND(Laboratorio_M!O18&gt;20,'Courier_M.'!O20&gt;20)),Laboratorio_M!O18," ")</f>
        <v>28.91</v>
      </c>
      <c r="X16" s="334">
        <f>IF(AND(AND(ISNUMBER('Laboratorio_M '!O18),ISNUMBER('Courier_M.'!O20)),AND(Laboratorio_M!O18&gt;20,'Courier_M.'!O20&gt;20)),'Courier_M.'!O20," ")</f>
        <v>28.917024612426758</v>
      </c>
      <c r="Y16" s="334">
        <f t="shared" si="8"/>
        <v>-7.0246124267576704E-3</v>
      </c>
      <c r="Z16" s="339">
        <f t="shared" si="9"/>
        <v>2.4298209708604881E-2</v>
      </c>
      <c r="AA16" s="334">
        <f>IF(AND(ISNUMBER('Laboratorio_M '!Q18),ISNUMBER('Courier_M '!Q20)),'Laboratorio_M '!Q18," ")</f>
        <v>0.92800000000000005</v>
      </c>
      <c r="AB16" s="334">
        <f>IF(AND(ISNUMBER('Laboratorio_M '!Q18),ISNUMBER('Courier_M '!Q20)),'Courier_M '!Q20," ")</f>
        <v>0.85306304693222046</v>
      </c>
      <c r="AC16" s="334">
        <f t="shared" si="10"/>
        <v>7.4936953067779588E-2</v>
      </c>
      <c r="AD16" s="339">
        <f t="shared" si="11"/>
        <v>8.0751027012693513</v>
      </c>
      <c r="AE16" s="334">
        <f>IF(AND(ISNUMBER('Laboratorio_M '!S18),ISNUMBER('Courier_M '!S20)),'Laboratorio_M '!S18," ")</f>
        <v>57.02</v>
      </c>
      <c r="AF16" s="334">
        <f>IF(AND(ISNUMBER('Laboratorio_M '!S18),ISNUMBER('Courier_M '!S20)),'Courier_M '!S20," ")</f>
        <v>54.821846008300781</v>
      </c>
      <c r="AG16" s="334">
        <f t="shared" si="31"/>
        <v>2.1981539916992219</v>
      </c>
      <c r="AH16" s="339">
        <f t="shared" si="12"/>
        <v>3.8550578598723635</v>
      </c>
      <c r="AI16" s="334">
        <f>IF(AND(ISNUMBER('Laboratorio_M '!U18),ISNUMBER('Courier_M '!U20)),'Laboratorio_M '!U18," ")</f>
        <v>1.0820000000000001</v>
      </c>
      <c r="AJ16" s="334">
        <f>IF(AND(ISNUMBER('Laboratorio_M '!U18),ISNUMBER('Courier_M '!U20)),'Courier_M '!U20," ")</f>
        <v>1.3860952854156494</v>
      </c>
      <c r="AK16" s="334">
        <f t="shared" si="13"/>
        <v>-0.30409528541564934</v>
      </c>
      <c r="AL16" s="339">
        <f t="shared" si="14"/>
        <v>28.104924714939862</v>
      </c>
      <c r="AM16" s="334"/>
      <c r="AN16" s="334"/>
      <c r="AO16" s="338">
        <f>IF(AND(ISNUMBER('Laboratorio_M '!F18),ISNUMBER('Courier_M.'!F20)),Laboratorio_M!F18," ")</f>
        <v>22.189</v>
      </c>
      <c r="AP16" s="334">
        <f>IF(AND(ISNUMBER('Laboratorio_M '!F18),ISNUMBER('Courier_M.'!F20)),'Courier_M.'!F20," ")</f>
        <v>22.577163696289063</v>
      </c>
      <c r="AQ16" s="334">
        <f t="shared" si="15"/>
        <v>-0.38816369628906244</v>
      </c>
      <c r="AR16" s="339">
        <f t="shared" si="16"/>
        <v>1.7493519144128282</v>
      </c>
      <c r="AS16" s="334">
        <f>IF(AND(ISNUMBER('Laboratorio_M '!H18),ISNUMBER('Courier_M.'!H20)),Laboratorio_M!H18," ")</f>
        <v>2.98</v>
      </c>
      <c r="AT16" s="334">
        <f>IF(AND(ISNUMBER('Laboratorio_M '!H18),ISNUMBER('Courier_M.'!H20)),'Courier_M.'!H20," ")</f>
        <v>4.0803060531616211</v>
      </c>
      <c r="AU16" s="334">
        <f t="shared" si="32"/>
        <v>-1.1003060531616211</v>
      </c>
      <c r="AV16" s="339">
        <f t="shared" si="17"/>
        <v>36.923021918175202</v>
      </c>
      <c r="AW16" s="334">
        <f>IF(AND(ISNUMBER('Laboratorio_M '!J18),ISNUMBER('Courier_M.'!J20)),Laboratorio_M!J18," ")</f>
        <v>25.99</v>
      </c>
      <c r="AX16" s="334">
        <f>IF(AND(ISNUMBER('Laboratorio_M '!J18),ISNUMBER('Courier_M.'!J20)),'Courier_M.'!J20," ")</f>
        <v>27.947559356689453</v>
      </c>
      <c r="AY16" s="334">
        <f t="shared" si="18"/>
        <v>-1.9575593566894547</v>
      </c>
      <c r="AZ16" s="339">
        <f t="shared" si="19"/>
        <v>7.5319713608674679</v>
      </c>
      <c r="BA16" s="334">
        <f>IF(AND(ISNUMBER('Laboratorio_M '!L18),ISNUMBER('Courier_M.'!L20)),Laboratorio_M!L18," ")</f>
        <v>22.885000000000002</v>
      </c>
      <c r="BB16" s="334">
        <f>IF(AND(ISNUMBER('Laboratorio_M '!L18),ISNUMBER('Courier_M '!L20)),'Courier_M '!L20," ")</f>
        <v>23.689096450805664</v>
      </c>
      <c r="BC16" s="334">
        <f t="shared" si="20"/>
        <v>-0.8040964508056625</v>
      </c>
      <c r="BD16" s="339">
        <f t="shared" si="21"/>
        <v>3.5136397238613171</v>
      </c>
      <c r="BE16" s="334">
        <f>IF(AND(ISNUMBER('Laboratorio_M '!N18),ISNUMBER('Courier_M.'!N20)),Laboratorio_M!N18," ")</f>
        <v>7.5999999999999998E-2</v>
      </c>
      <c r="BF16" s="334">
        <f>IF(AND(ISNUMBER('Laboratorio_M '!N18),ISNUMBER('Courier_M.'!N20)),'Courier_M.'!N20," ")</f>
        <v>0.14035680890083313</v>
      </c>
      <c r="BG16" s="334">
        <f t="shared" si="22"/>
        <v>-6.4356808900833132E-2</v>
      </c>
      <c r="BH16" s="339">
        <f t="shared" si="23"/>
        <v>84.680011711622555</v>
      </c>
      <c r="BI16" s="337">
        <f>IF(AND(ISNUMBER('Laboratorio_M '!P18),ISNUMBER('Courier_M.'!P20)),Laboratorio_M!P18," ")</f>
        <v>28.51</v>
      </c>
      <c r="BJ16" s="334">
        <f>IF(AND(ISNUMBER('Laboratorio_M '!P18),ISNUMBER('Courier_M '!P20)),'Courier_M '!P20," ")</f>
        <v>29.494268417358398</v>
      </c>
      <c r="BK16" s="334">
        <f t="shared" si="24"/>
        <v>-0.98426841735839687</v>
      </c>
      <c r="BL16" s="339">
        <f t="shared" si="25"/>
        <v>3.4523620391385368</v>
      </c>
      <c r="BM16" s="334">
        <f>IF(AND(ISNUMBER('Laboratorio_M '!R18),ISNUMBER('Courier_M '!R20)),'Laboratorio_M '!R18," ")</f>
        <v>0.78200000000000003</v>
      </c>
      <c r="BN16" s="334">
        <f>IF(AND(ISNUMBER('Laboratorio_M '!R18),ISNUMBER('Courier_M '!R20)),'Courier_M '!R20," ")</f>
        <v>0.93724614381790161</v>
      </c>
      <c r="BO16" s="334">
        <f t="shared" si="33"/>
        <v>-0.15524614381790158</v>
      </c>
      <c r="BP16" s="339">
        <f t="shared" si="26"/>
        <v>19.85244805855519</v>
      </c>
      <c r="BQ16" s="334">
        <f>IF(AND(ISNUMBER('Laboratorio_M '!T18),ISNUMBER('Courier_M '!T20)),'Laboratorio_M '!T18," ")</f>
        <v>57.246000000000002</v>
      </c>
      <c r="BR16" s="334">
        <f>IF(AND(ISNUMBER('Laboratorio_M '!T18),ISNUMBER('Courier_M '!T20)),'Courier_M '!T20," ")</f>
        <v>56.847740173339844</v>
      </c>
      <c r="BS16" s="334">
        <f t="shared" si="34"/>
        <v>0.39825982666015847</v>
      </c>
      <c r="BT16" s="339">
        <f t="shared" si="35"/>
        <v>0.69569896003241882</v>
      </c>
      <c r="BU16" s="334">
        <f>IF(AND(ISNUMBER('Laboratorio_M '!V18),ISNUMBER('Courier_M '!V20)),'Laboratorio_M '!V18," ")</f>
        <v>0.85699999999999998</v>
      </c>
      <c r="BV16" s="334">
        <f>IF(AND(ISNUMBER('Laboratorio_M '!V18),ISNUMBER('Courier_M '!V20)),'Courier_M '!V20," ")</f>
        <v>1.0358563661575317</v>
      </c>
      <c r="BW16" s="334">
        <f t="shared" si="27"/>
        <v>-0.17885636615753175</v>
      </c>
      <c r="BX16" s="339">
        <f t="shared" si="28"/>
        <v>20.870054394111058</v>
      </c>
    </row>
    <row r="17" spans="3:76" x14ac:dyDescent="0.2">
      <c r="C17" s="338">
        <f>IF(AND(ISNUMBER('Laboratorio_M '!E19),ISNUMBER('Courier_M '!E21)),'Laboratorio_M '!E19," ")</f>
        <v>22.251999999999999</v>
      </c>
      <c r="D17" s="334">
        <f>IF(AND(ISNUMBER('Laboratorio_M '!E19),ISNUMBER('Courier_M '!E21)),'Courier_M '!E21," ")</f>
        <v>22.439613342285156</v>
      </c>
      <c r="E17" s="334">
        <f t="shared" si="29"/>
        <v>-0.18761334228515736</v>
      </c>
      <c r="F17" s="339">
        <f t="shared" si="0"/>
        <v>0.84313024575389783</v>
      </c>
      <c r="G17" s="334">
        <f>IF(AND(ISNUMBER('Laboratorio_M '!G19),ISNUMBER('Courier_M '!G21)),'Laboratorio_M '!G19," ")</f>
        <v>2.2480000000000002</v>
      </c>
      <c r="H17" s="334">
        <f>IF(AND(ISNUMBER('Laboratorio_M '!G19),ISNUMBER('Courier_M '!G21)),'Courier_M '!G21," ")</f>
        <v>2.3282473087310791</v>
      </c>
      <c r="I17" s="334">
        <f t="shared" si="30"/>
        <v>-8.0247308731078881E-2</v>
      </c>
      <c r="J17" s="339">
        <f t="shared" si="1"/>
        <v>3.5697201392828677</v>
      </c>
      <c r="K17" s="334">
        <f>IF(AND(ISNUMBER('Laboratorio_M '!I19),ISNUMBER('Courier_M.'!I21)),Laboratorio_M!I19," ")</f>
        <v>27.56</v>
      </c>
      <c r="L17" s="334">
        <f>IF(AND(ISNUMBER('Laboratorio_M '!I19),ISNUMBER('Courier_M.'!I21)),'Courier_M.'!I21," ")</f>
        <v>28.225917816162109</v>
      </c>
      <c r="M17" s="334">
        <f t="shared" si="2"/>
        <v>-0.66591781616211065</v>
      </c>
      <c r="N17" s="339">
        <f t="shared" si="3"/>
        <v>2.4162475187304451</v>
      </c>
      <c r="O17" s="334">
        <f>IF(AND(AND(ISNUMBER('Laboratorio_M '!K19),ISNUMBER('Courier_M.'!K21)),AND('Laboratorio_M '!K19&gt;17,'Courier_M.'!K21&gt;17)),Laboratorio_M!K19," ")</f>
        <v>23.391999999999999</v>
      </c>
      <c r="P17" s="334">
        <f>IF(AND(AND(ISNUMBER('Laboratorio_M '!K19),ISNUMBER('Courier_M.'!K21)),AND(Laboratorio_M!K19&gt;17,'Courier_M.'!K21&gt;17)),'Courier_M.'!K21," ")</f>
        <v>20.800651550292969</v>
      </c>
      <c r="Q17" s="334">
        <f t="shared" si="4"/>
        <v>2.5913484497070307</v>
      </c>
      <c r="R17" s="339">
        <f t="shared" si="5"/>
        <v>11.077925999089564</v>
      </c>
      <c r="S17" s="334">
        <f>IF(AND(ISNUMBER(Laboratorio_M!M19),ISNUMBER('Courier_M.'!M21)),Laboratorio_M!M19," ")</f>
        <v>4.9000000000000002E-2</v>
      </c>
      <c r="T17" s="334">
        <f>IF(AND(ISNUMBER('Laboratorio_M '!M19),ISNUMBER('Courier_M.'!M21)),'Courier_M.'!M21," ")</f>
        <v>0.22028069198131561</v>
      </c>
      <c r="U17" s="334">
        <f t="shared" si="6"/>
        <v>-0.17128069198131562</v>
      </c>
      <c r="V17" s="339">
        <f t="shared" si="7"/>
        <v>349.55243261492984</v>
      </c>
      <c r="W17" s="334">
        <f>IF(AND(AND(ISNUMBER('Laboratorio_M '!O19),ISNUMBER('Courier_M.'!O21)),AND(Laboratorio_M!O19&gt;20,'Courier_M.'!O21&gt;20)),Laboratorio_M!O19," ")</f>
        <v>28.42</v>
      </c>
      <c r="X17" s="334">
        <f>IF(AND(AND(ISNUMBER('Laboratorio_M '!O19),ISNUMBER('Courier_M.'!O21)),AND(Laboratorio_M!O19&gt;20,'Courier_M.'!O21&gt;20)),'Courier_M.'!O21," ")</f>
        <v>29.250423431396484</v>
      </c>
      <c r="Y17" s="334">
        <f t="shared" si="8"/>
        <v>-0.83042343139648267</v>
      </c>
      <c r="Z17" s="339">
        <f t="shared" si="9"/>
        <v>2.9219684426336476</v>
      </c>
      <c r="AA17" s="334">
        <f>IF(AND(ISNUMBER('Laboratorio_M '!Q19),ISNUMBER('Courier_M '!Q21)),'Laboratorio_M '!Q19," ")</f>
        <v>0.56999999999999995</v>
      </c>
      <c r="AB17" s="334">
        <f>IF(AND(ISNUMBER('Laboratorio_M '!Q19),ISNUMBER('Courier_M '!Q21)),'Courier_M '!Q21," ")</f>
        <v>0.90241354703903198</v>
      </c>
      <c r="AC17" s="334">
        <f t="shared" si="10"/>
        <v>-0.33241354703903203</v>
      </c>
      <c r="AD17" s="339">
        <f t="shared" si="11"/>
        <v>58.318166147198603</v>
      </c>
      <c r="AE17" s="334">
        <f>IF(AND(ISNUMBER('Laboratorio_M '!S19),ISNUMBER('Courier_M '!S21)),'Laboratorio_M '!S19," ")</f>
        <v>58.036999999999999</v>
      </c>
      <c r="AF17" s="334">
        <f>IF(AND(ISNUMBER('Laboratorio_M '!S19),ISNUMBER('Courier_M '!S21)),'Courier_M '!S21," ")</f>
        <v>56.794994354248047</v>
      </c>
      <c r="AG17" s="334">
        <f t="shared" si="31"/>
        <v>1.2420056457519522</v>
      </c>
      <c r="AH17" s="339">
        <f t="shared" si="12"/>
        <v>2.1400238567671521</v>
      </c>
      <c r="AI17" s="334">
        <f>IF(AND(ISNUMBER('Laboratorio_M '!U19),ISNUMBER('Courier_M '!U21)),'Laboratorio_M '!U19," ")</f>
        <v>0.65</v>
      </c>
      <c r="AJ17" s="334">
        <f>IF(AND(ISNUMBER('Laboratorio_M '!U19),ISNUMBER('Courier_M '!U21)),'Courier_M '!U21," ")</f>
        <v>0.92830365896224976</v>
      </c>
      <c r="AK17" s="334">
        <f t="shared" si="13"/>
        <v>-0.27830365896224973</v>
      </c>
      <c r="AL17" s="339">
        <f t="shared" si="14"/>
        <v>42.815947532653801</v>
      </c>
      <c r="AM17" s="334"/>
      <c r="AN17" s="334"/>
      <c r="AO17" s="338">
        <f>IF(AND(ISNUMBER('Laboratorio_M '!F19),ISNUMBER('Courier_M.'!F21)),Laboratorio_M!F19," ")</f>
        <v>22.593</v>
      </c>
      <c r="AP17" s="334">
        <f>IF(AND(ISNUMBER('Laboratorio_M '!F19),ISNUMBER('Courier_M.'!F21)),'Courier_M.'!F21," ")</f>
        <v>22.115400314331055</v>
      </c>
      <c r="AQ17" s="334">
        <f t="shared" si="15"/>
        <v>0.47759968566894528</v>
      </c>
      <c r="AR17" s="339">
        <f t="shared" si="16"/>
        <v>2.1139277018056268</v>
      </c>
      <c r="AS17" s="334">
        <f>IF(AND(ISNUMBER('Laboratorio_M '!H19),ISNUMBER('Courier_M.'!H21)),Laboratorio_M!H19," ")</f>
        <v>4.2629999999999999</v>
      </c>
      <c r="AT17" s="334">
        <f>IF(AND(ISNUMBER('Laboratorio_M '!H19),ISNUMBER('Courier_M.'!H21)),'Courier_M.'!H21," ")</f>
        <v>2.5708036422729492</v>
      </c>
      <c r="AU17" s="334">
        <f t="shared" si="32"/>
        <v>1.6921963577270507</v>
      </c>
      <c r="AV17" s="339">
        <f t="shared" si="17"/>
        <v>39.694964994770132</v>
      </c>
      <c r="AW17" s="334">
        <f>IF(AND(ISNUMBER('Laboratorio_M '!J19),ISNUMBER('Courier_M.'!J21)),Laboratorio_M!J19," ")</f>
        <v>25.83</v>
      </c>
      <c r="AX17" s="334">
        <f>IF(AND(ISNUMBER('Laboratorio_M '!J19),ISNUMBER('Courier_M.'!J21)),'Courier_M.'!J21," ")</f>
        <v>26.804603576660156</v>
      </c>
      <c r="AY17" s="334">
        <f t="shared" si="18"/>
        <v>-0.97460357666015796</v>
      </c>
      <c r="AZ17" s="339">
        <f t="shared" si="19"/>
        <v>3.7731458639572515</v>
      </c>
      <c r="BA17" s="334">
        <f>IF(AND(ISNUMBER('Laboratorio_M '!L19),ISNUMBER('Courier_M.'!L21)),Laboratorio_M!L19," ")</f>
        <v>23.785</v>
      </c>
      <c r="BB17" s="334">
        <f>IF(AND(ISNUMBER('Laboratorio_M '!L19),ISNUMBER('Courier_M '!L21)),'Courier_M '!L21," ")</f>
        <v>22.796459197998047</v>
      </c>
      <c r="BC17" s="334">
        <f t="shared" si="20"/>
        <v>0.98854080200195327</v>
      </c>
      <c r="BD17" s="339">
        <f t="shared" si="21"/>
        <v>4.1561522051795388</v>
      </c>
      <c r="BE17" s="334">
        <f>IF(AND(ISNUMBER('Laboratorio_M '!N19),ISNUMBER('Courier_M.'!N21)),Laboratorio_M!N19," ")</f>
        <v>8.5999999999999993E-2</v>
      </c>
      <c r="BF17" s="334">
        <f>IF(AND(ISNUMBER('Laboratorio_M '!N19),ISNUMBER('Courier_M.'!N21)),'Courier_M.'!N21," ")</f>
        <v>0.1689692884683609</v>
      </c>
      <c r="BG17" s="334">
        <f t="shared" si="22"/>
        <v>-8.2969288468360908E-2</v>
      </c>
      <c r="BH17" s="339">
        <f t="shared" si="23"/>
        <v>96.475916823675476</v>
      </c>
      <c r="BI17" s="337">
        <f>IF(AND(ISNUMBER('Laboratorio_M '!P19),ISNUMBER('Courier_M.'!P21)),Laboratorio_M!P19," ")</f>
        <v>29.19</v>
      </c>
      <c r="BJ17" s="334">
        <f>IF(AND(ISNUMBER('Laboratorio_M '!P19),ISNUMBER('Courier_M '!P21)),'Courier_M '!P21," ")</f>
        <v>28.970615386962891</v>
      </c>
      <c r="BK17" s="334">
        <f t="shared" si="24"/>
        <v>0.21938461303711065</v>
      </c>
      <c r="BL17" s="339">
        <f t="shared" si="25"/>
        <v>0.75157455648205085</v>
      </c>
      <c r="BM17" s="334">
        <f>IF(AND(ISNUMBER('Laboratorio_M '!R19),ISNUMBER('Courier_M '!R21)),'Laboratorio_M '!R19," ")</f>
        <v>0.53700000000000003</v>
      </c>
      <c r="BN17" s="334">
        <f>IF(AND(ISNUMBER('Laboratorio_M '!R19),ISNUMBER('Courier_M '!R21)),'Courier_M '!R21," ")</f>
        <v>0.77111351490020752</v>
      </c>
      <c r="BO17" s="334">
        <f t="shared" si="33"/>
        <v>-0.23411351490020749</v>
      </c>
      <c r="BP17" s="339">
        <f t="shared" si="26"/>
        <v>43.596557709535844</v>
      </c>
      <c r="BQ17" s="334">
        <f>IF(AND(ISNUMBER('Laboratorio_M '!T19),ISNUMBER('Courier_M '!T21)),'Laboratorio_M '!T19," ")</f>
        <v>57.472000000000001</v>
      </c>
      <c r="BR17" s="334">
        <f>IF(AND(ISNUMBER('Laboratorio_M '!T19),ISNUMBER('Courier_M '!T21)),'Courier_M '!T21," ")</f>
        <v>56.340744018554688</v>
      </c>
      <c r="BS17" s="334">
        <f t="shared" si="34"/>
        <v>1.1312559814453138</v>
      </c>
      <c r="BT17" s="339">
        <f t="shared" si="35"/>
        <v>1.9683602127041233</v>
      </c>
      <c r="BU17" s="334">
        <f>IF(AND(ISNUMBER('Laboratorio_M '!V19),ISNUMBER('Courier_M '!V21)),'Laboratorio_M '!V19," ")</f>
        <v>0.71199999999999997</v>
      </c>
      <c r="BV17" s="334">
        <f>IF(AND(ISNUMBER('Laboratorio_M '!V19),ISNUMBER('Courier_M '!V21)),'Courier_M '!V21," ")</f>
        <v>0.78384280204772949</v>
      </c>
      <c r="BW17" s="334">
        <f t="shared" si="27"/>
        <v>-7.1842802047729526E-2</v>
      </c>
      <c r="BX17" s="339">
        <f t="shared" si="28"/>
        <v>10.090281186478867</v>
      </c>
    </row>
    <row r="18" spans="3:76" x14ac:dyDescent="0.2">
      <c r="C18" s="338">
        <f>IF(AND(ISNUMBER('Laboratorio_M '!E20),ISNUMBER('Courier_M '!E22)),'Laboratorio_M '!E20," ")</f>
        <v>22.55</v>
      </c>
      <c r="D18" s="334">
        <f>IF(AND(ISNUMBER('Laboratorio_M '!E20),ISNUMBER('Courier_M '!E22)),'Courier_M '!E22," ")</f>
        <v>22.115400314331055</v>
      </c>
      <c r="E18" s="334">
        <f t="shared" si="29"/>
        <v>0.43459968566894602</v>
      </c>
      <c r="F18" s="339">
        <f t="shared" si="0"/>
        <v>1.9272713333434413</v>
      </c>
      <c r="G18" s="334">
        <f>IF(AND(ISNUMBER('Laboratorio_M '!G20),ISNUMBER('Courier_M '!G22)),'Laboratorio_M '!G20," ")</f>
        <v>2.2709999999999999</v>
      </c>
      <c r="H18" s="334">
        <f>IF(AND(ISNUMBER('Laboratorio_M '!G20),ISNUMBER('Courier_M '!G22)),'Courier_M '!G22," ")</f>
        <v>2.5708036422729492</v>
      </c>
      <c r="I18" s="334">
        <f t="shared" si="30"/>
        <v>-0.29980364227294931</v>
      </c>
      <c r="J18" s="339">
        <f t="shared" si="1"/>
        <v>13.201393318932158</v>
      </c>
      <c r="K18" s="334">
        <f>IF(AND(ISNUMBER('Laboratorio_M '!I20),ISNUMBER('Courier_M.'!I22)),Laboratorio_M!I20," ")</f>
        <v>28.12</v>
      </c>
      <c r="L18" s="334">
        <f>IF(AND(ISNUMBER('Laboratorio_M '!I20),ISNUMBER('Courier_M.'!I22)),'Courier_M.'!I22," ")</f>
        <v>26.804603576660156</v>
      </c>
      <c r="M18" s="334">
        <f t="shared" si="2"/>
        <v>1.3153964233398447</v>
      </c>
      <c r="N18" s="339">
        <f t="shared" si="3"/>
        <v>4.6777966690606139</v>
      </c>
      <c r="O18" s="334">
        <f>IF(AND(AND(ISNUMBER('Laboratorio_M '!K20),ISNUMBER('Courier_M.'!K22)),AND('Laboratorio_M '!K20&gt;17,'Courier_M.'!K22&gt;17)),Laboratorio_M!K20," ")</f>
        <v>23.541</v>
      </c>
      <c r="P18" s="334">
        <f>IF(AND(AND(ISNUMBER('Laboratorio_M '!K20),ISNUMBER('Courier_M.'!K22)),AND(Laboratorio_M!K20&gt;17,'Courier_M.'!K22&gt;17)),'Courier_M.'!K22," ")</f>
        <v>22.796459197998047</v>
      </c>
      <c r="Q18" s="334">
        <f t="shared" si="4"/>
        <v>0.74454080200195349</v>
      </c>
      <c r="R18" s="339">
        <f t="shared" si="5"/>
        <v>3.1627407586846497</v>
      </c>
      <c r="S18" s="334">
        <f>IF(AND(ISNUMBER(Laboratorio_M!M20),ISNUMBER('Courier_M.'!M22)),Laboratorio_M!M20," ")</f>
        <v>0.05</v>
      </c>
      <c r="T18" s="334">
        <f>IF(AND(ISNUMBER('Laboratorio_M '!M20),ISNUMBER('Courier_M.'!M22)),'Courier_M.'!M22," ")</f>
        <v>0.1689692884683609</v>
      </c>
      <c r="U18" s="334">
        <f t="shared" si="6"/>
        <v>-0.1189692884683609</v>
      </c>
      <c r="V18" s="339">
        <f t="shared" si="7"/>
        <v>237.9385769367218</v>
      </c>
      <c r="W18" s="334">
        <f>IF(AND(AND(ISNUMBER('Laboratorio_M '!O20),ISNUMBER('Courier_M.'!O22)),AND(Laboratorio_M!O20&gt;20,'Courier_M.'!O22&gt;20)),Laboratorio_M!O20," ")</f>
        <v>29.26</v>
      </c>
      <c r="X18" s="334">
        <f>IF(AND(AND(ISNUMBER('Laboratorio_M '!O20),ISNUMBER('Courier_M.'!O22)),AND(Laboratorio_M!O20&gt;20,'Courier_M.'!O22&gt;20)),'Courier_M.'!O22," ")</f>
        <v>28.970615386962891</v>
      </c>
      <c r="Y18" s="334">
        <f t="shared" si="8"/>
        <v>0.28938461303711094</v>
      </c>
      <c r="Z18" s="339">
        <f t="shared" si="9"/>
        <v>0.98901098098807561</v>
      </c>
      <c r="AA18" s="334" t="str">
        <f>IF(AND(ISNUMBER('Laboratorio_M '!Q20),ISNUMBER('Courier_M '!Q22)),'Laboratorio_M '!Q20," ")</f>
        <v xml:space="preserve"> </v>
      </c>
      <c r="AB18" s="334" t="str">
        <f>IF(AND(ISNUMBER('Laboratorio_M '!Q20),ISNUMBER('Courier_M '!Q22)),'Courier_M '!Q22," ")</f>
        <v xml:space="preserve"> </v>
      </c>
      <c r="AC18" s="334" t="str">
        <f t="shared" si="10"/>
        <v xml:space="preserve"> </v>
      </c>
      <c r="AD18" s="339" t="str">
        <f t="shared" si="11"/>
        <v xml:space="preserve"> </v>
      </c>
      <c r="AE18" s="334" t="str">
        <f>IF(AND(ISNUMBER('Laboratorio_M '!S20),ISNUMBER('Courier_M '!S22)),'Laboratorio_M '!S20," ")</f>
        <v xml:space="preserve"> </v>
      </c>
      <c r="AF18" s="334" t="str">
        <f>IF(AND(ISNUMBER('Laboratorio_M '!S20),ISNUMBER('Courier_M '!S22)),'Courier_M '!S22," ")</f>
        <v xml:space="preserve"> </v>
      </c>
      <c r="AG18" s="334" t="str">
        <f t="shared" si="31"/>
        <v xml:space="preserve"> </v>
      </c>
      <c r="AH18" s="339" t="str">
        <f t="shared" si="12"/>
        <v xml:space="preserve"> </v>
      </c>
      <c r="AI18" s="334" t="str">
        <f>IF(AND(ISNUMBER('Laboratorio_M '!U20),ISNUMBER('Courier_M '!U22)),'Laboratorio_M '!U20," ")</f>
        <v xml:space="preserve"> </v>
      </c>
      <c r="AJ18" s="334" t="str">
        <f>IF(AND(ISNUMBER('Laboratorio_M '!U20),ISNUMBER('Courier_M '!U22)),'Courier_M '!U22," ")</f>
        <v xml:space="preserve"> </v>
      </c>
      <c r="AK18" s="334" t="str">
        <f t="shared" si="13"/>
        <v xml:space="preserve"> </v>
      </c>
      <c r="AL18" s="339" t="str">
        <f t="shared" si="14"/>
        <v xml:space="preserve"> </v>
      </c>
      <c r="AM18" s="334"/>
      <c r="AN18" s="334"/>
      <c r="AO18" s="338">
        <f>IF(AND(ISNUMBER('Laboratorio_M '!F20),ISNUMBER('Courier_M.'!F22)),Laboratorio_M!F20," ")</f>
        <v>23.88</v>
      </c>
      <c r="AP18" s="334">
        <f>IF(AND(ISNUMBER('Laboratorio_M '!F20),ISNUMBER('Courier_M.'!F22)),'Courier_M.'!F22," ")</f>
        <v>22.430482864379883</v>
      </c>
      <c r="AQ18" s="334">
        <f t="shared" si="15"/>
        <v>1.4495171356201162</v>
      </c>
      <c r="AR18" s="339">
        <f t="shared" si="16"/>
        <v>6.0700047555281254</v>
      </c>
      <c r="AS18" s="334">
        <f>IF(AND(ISNUMBER('Laboratorio_M '!H20),ISNUMBER('Courier_M.'!H22)),Laboratorio_M!H20," ")</f>
        <v>1.7969999999999999</v>
      </c>
      <c r="AT18" s="334">
        <f>IF(AND(ISNUMBER('Laboratorio_M '!H20),ISNUMBER('Courier_M.'!H22)),'Courier_M.'!H22," ")</f>
        <v>0.68110287189483643</v>
      </c>
      <c r="AU18" s="334">
        <f t="shared" si="32"/>
        <v>1.1158971281051635</v>
      </c>
      <c r="AV18" s="339">
        <f t="shared" si="17"/>
        <v>62.097781196725855</v>
      </c>
      <c r="AW18" s="334">
        <f>IF(AND(ISNUMBER('Laboratorio_M '!J20),ISNUMBER('Courier_M.'!J22)),Laboratorio_M!J20," ")</f>
        <v>29.42</v>
      </c>
      <c r="AX18" s="334">
        <f>IF(AND(ISNUMBER('Laboratorio_M '!J20),ISNUMBER('Courier_M.'!J22)),'Courier_M.'!J22," ")</f>
        <v>27.774629592895508</v>
      </c>
      <c r="AY18" s="334">
        <f t="shared" si="18"/>
        <v>1.6453704071044939</v>
      </c>
      <c r="AZ18" s="339">
        <f t="shared" si="19"/>
        <v>5.5926934299948803</v>
      </c>
      <c r="BA18" s="334">
        <f>IF(AND(ISNUMBER('Laboratorio_M '!L20),ISNUMBER('Courier_M.'!L22)),Laboratorio_M!L20," ")</f>
        <v>22.288</v>
      </c>
      <c r="BB18" s="334">
        <f>IF(AND(ISNUMBER('Laboratorio_M '!L20),ISNUMBER('Courier_M '!L22)),'Courier_M '!L22," ")</f>
        <v>21.517040252685547</v>
      </c>
      <c r="BC18" s="334">
        <f t="shared" si="20"/>
        <v>0.77095974731445338</v>
      </c>
      <c r="BD18" s="339">
        <f t="shared" si="21"/>
        <v>3.4590799861560182</v>
      </c>
      <c r="BE18" s="334">
        <f>IF(AND(ISNUMBER('Laboratorio_M '!N20),ISNUMBER('Courier_M.'!N22)),Laboratorio_M!N20," ")</f>
        <v>2.7E-2</v>
      </c>
      <c r="BF18" s="334">
        <f>IF(AND(ISNUMBER('Laboratorio_M '!N20),ISNUMBER('Courier_M.'!N22)),'Courier_M.'!N22," ")</f>
        <v>6.8032629787921906E-2</v>
      </c>
      <c r="BG18" s="334">
        <f t="shared" si="22"/>
        <v>-4.1032629787921909E-2</v>
      </c>
      <c r="BH18" s="339">
        <f t="shared" si="23"/>
        <v>151.97270291822929</v>
      </c>
      <c r="BI18" s="337">
        <f>IF(AND(ISNUMBER('Laboratorio_M '!P20),ISNUMBER('Courier_M.'!P22)),Laboratorio_M!P20," ")</f>
        <v>30.57</v>
      </c>
      <c r="BJ18" s="334">
        <f>IF(AND(ISNUMBER('Laboratorio_M '!P20),ISNUMBER('Courier_M '!P22)),'Courier_M '!P22," ")</f>
        <v>29.194454193115234</v>
      </c>
      <c r="BK18" s="334">
        <f t="shared" si="24"/>
        <v>1.3755458068847659</v>
      </c>
      <c r="BL18" s="339">
        <f t="shared" si="25"/>
        <v>4.49965916547192</v>
      </c>
      <c r="BM18" s="334">
        <f>IF(AND(ISNUMBER('Laboratorio_M '!R20),ISNUMBER('Courier_M '!R22)),'Laboratorio_M '!R20," ")</f>
        <v>0.44400000000000001</v>
      </c>
      <c r="BN18" s="334">
        <f>IF(AND(ISNUMBER('Laboratorio_M '!R20),ISNUMBER('Courier_M '!R22)),'Courier_M '!R22," ")</f>
        <v>0.75849008560180664</v>
      </c>
      <c r="BO18" s="334">
        <f t="shared" si="33"/>
        <v>-0.31449008560180663</v>
      </c>
      <c r="BP18" s="339">
        <f t="shared" si="26"/>
        <v>70.831100360767266</v>
      </c>
      <c r="BQ18" s="334">
        <f>IF(AND(ISNUMBER('Laboratorio_M '!T20),ISNUMBER('Courier_M '!T22)),'Laboratorio_M '!T20," ")</f>
        <v>57.484999999999999</v>
      </c>
      <c r="BR18" s="334">
        <f>IF(AND(ISNUMBER('Laboratorio_M '!T20),ISNUMBER('Courier_M '!T22)),'Courier_M '!T22," ")</f>
        <v>57.260551452636719</v>
      </c>
      <c r="BS18" s="334">
        <f t="shared" si="34"/>
        <v>0.22444854736328068</v>
      </c>
      <c r="BT18" s="339">
        <f t="shared" si="35"/>
        <v>0.39044715554193388</v>
      </c>
      <c r="BU18" s="334">
        <f>IF(AND(ISNUMBER('Laboratorio_M '!V20),ISNUMBER('Courier_M '!V22)),'Laboratorio_M '!V20," ")</f>
        <v>0.84</v>
      </c>
      <c r="BV18" s="334">
        <f>IF(AND(ISNUMBER('Laboratorio_M '!V20),ISNUMBER('Courier_M '!V22)),'Courier_M '!V22," ")</f>
        <v>0.76695138216018677</v>
      </c>
      <c r="BW18" s="334">
        <f t="shared" si="27"/>
        <v>7.3048617839813201E-2</v>
      </c>
      <c r="BX18" s="339">
        <f t="shared" si="28"/>
        <v>8.6962640285491908</v>
      </c>
    </row>
    <row r="19" spans="3:76" x14ac:dyDescent="0.2">
      <c r="C19" s="338">
        <f>IF(AND(ISNUMBER('Laboratorio_M '!E21),ISNUMBER('Courier_M '!E23)),'Laboratorio_M '!E21," ")</f>
        <v>23.491</v>
      </c>
      <c r="D19" s="334">
        <f>IF(AND(ISNUMBER('Laboratorio_M '!E21),ISNUMBER('Courier_M '!E23)),'Courier_M '!E23," ")</f>
        <v>23.856645584106445</v>
      </c>
      <c r="E19" s="334">
        <f t="shared" si="29"/>
        <v>-0.36564558410644565</v>
      </c>
      <c r="F19" s="339">
        <f t="shared" si="0"/>
        <v>1.5565347754733543</v>
      </c>
      <c r="G19" s="334">
        <f>IF(AND(ISNUMBER('Laboratorio_M '!G21),ISNUMBER('Courier_M '!G23)),'Laboratorio_M '!G21," ")</f>
        <v>1.99</v>
      </c>
      <c r="H19" s="334">
        <f>IF(AND(ISNUMBER('Laboratorio_M '!G21),ISNUMBER('Courier_M '!G23)),'Courier_M '!G23," ")</f>
        <v>0.74810713529586792</v>
      </c>
      <c r="I19" s="334">
        <f t="shared" si="30"/>
        <v>1.2418928647041321</v>
      </c>
      <c r="J19" s="339">
        <f t="shared" si="1"/>
        <v>62.406676618298093</v>
      </c>
      <c r="K19" s="334">
        <f>IF(AND(ISNUMBER('Laboratorio_M '!I21),ISNUMBER('Courier_M.'!I23)),Laboratorio_M!I21," ")</f>
        <v>29.52</v>
      </c>
      <c r="L19" s="334">
        <f>IF(AND(ISNUMBER('Laboratorio_M '!I21),ISNUMBER('Courier_M.'!I23)),'Courier_M.'!I23," ")</f>
        <v>27.966691970825195</v>
      </c>
      <c r="M19" s="334">
        <f t="shared" si="2"/>
        <v>1.5533080291748043</v>
      </c>
      <c r="N19" s="339">
        <f t="shared" si="3"/>
        <v>5.2618835676653264</v>
      </c>
      <c r="O19" s="334">
        <f>IF(AND(AND(ISNUMBER('Laboratorio_M '!K21),ISNUMBER('Courier_M.'!K23)),AND('Laboratorio_M '!K21&gt;17,'Courier_M.'!K23&gt;17)),Laboratorio_M!K21," ")</f>
        <v>23.565999999999999</v>
      </c>
      <c r="P19" s="334">
        <f>IF(AND(AND(ISNUMBER('Laboratorio_M '!K21),ISNUMBER('Courier_M.'!K23)),AND(Laboratorio_M!K21&gt;17,'Courier_M.'!K23&gt;17)),'Courier_M.'!K23," ")</f>
        <v>23.994331359863281</v>
      </c>
      <c r="Q19" s="334">
        <f t="shared" si="4"/>
        <v>-0.4283313598632823</v>
      </c>
      <c r="R19" s="339">
        <f t="shared" si="5"/>
        <v>1.8175819395030226</v>
      </c>
      <c r="S19" s="334">
        <f>IF(AND(ISNUMBER(Laboratorio_M!M21),ISNUMBER('Courier_M.'!M23)),Laboratorio_M!M21," ")</f>
        <v>0.152</v>
      </c>
      <c r="T19" s="334">
        <f>IF(AND(ISNUMBER('Laboratorio_M '!M21),ISNUMBER('Courier_M.'!M23)),'Courier_M.'!M23," ")</f>
        <v>9.1524593532085419E-2</v>
      </c>
      <c r="U19" s="334">
        <f t="shared" si="6"/>
        <v>6.0475406467914578E-2</v>
      </c>
      <c r="V19" s="339">
        <f t="shared" si="7"/>
        <v>39.786451623628011</v>
      </c>
      <c r="W19" s="334">
        <f>IF(AND(AND(ISNUMBER('Laboratorio_M '!O21),ISNUMBER('Courier_M.'!O23)),AND(Laboratorio_M!O21&gt;20,'Courier_M.'!O23&gt;20)),Laboratorio_M!O21," ")</f>
        <v>30.46</v>
      </c>
      <c r="X19" s="334">
        <f>IF(AND(AND(ISNUMBER('Laboratorio_M '!O21),ISNUMBER('Courier_M.'!O23)),AND(Laboratorio_M!O21&gt;20,'Courier_M.'!O23&gt;20)),'Courier_M.'!O23," ")</f>
        <v>29.186149597167969</v>
      </c>
      <c r="Y19" s="334">
        <f t="shared" si="8"/>
        <v>1.2738504028320321</v>
      </c>
      <c r="Z19" s="339">
        <f t="shared" si="9"/>
        <v>4.1820433448195411</v>
      </c>
      <c r="AA19" s="334">
        <f>IF(AND(ISNUMBER('Laboratorio_M '!Q21),ISNUMBER('Courier_M '!Q23)),'Laboratorio_M '!Q21," ")</f>
        <v>0.47499999999999998</v>
      </c>
      <c r="AB19" s="334">
        <f>IF(AND(ISNUMBER('Laboratorio_M '!Q21),ISNUMBER('Courier_M '!Q23)),'Courier_M '!Q23," ")</f>
        <v>0.73530465364456177</v>
      </c>
      <c r="AC19" s="334">
        <f t="shared" si="10"/>
        <v>-0.26030465364456179</v>
      </c>
      <c r="AD19" s="339">
        <f t="shared" si="11"/>
        <v>54.800979714644591</v>
      </c>
      <c r="AE19" s="334">
        <f>IF(AND(ISNUMBER('Laboratorio_M '!S21),ISNUMBER('Courier_M '!S23)),'Laboratorio_M '!S21," ")</f>
        <v>57.438000000000002</v>
      </c>
      <c r="AF19" s="334">
        <f>IF(AND(ISNUMBER('Laboratorio_M '!S21),ISNUMBER('Courier_M '!S23)),'Courier_M '!S23," ")</f>
        <v>56.498401641845703</v>
      </c>
      <c r="AG19" s="334">
        <f t="shared" si="31"/>
        <v>0.93959835815429926</v>
      </c>
      <c r="AH19" s="339">
        <f t="shared" si="12"/>
        <v>1.6358479719946712</v>
      </c>
      <c r="AI19" s="334">
        <f>IF(AND(ISNUMBER('Laboratorio_M '!U21),ISNUMBER('Courier_M '!U23)),'Laboratorio_M '!U21," ")</f>
        <v>0.65400000000000003</v>
      </c>
      <c r="AJ19" s="334">
        <f>IF(AND(ISNUMBER('Laboratorio_M '!U21),ISNUMBER('Courier_M '!U23)),'Courier_M '!U23," ")</f>
        <v>0.75686037540435791</v>
      </c>
      <c r="AK19" s="334">
        <f t="shared" si="13"/>
        <v>-0.10286037540435788</v>
      </c>
      <c r="AL19" s="339">
        <f t="shared" si="14"/>
        <v>15.727886147455333</v>
      </c>
      <c r="AM19" s="334"/>
      <c r="AN19" s="334"/>
      <c r="AO19" s="338">
        <f>IF(AND(ISNUMBER('Laboratorio_M '!F21),ISNUMBER('Courier_M.'!F23)),Laboratorio_M!F21," ")</f>
        <v>22.542999999999999</v>
      </c>
      <c r="AP19" s="334">
        <f>IF(AND(ISNUMBER('Laboratorio_M '!F21),ISNUMBER('Courier_M.'!F23)),'Courier_M.'!F23," ")</f>
        <v>23.230396270751953</v>
      </c>
      <c r="AQ19" s="334">
        <f t="shared" si="15"/>
        <v>-0.68739627075195386</v>
      </c>
      <c r="AR19" s="339">
        <f t="shared" si="16"/>
        <v>3.0492670485381441</v>
      </c>
      <c r="AS19" s="334">
        <f>IF(AND(ISNUMBER('Laboratorio_M '!H21),ISNUMBER('Courier_M.'!H23)),Laboratorio_M!H21," ")</f>
        <v>1.716</v>
      </c>
      <c r="AT19" s="334">
        <f>IF(AND(ISNUMBER('Laboratorio_M '!H21),ISNUMBER('Courier_M.'!H23)),'Courier_M.'!H23," ")</f>
        <v>0.76367515325546265</v>
      </c>
      <c r="AU19" s="334">
        <f t="shared" si="32"/>
        <v>0.95232484674453732</v>
      </c>
      <c r="AV19" s="339">
        <f t="shared" si="17"/>
        <v>55.496785940823855</v>
      </c>
      <c r="AW19" s="334">
        <f>IF(AND(ISNUMBER('Laboratorio_M '!J21),ISNUMBER('Courier_M.'!J23)),Laboratorio_M!J21," ")</f>
        <v>29.59</v>
      </c>
      <c r="AX19" s="334">
        <f>IF(AND(ISNUMBER('Laboratorio_M '!J21),ISNUMBER('Courier_M.'!J23)),'Courier_M.'!J23," ")</f>
        <v>27.659448623657227</v>
      </c>
      <c r="AY19" s="334">
        <f t="shared" si="18"/>
        <v>1.9305513763427733</v>
      </c>
      <c r="AZ19" s="339">
        <f t="shared" si="19"/>
        <v>6.5243371961567194</v>
      </c>
      <c r="BA19" s="334">
        <f>IF(AND(ISNUMBER('Laboratorio_M '!L21),ISNUMBER('Courier_M.'!L23)),Laboratorio_M!L21," ")</f>
        <v>22.196000000000002</v>
      </c>
      <c r="BB19" s="334">
        <f>IF(AND(ISNUMBER('Laboratorio_M '!L21),ISNUMBER('Courier_M '!L23)),'Courier_M '!L23," ")</f>
        <v>22.875391006469727</v>
      </c>
      <c r="BC19" s="334">
        <f t="shared" si="20"/>
        <v>-0.67939100646972506</v>
      </c>
      <c r="BD19" s="339">
        <f t="shared" si="21"/>
        <v>3.0608713573153947</v>
      </c>
      <c r="BE19" s="334">
        <f>IF(AND(ISNUMBER('Laboratorio_M '!N21),ISNUMBER('Courier_M.'!N23)),Laboratorio_M!N21," ")</f>
        <v>0.13700000000000001</v>
      </c>
      <c r="BF19" s="334">
        <f>IF(AND(ISNUMBER('Laboratorio_M '!N21),ISNUMBER('Courier_M.'!N23)),'Courier_M.'!N23," ")</f>
        <v>6.9822221994400024E-2</v>
      </c>
      <c r="BG19" s="334">
        <f t="shared" si="22"/>
        <v>6.7177778005599986E-2</v>
      </c>
      <c r="BH19" s="339">
        <f t="shared" si="23"/>
        <v>49.034874456642328</v>
      </c>
      <c r="BI19" s="337">
        <f>IF(AND(ISNUMBER('Laboratorio_M '!P21),ISNUMBER('Courier_M.'!P23)),Laboratorio_M!P21," ")</f>
        <v>30.12</v>
      </c>
      <c r="BJ19" s="334">
        <f>IF(AND(ISNUMBER('Laboratorio_M '!P21),ISNUMBER('Courier_M '!P23)),'Courier_M '!P23," ")</f>
        <v>29.129720687866211</v>
      </c>
      <c r="BK19" s="334">
        <f t="shared" si="24"/>
        <v>0.99027931213379006</v>
      </c>
      <c r="BL19" s="339">
        <f t="shared" si="25"/>
        <v>3.2877799207629148</v>
      </c>
      <c r="BM19" s="334">
        <f>IF(AND(ISNUMBER('Laboratorio_M '!R21),ISNUMBER('Courier_M '!R23)),'Laboratorio_M '!R21," ")</f>
        <v>0.41899999999999998</v>
      </c>
      <c r="BN19" s="334">
        <f>IF(AND(ISNUMBER('Laboratorio_M '!R21),ISNUMBER('Courier_M '!R23)),'Courier_M '!R23," ")</f>
        <v>0.61146652698516846</v>
      </c>
      <c r="BO19" s="334">
        <f t="shared" si="33"/>
        <v>-0.19246652698516847</v>
      </c>
      <c r="BP19" s="339">
        <f t="shared" si="26"/>
        <v>45.934731977367179</v>
      </c>
      <c r="BQ19" s="334">
        <f>IF(AND(ISNUMBER('Laboratorio_M '!T21),ISNUMBER('Courier_M '!T23)),'Laboratorio_M '!T21," ")</f>
        <v>57.631999999999998</v>
      </c>
      <c r="BR19" s="334">
        <f>IF(AND(ISNUMBER('Laboratorio_M '!T21),ISNUMBER('Courier_M '!T23)),'Courier_M '!T23," ")</f>
        <v>56.82696533203125</v>
      </c>
      <c r="BS19" s="334">
        <f t="shared" si="34"/>
        <v>0.8050346679687479</v>
      </c>
      <c r="BT19" s="339">
        <f t="shared" si="35"/>
        <v>1.3968536021112368</v>
      </c>
      <c r="BU19" s="334">
        <f>IF(AND(ISNUMBER('Laboratorio_M '!V21),ISNUMBER('Courier_M '!V23)),'Laboratorio_M '!V21," ")</f>
        <v>0.67500000000000004</v>
      </c>
      <c r="BV19" s="334">
        <f>IF(AND(ISNUMBER('Laboratorio_M '!V21),ISNUMBER('Courier_M '!V23)),'Courier_M '!V23," ")</f>
        <v>0.85735327005386353</v>
      </c>
      <c r="BW19" s="334">
        <f t="shared" si="27"/>
        <v>-0.18235327005386348</v>
      </c>
      <c r="BX19" s="339">
        <f t="shared" si="28"/>
        <v>27.015299267239033</v>
      </c>
    </row>
    <row r="20" spans="3:76" x14ac:dyDescent="0.2">
      <c r="C20" s="338">
        <f>IF(AND(ISNUMBER('Laboratorio_M '!E22),ISNUMBER('Courier_M '!E24)),'Laboratorio_M '!E22," ")</f>
        <v>19.701000000000001</v>
      </c>
      <c r="D20" s="334">
        <f>IF(AND(ISNUMBER('Laboratorio_M '!E22),ISNUMBER('Courier_M '!E24)),'Courier_M '!E24," ")</f>
        <v>22.504552841186523</v>
      </c>
      <c r="E20" s="334">
        <f t="shared" si="29"/>
        <v>-2.8035528411865229</v>
      </c>
      <c r="F20" s="339">
        <f t="shared" si="0"/>
        <v>14.230510335447555</v>
      </c>
      <c r="G20" s="334">
        <f>IF(AND(ISNUMBER('Laboratorio_M '!G22),ISNUMBER('Courier_M '!G24)),'Laboratorio_M '!G22," ")</f>
        <v>1.3540000000000001</v>
      </c>
      <c r="H20" s="334">
        <f>IF(AND(ISNUMBER('Laboratorio_M '!G22),ISNUMBER('Courier_M '!G24)),'Courier_M '!G24," ")</f>
        <v>1.1042046546936035</v>
      </c>
      <c r="I20" s="334">
        <f t="shared" si="30"/>
        <v>0.24979534530639658</v>
      </c>
      <c r="J20" s="339">
        <f t="shared" si="1"/>
        <v>18.448696108301075</v>
      </c>
      <c r="K20" s="334">
        <f>IF(AND(ISNUMBER('Laboratorio_M '!I22),ISNUMBER('Courier_M.'!I24)),Laboratorio_M!I22," ")</f>
        <v>27.3</v>
      </c>
      <c r="L20" s="334">
        <f>IF(AND(ISNUMBER('Laboratorio_M '!I22),ISNUMBER('Courier_M.'!I24)),'Courier_M.'!I24," ")</f>
        <v>27.208417892456055</v>
      </c>
      <c r="M20" s="334">
        <f t="shared" si="2"/>
        <v>9.1582107543946023E-2</v>
      </c>
      <c r="N20" s="339">
        <f t="shared" si="3"/>
        <v>0.33546559539906967</v>
      </c>
      <c r="O20" s="334">
        <f>IF(AND(AND(ISNUMBER('Laboratorio_M '!K22),ISNUMBER('Courier_M.'!K24)),AND('Laboratorio_M '!K22&gt;17,'Courier_M.'!K24&gt;17)),Laboratorio_M!K22," ")</f>
        <v>20.398</v>
      </c>
      <c r="P20" s="334">
        <f>IF(AND(AND(ISNUMBER('Laboratorio_M '!K22),ISNUMBER('Courier_M.'!K24)),AND(Laboratorio_M!K22&gt;17,'Courier_M.'!K24&gt;17)),'Courier_M.'!K24," ")</f>
        <v>21.951410293579102</v>
      </c>
      <c r="Q20" s="334">
        <f t="shared" si="4"/>
        <v>-1.5534102935791019</v>
      </c>
      <c r="R20" s="339">
        <f t="shared" si="5"/>
        <v>7.6155029590111871</v>
      </c>
      <c r="S20" s="334">
        <f>IF(AND(ISNUMBER(Laboratorio_M!M22),ISNUMBER('Courier_M.'!M24)),Laboratorio_M!M22," ")</f>
        <v>7.6999999999999999E-2</v>
      </c>
      <c r="T20" s="334">
        <f>IF(AND(ISNUMBER('Laboratorio_M '!M22),ISNUMBER('Courier_M.'!M24)),'Courier_M.'!M24," ")</f>
        <v>9.7445882856845856E-2</v>
      </c>
      <c r="U20" s="334">
        <f t="shared" si="6"/>
        <v>-2.0445882856845857E-2</v>
      </c>
      <c r="V20" s="339">
        <f t="shared" si="7"/>
        <v>26.553094619280333</v>
      </c>
      <c r="W20" s="334">
        <f>IF(AND(AND(ISNUMBER('Laboratorio_M '!O22),ISNUMBER('Courier_M.'!O24)),AND(Laboratorio_M!O22&gt;20,'Courier_M.'!O24&gt;20)),Laboratorio_M!O22," ")</f>
        <v>28.54</v>
      </c>
      <c r="X20" s="334">
        <f>IF(AND(AND(ISNUMBER('Laboratorio_M '!O22),ISNUMBER('Courier_M.'!O24)),AND(Laboratorio_M!O22&gt;20,'Courier_M.'!O24&gt;20)),'Courier_M.'!O24," ")</f>
        <v>29.329471588134766</v>
      </c>
      <c r="Y20" s="334">
        <f t="shared" si="8"/>
        <v>-0.78947158813476648</v>
      </c>
      <c r="Z20" s="339">
        <f t="shared" si="9"/>
        <v>2.7661933711799804</v>
      </c>
      <c r="AA20" s="334">
        <f>IF(AND(ISNUMBER('Laboratorio_M '!Q22),ISNUMBER('Courier_M '!Q24)),'Laboratorio_M '!Q22," ")</f>
        <v>0.45900000000000002</v>
      </c>
      <c r="AB20" s="334">
        <f>IF(AND(ISNUMBER('Laboratorio_M '!Q22),ISNUMBER('Courier_M '!Q24)),'Courier_M '!Q24," ")</f>
        <v>0.59000110626220703</v>
      </c>
      <c r="AC20" s="334">
        <f t="shared" si="10"/>
        <v>-0.13100110626220701</v>
      </c>
      <c r="AD20" s="339">
        <f t="shared" si="11"/>
        <v>28.540546026624618</v>
      </c>
      <c r="AE20" s="334">
        <f>IF(AND(ISNUMBER('Laboratorio_M '!S22),ISNUMBER('Courier_M '!S24)),'Laboratorio_M '!S22," ")</f>
        <v>57.127000000000002</v>
      </c>
      <c r="AF20" s="334">
        <f>IF(AND(ISNUMBER('Laboratorio_M '!S22),ISNUMBER('Courier_M '!S24)),'Courier_M '!S24," ")</f>
        <v>56.480049133300781</v>
      </c>
      <c r="AG20" s="334">
        <f t="shared" si="31"/>
        <v>0.64695086669922119</v>
      </c>
      <c r="AH20" s="339">
        <f t="shared" si="12"/>
        <v>1.1324782794461834</v>
      </c>
      <c r="AI20" s="334">
        <f>IF(AND(ISNUMBER('Laboratorio_M '!U22),ISNUMBER('Courier_M '!U24)),'Laboratorio_M '!U22," ")</f>
        <v>0.82099999999999995</v>
      </c>
      <c r="AJ20" s="334">
        <f>IF(AND(ISNUMBER('Laboratorio_M '!U22),ISNUMBER('Courier_M '!U24)),'Courier_M '!U24," ")</f>
        <v>0.79479086399078369</v>
      </c>
      <c r="AK20" s="334">
        <f t="shared" si="13"/>
        <v>2.6209136009216261E-2</v>
      </c>
      <c r="AL20" s="339">
        <f t="shared" si="14"/>
        <v>3.1923429974684852</v>
      </c>
      <c r="AM20" s="334"/>
      <c r="AN20" s="334"/>
      <c r="AO20" s="338">
        <f>IF(AND(ISNUMBER('Laboratorio_M '!F22),ISNUMBER('Courier_M.'!F24)),Laboratorio_M!F22," ")</f>
        <v>20.995000000000001</v>
      </c>
      <c r="AP20" s="334">
        <f>IF(AND(ISNUMBER('Laboratorio_M '!F22),ISNUMBER('Courier_M.'!F24)),'Courier_M.'!F24," ")</f>
        <v>22.002679824829102</v>
      </c>
      <c r="AQ20" s="334">
        <f t="shared" si="15"/>
        <v>-1.0076798248291006</v>
      </c>
      <c r="AR20" s="339">
        <f t="shared" si="16"/>
        <v>4.7996181225487042</v>
      </c>
      <c r="AS20" s="334">
        <f>IF(AND(ISNUMBER('Laboratorio_M '!H22),ISNUMBER('Courier_M.'!H24)),Laboratorio_M!H22," ")</f>
        <v>0.95399999999999996</v>
      </c>
      <c r="AT20" s="334">
        <f>IF(AND(ISNUMBER('Laboratorio_M '!H22),ISNUMBER('Courier_M.'!H24)),'Courier_M.'!H24," ")</f>
        <v>1.250199556350708</v>
      </c>
      <c r="AU20" s="334">
        <f t="shared" si="32"/>
        <v>-0.29619955635070805</v>
      </c>
      <c r="AV20" s="339">
        <f t="shared" si="17"/>
        <v>31.048171525231457</v>
      </c>
      <c r="AW20" s="334">
        <f>IF(AND(ISNUMBER('Laboratorio_M '!J22),ISNUMBER('Courier_M.'!J24)),Laboratorio_M!J22," ")</f>
        <v>30.37</v>
      </c>
      <c r="AX20" s="334">
        <f>IF(AND(ISNUMBER('Laboratorio_M '!J22),ISNUMBER('Courier_M.'!J24)),'Courier_M.'!J24," ")</f>
        <v>28.356494903564453</v>
      </c>
      <c r="AY20" s="334">
        <f t="shared" si="18"/>
        <v>2.0135050964355479</v>
      </c>
      <c r="AZ20" s="339">
        <f t="shared" si="19"/>
        <v>6.6299147067354225</v>
      </c>
      <c r="BA20" s="334">
        <f>IF(AND(ISNUMBER('Laboratorio_M '!L22),ISNUMBER('Courier_M.'!L24)),Laboratorio_M!L22," ")</f>
        <v>21.393000000000001</v>
      </c>
      <c r="BB20" s="334">
        <f>IF(AND(ISNUMBER('Laboratorio_M '!L22),ISNUMBER('Courier_M '!L24)),'Courier_M '!L24," ")</f>
        <v>21.885499954223633</v>
      </c>
      <c r="BC20" s="334">
        <f t="shared" si="20"/>
        <v>-0.49249995422363213</v>
      </c>
      <c r="BD20" s="339">
        <f t="shared" si="21"/>
        <v>2.3021546965064843</v>
      </c>
      <c r="BE20" s="334">
        <f>IF(AND(ISNUMBER('Laboratorio_M '!N22),ISNUMBER('Courier_M.'!N24)),Laboratorio_M!N22," ")</f>
        <v>7.8E-2</v>
      </c>
      <c r="BF20" s="334">
        <f>IF(AND(ISNUMBER('Laboratorio_M '!N22),ISNUMBER('Courier_M.'!N24)),'Courier_M.'!N24," ")</f>
        <v>5.1226496696472168E-2</v>
      </c>
      <c r="BG20" s="334">
        <f t="shared" si="22"/>
        <v>2.6773503303527832E-2</v>
      </c>
      <c r="BH20" s="339">
        <f t="shared" si="23"/>
        <v>34.325004235292091</v>
      </c>
      <c r="BI20" s="337">
        <f>IF(AND(ISNUMBER('Laboratorio_M '!P22),ISNUMBER('Courier_M.'!P24)),Laboratorio_M!P22," ")</f>
        <v>31.25</v>
      </c>
      <c r="BJ20" s="334">
        <f>IF(AND(ISNUMBER('Laboratorio_M '!P22),ISNUMBER('Courier_M '!P24)),'Courier_M '!P24," ")</f>
        <v>29.416046142578125</v>
      </c>
      <c r="BK20" s="334">
        <f t="shared" si="24"/>
        <v>1.833953857421875</v>
      </c>
      <c r="BL20" s="339">
        <f t="shared" si="25"/>
        <v>5.86865234375</v>
      </c>
      <c r="BM20" s="334">
        <f>IF(AND(ISNUMBER('Laboratorio_M '!R22),ISNUMBER('Courier_M '!R24)),'Laboratorio_M '!R22," ")</f>
        <v>0.45400000000000001</v>
      </c>
      <c r="BN20" s="334">
        <f>IF(AND(ISNUMBER('Laboratorio_M '!R22),ISNUMBER('Courier_M '!R24)),'Courier_M '!R24," ")</f>
        <v>0.52631789445877075</v>
      </c>
      <c r="BO20" s="334">
        <f t="shared" si="33"/>
        <v>-7.2317894458770737E-2</v>
      </c>
      <c r="BP20" s="339">
        <f t="shared" si="26"/>
        <v>15.929051642901044</v>
      </c>
      <c r="BQ20" s="334">
        <f>IF(AND(ISNUMBER('Laboratorio_M '!T22),ISNUMBER('Courier_M '!T24)),'Laboratorio_M '!T22," ")</f>
        <v>56.825000000000003</v>
      </c>
      <c r="BR20" s="334">
        <f>IF(AND(ISNUMBER('Laboratorio_M '!T22),ISNUMBER('Courier_M '!T24)),'Courier_M '!T24," ")</f>
        <v>57.101436614990234</v>
      </c>
      <c r="BS20" s="334">
        <f t="shared" si="34"/>
        <v>-0.27643661499023153</v>
      </c>
      <c r="BT20" s="339">
        <f t="shared" si="35"/>
        <v>0.48647006597489051</v>
      </c>
      <c r="BU20" s="334">
        <f>IF(AND(ISNUMBER('Laboratorio_M '!V22),ISNUMBER('Courier_M '!V24)),'Laboratorio_M '!V22," ")</f>
        <v>1.1319999999999999</v>
      </c>
      <c r="BV20" s="334">
        <f>IF(AND(ISNUMBER('Laboratorio_M '!V22),ISNUMBER('Courier_M '!V24)),'Courier_M '!V24," ")</f>
        <v>0.67580217123031616</v>
      </c>
      <c r="BW20" s="334">
        <f t="shared" si="27"/>
        <v>0.45619782876968373</v>
      </c>
      <c r="BX20" s="339">
        <f t="shared" si="28"/>
        <v>40.300161552092206</v>
      </c>
    </row>
    <row r="21" spans="3:76" x14ac:dyDescent="0.2">
      <c r="C21" s="338">
        <f>IF(AND(ISNUMBER('Laboratorio_M '!E23),ISNUMBER('Courier_M '!E25)),'Laboratorio_M '!E23," ")</f>
        <v>20</v>
      </c>
      <c r="D21" s="334">
        <f>IF(AND(ISNUMBER('Laboratorio_M '!E23),ISNUMBER('Courier_M '!E25)),'Courier_M '!E25," ")</f>
        <v>21.807527542114258</v>
      </c>
      <c r="E21" s="334">
        <f t="shared" si="29"/>
        <v>-1.8075275421142578</v>
      </c>
      <c r="F21" s="339">
        <f t="shared" si="0"/>
        <v>9.0376377105712891</v>
      </c>
      <c r="G21" s="334">
        <f>IF(AND(ISNUMBER('Laboratorio_M '!G23),ISNUMBER('Courier_M '!G25)),'Laboratorio_M '!G23," ")</f>
        <v>0.97099999999999997</v>
      </c>
      <c r="H21" s="334">
        <f>IF(AND(ISNUMBER('Laboratorio_M '!G23),ISNUMBER('Courier_M '!G25)),'Courier_M '!G25," ")</f>
        <v>1.1539222002029419</v>
      </c>
      <c r="I21" s="334">
        <f t="shared" si="30"/>
        <v>-0.18292220020294192</v>
      </c>
      <c r="J21" s="339">
        <f t="shared" si="1"/>
        <v>18.838537611013585</v>
      </c>
      <c r="K21" s="334">
        <f>IF(AND(ISNUMBER('Laboratorio_M '!I23),ISNUMBER('Courier_M.'!I25)),Laboratorio_M!I23," ")</f>
        <v>28.38</v>
      </c>
      <c r="L21" s="334">
        <f>IF(AND(ISNUMBER('Laboratorio_M '!I23),ISNUMBER('Courier_M.'!I25)),'Courier_M.'!I25," ")</f>
        <v>28.27708625793457</v>
      </c>
      <c r="M21" s="334">
        <f t="shared" si="2"/>
        <v>0.10291374206542869</v>
      </c>
      <c r="N21" s="339">
        <f t="shared" si="3"/>
        <v>0.36262770283801515</v>
      </c>
      <c r="O21" s="334">
        <f>IF(AND(AND(ISNUMBER('Laboratorio_M '!K23),ISNUMBER('Courier_M.'!K25)),AND('Laboratorio_M '!K23&gt;17,'Courier_M.'!K25&gt;17)),Laboratorio_M!K23," ")</f>
        <v>22.288</v>
      </c>
      <c r="P21" s="334">
        <f>IF(AND(AND(ISNUMBER('Laboratorio_M '!K23),ISNUMBER('Courier_M.'!K25)),AND(Laboratorio_M!K23&gt;17,'Courier_M.'!K25&gt;17)),'Courier_M.'!K25," ")</f>
        <v>22.472513198852539</v>
      </c>
      <c r="Q21" s="334">
        <f t="shared" si="4"/>
        <v>-0.18451319885253881</v>
      </c>
      <c r="R21" s="339">
        <f t="shared" si="5"/>
        <v>0.82785893239653086</v>
      </c>
      <c r="S21" s="334">
        <f>IF(AND(ISNUMBER(Laboratorio_M!M23),ISNUMBER('Courier_M.'!M25)),Laboratorio_M!M23," ")</f>
        <v>9.7000000000000003E-2</v>
      </c>
      <c r="T21" s="334">
        <f>IF(AND(ISNUMBER('Laboratorio_M '!M23),ISNUMBER('Courier_M.'!M25)),'Courier_M.'!M25," ")</f>
        <v>6.0069702565670013E-2</v>
      </c>
      <c r="U21" s="334">
        <f t="shared" si="6"/>
        <v>3.6930297434329989E-2</v>
      </c>
      <c r="V21" s="339">
        <f t="shared" si="7"/>
        <v>38.072471581783496</v>
      </c>
      <c r="W21" s="334">
        <f>IF(AND(AND(ISNUMBER('Laboratorio_M '!O23),ISNUMBER('Courier_M.'!O25)),AND(Laboratorio_M!O23&gt;20,'Courier_M.'!O25&gt;20)),Laboratorio_M!O23," ")</f>
        <v>29.79</v>
      </c>
      <c r="X21" s="334">
        <f>IF(AND(AND(ISNUMBER('Laboratorio_M '!O23),ISNUMBER('Courier_M.'!O25)),AND(Laboratorio_M!O23&gt;20,'Courier_M.'!O25&gt;20)),'Courier_M.'!O25," ")</f>
        <v>29.422409057617188</v>
      </c>
      <c r="Y21" s="334">
        <f t="shared" si="8"/>
        <v>0.36759094238281165</v>
      </c>
      <c r="Z21" s="339">
        <f t="shared" si="9"/>
        <v>1.2339407263605628</v>
      </c>
      <c r="AA21" s="334">
        <f>IF(AND(ISNUMBER('Laboratorio_M '!Q23),ISNUMBER('Courier_M '!Q25)),'Laboratorio_M '!Q23," ")</f>
        <v>0.60099999999999998</v>
      </c>
      <c r="AB21" s="334">
        <f>IF(AND(ISNUMBER('Laboratorio_M '!Q23),ISNUMBER('Courier_M '!Q25)),'Courier_M '!Q25," ")</f>
        <v>0.39342418313026428</v>
      </c>
      <c r="AC21" s="334">
        <f t="shared" si="10"/>
        <v>0.2075758168697357</v>
      </c>
      <c r="AD21" s="339">
        <f t="shared" si="11"/>
        <v>34.538405469173995</v>
      </c>
      <c r="AE21" s="334">
        <f>IF(AND(ISNUMBER('Laboratorio_M '!S23),ISNUMBER('Courier_M '!S25)),'Laboratorio_M '!S23," ")</f>
        <v>53.348999999999997</v>
      </c>
      <c r="AF21" s="334">
        <f>IF(AND(ISNUMBER('Laboratorio_M '!S23),ISNUMBER('Courier_M '!S25)),'Courier_M '!S25," ")</f>
        <v>56.011753082275391</v>
      </c>
      <c r="AG21" s="334">
        <f t="shared" si="31"/>
        <v>-2.662753082275394</v>
      </c>
      <c r="AH21" s="339">
        <f t="shared" si="12"/>
        <v>4.9911958654808792</v>
      </c>
      <c r="AI21" s="334">
        <f>IF(AND(ISNUMBER('Laboratorio_M '!U23),ISNUMBER('Courier_M '!U25)),'Laboratorio_M '!U23," ")</f>
        <v>3.4649999999999999</v>
      </c>
      <c r="AJ21" s="334">
        <f>IF(AND(ISNUMBER('Laboratorio_M '!U23),ISNUMBER('Courier_M '!U25)),'Courier_M '!U25," ")</f>
        <v>0.82908517122268677</v>
      </c>
      <c r="AK21" s="334">
        <f t="shared" si="13"/>
        <v>2.6359148287773131</v>
      </c>
      <c r="AL21" s="339">
        <f t="shared" si="14"/>
        <v>76.072578031091282</v>
      </c>
      <c r="AM21" s="334"/>
      <c r="AN21" s="334"/>
      <c r="AO21" s="338">
        <f>IF(AND(ISNUMBER('Laboratorio_M '!F23),ISNUMBER('Courier_M.'!F25)),Laboratorio_M!F23," ")</f>
        <v>23.084</v>
      </c>
      <c r="AP21" s="334">
        <f>IF(AND(ISNUMBER('Laboratorio_M '!F23),ISNUMBER('Courier_M.'!F25)),'Courier_M.'!F25," ")</f>
        <v>22.898529052734375</v>
      </c>
      <c r="AQ21" s="334">
        <f t="shared" si="15"/>
        <v>0.18547094726562463</v>
      </c>
      <c r="AR21" s="339">
        <f t="shared" si="16"/>
        <v>0.80346104343105451</v>
      </c>
      <c r="AS21" s="334">
        <f>IF(AND(ISNUMBER('Laboratorio_M '!H23),ISNUMBER('Courier_M.'!H25)),Laboratorio_M!H23," ")</f>
        <v>1.677</v>
      </c>
      <c r="AT21" s="334">
        <f>IF(AND(ISNUMBER('Laboratorio_M '!H23),ISNUMBER('Courier_M.'!H25)),'Courier_M.'!H25," ")</f>
        <v>1.1675971746444702</v>
      </c>
      <c r="AU21" s="334">
        <f t="shared" si="32"/>
        <v>0.50940282535552983</v>
      </c>
      <c r="AV21" s="339">
        <f t="shared" si="17"/>
        <v>30.375839317562896</v>
      </c>
      <c r="AW21" s="334">
        <f>IF(AND(ISNUMBER('Laboratorio_M '!J23),ISNUMBER('Courier_M.'!J25)),Laboratorio_M!J23," ")</f>
        <v>29.28</v>
      </c>
      <c r="AX21" s="334">
        <f>IF(AND(ISNUMBER('Laboratorio_M '!J23),ISNUMBER('Courier_M.'!J25)),'Courier_M.'!J25," ")</f>
        <v>28.763704299926758</v>
      </c>
      <c r="AY21" s="334">
        <f t="shared" si="18"/>
        <v>0.51629570007324332</v>
      </c>
      <c r="AZ21" s="339">
        <f t="shared" si="19"/>
        <v>1.7633049865889459</v>
      </c>
      <c r="BA21" s="334">
        <f>IF(AND(ISNUMBER('Laboratorio_M '!L23),ISNUMBER('Courier_M.'!L25)),Laboratorio_M!L23," ")</f>
        <v>24.675999999999998</v>
      </c>
      <c r="BB21" s="334">
        <f>IF(AND(ISNUMBER('Laboratorio_M '!L23),ISNUMBER('Courier_M '!L25)),'Courier_M '!L25," ")</f>
        <v>23.350467681884766</v>
      </c>
      <c r="BC21" s="334">
        <f t="shared" si="20"/>
        <v>1.3255323181152328</v>
      </c>
      <c r="BD21" s="339">
        <f t="shared" si="21"/>
        <v>5.3717471150722682</v>
      </c>
      <c r="BE21" s="334">
        <f>IF(AND(ISNUMBER('Laboratorio_M '!N23),ISNUMBER('Courier_M.'!N25)),Laboratorio_M!N23," ")</f>
        <v>0.125</v>
      </c>
      <c r="BF21" s="334">
        <f>IF(AND(ISNUMBER('Laboratorio_M '!N23),ISNUMBER('Courier_M.'!N25)),'Courier_M.'!N25," ")</f>
        <v>0.12544995546340942</v>
      </c>
      <c r="BG21" s="334">
        <f t="shared" si="22"/>
        <v>-4.4995546340942383E-4</v>
      </c>
      <c r="BH21" s="339">
        <f t="shared" si="23"/>
        <v>0.35996437072753906</v>
      </c>
      <c r="BI21" s="337">
        <f>IF(AND(ISNUMBER('Laboratorio_M '!P23),ISNUMBER('Courier_M.'!P25)),Laboratorio_M!P23," ")</f>
        <v>30.15</v>
      </c>
      <c r="BJ21" s="334">
        <f>IF(AND(ISNUMBER('Laboratorio_M '!P23),ISNUMBER('Courier_M '!P25)),'Courier_M '!P25," ")</f>
        <v>29.085533142089844</v>
      </c>
      <c r="BK21" s="334">
        <f t="shared" si="24"/>
        <v>1.0644668579101548</v>
      </c>
      <c r="BL21" s="339">
        <f t="shared" si="25"/>
        <v>3.530570009652255</v>
      </c>
      <c r="BM21" s="334">
        <f>IF(AND(ISNUMBER('Laboratorio_M '!R23),ISNUMBER('Courier_M '!R25)),'Laboratorio_M '!R23," ")</f>
        <v>0.56100000000000005</v>
      </c>
      <c r="BN21" s="334">
        <f>IF(AND(ISNUMBER('Laboratorio_M '!R23),ISNUMBER('Courier_M '!R25)),'Courier_M '!R25," ")</f>
        <v>0.5572211742401123</v>
      </c>
      <c r="BO21" s="334">
        <f t="shared" si="33"/>
        <v>3.7788257598877495E-3</v>
      </c>
      <c r="BP21" s="339">
        <f t="shared" si="26"/>
        <v>0.67358747948088227</v>
      </c>
      <c r="BQ21" s="334">
        <f>IF(AND(ISNUMBER('Laboratorio_M '!T23),ISNUMBER('Courier_M '!T25)),'Laboratorio_M '!T23," ")</f>
        <v>55.825000000000003</v>
      </c>
      <c r="BR21" s="334">
        <f>IF(AND(ISNUMBER('Laboratorio_M '!T23),ISNUMBER('Courier_M '!T25)),'Courier_M '!T25," ")</f>
        <v>57.540431976318359</v>
      </c>
      <c r="BS21" s="334">
        <f t="shared" si="34"/>
        <v>-1.7154319763183565</v>
      </c>
      <c r="BT21" s="339">
        <f t="shared" si="35"/>
        <v>3.0728741179012209</v>
      </c>
      <c r="BU21" s="334">
        <f>IF(AND(ISNUMBER('Laboratorio_M '!V23),ISNUMBER('Courier_M '!V25)),'Laboratorio_M '!V23," ")</f>
        <v>1.8089999999999999</v>
      </c>
      <c r="BV21" s="334">
        <f>IF(AND(ISNUMBER('Laboratorio_M '!V23),ISNUMBER('Courier_M '!V25)),'Courier_M '!V25," ")</f>
        <v>0.71086245775222778</v>
      </c>
      <c r="BW21" s="334">
        <f t="shared" si="27"/>
        <v>1.0981375422477722</v>
      </c>
      <c r="BX21" s="339">
        <f t="shared" si="28"/>
        <v>60.704120632823233</v>
      </c>
    </row>
    <row r="22" spans="3:76" x14ac:dyDescent="0.2">
      <c r="C22" s="338">
        <f>IF(AND(ISNUMBER('Laboratorio_M '!E24),ISNUMBER('Courier_M '!E26)),'Laboratorio_M '!E24," ")</f>
        <v>21.457999999999998</v>
      </c>
      <c r="D22" s="334">
        <f>IF(AND(ISNUMBER('Laboratorio_M '!E24),ISNUMBER('Courier_M '!E26)),'Courier_M '!E26," ")</f>
        <v>22.604328155517578</v>
      </c>
      <c r="E22" s="334">
        <f t="shared" si="29"/>
        <v>-1.1463281555175797</v>
      </c>
      <c r="F22" s="339">
        <f t="shared" si="0"/>
        <v>5.342194778253238</v>
      </c>
      <c r="G22" s="334">
        <f>IF(AND(ISNUMBER('Laboratorio_M '!G24),ISNUMBER('Courier_M '!G26)),'Laboratorio_M '!G24," ")</f>
        <v>1.538</v>
      </c>
      <c r="H22" s="334">
        <f>IF(AND(ISNUMBER('Laboratorio_M '!G24),ISNUMBER('Courier_M '!G26)),'Courier_M '!G26," ")</f>
        <v>1.2683455944061279</v>
      </c>
      <c r="I22" s="334">
        <f t="shared" si="30"/>
        <v>0.2696544055938721</v>
      </c>
      <c r="J22" s="339">
        <f t="shared" si="1"/>
        <v>17.532796202462425</v>
      </c>
      <c r="K22" s="334">
        <f>IF(AND(ISNUMBER('Laboratorio_M '!I24),ISNUMBER('Courier_M.'!I26)),Laboratorio_M!I24," ")</f>
        <v>27</v>
      </c>
      <c r="L22" s="334">
        <f>IF(AND(ISNUMBER('Laboratorio_M '!I24),ISNUMBER('Courier_M.'!I26)),'Courier_M.'!I26," ")</f>
        <v>28.495849609375</v>
      </c>
      <c r="M22" s="334">
        <f t="shared" si="2"/>
        <v>-1.495849609375</v>
      </c>
      <c r="N22" s="339">
        <f t="shared" si="3"/>
        <v>5.5401837384259256</v>
      </c>
      <c r="O22" s="334">
        <f>IF(AND(AND(ISNUMBER('Laboratorio_M '!K24),ISNUMBER('Courier_M.'!K26)),AND('Laboratorio_M '!K24&gt;17,'Courier_M.'!K26&gt;17)),Laboratorio_M!K24," ")</f>
        <v>21.358000000000001</v>
      </c>
      <c r="P22" s="334">
        <f>IF(AND(AND(ISNUMBER('Laboratorio_M '!K24),ISNUMBER('Courier_M.'!K26)),AND(Laboratorio_M!K24&gt;17,'Courier_M.'!K26&gt;17)),'Courier_M.'!K26," ")</f>
        <v>22.97532844543457</v>
      </c>
      <c r="Q22" s="334">
        <f t="shared" si="4"/>
        <v>-1.6173284454345698</v>
      </c>
      <c r="R22" s="339">
        <f t="shared" si="5"/>
        <v>7.5724714178976011</v>
      </c>
      <c r="S22" s="334">
        <f>IF(AND(ISNUMBER(Laboratorio_M!M24),ISNUMBER('Courier_M.'!M26)),Laboratorio_M!M24," ")</f>
        <v>0.10299999999999999</v>
      </c>
      <c r="T22" s="334">
        <f>IF(AND(ISNUMBER('Laboratorio_M '!M24),ISNUMBER('Courier_M.'!M26)),'Courier_M.'!M26," ")</f>
        <v>0.13723689317703247</v>
      </c>
      <c r="U22" s="334">
        <f t="shared" si="6"/>
        <v>-3.4236893177032476E-2</v>
      </c>
      <c r="V22" s="339">
        <f t="shared" si="7"/>
        <v>33.239702113623764</v>
      </c>
      <c r="W22" s="334">
        <f>IF(AND(AND(ISNUMBER('Laboratorio_M '!O24),ISNUMBER('Courier_M.'!O26)),AND(Laboratorio_M!O24&gt;20,'Courier_M.'!O26&gt;20)),Laboratorio_M!O24," ")</f>
        <v>28.73</v>
      </c>
      <c r="X22" s="334">
        <f>IF(AND(AND(ISNUMBER('Laboratorio_M '!O24),ISNUMBER('Courier_M.'!O26)),AND(Laboratorio_M!O24&gt;20,'Courier_M.'!O26&gt;20)),'Courier_M.'!O26," ")</f>
        <v>29.232358932495117</v>
      </c>
      <c r="Y22" s="334">
        <f t="shared" si="8"/>
        <v>-0.50235893249511676</v>
      </c>
      <c r="Z22" s="339">
        <f t="shared" si="9"/>
        <v>1.7485518012360486</v>
      </c>
      <c r="AA22" s="334" t="str">
        <f>IF(AND(ISNUMBER('Laboratorio_M '!Q24),ISNUMBER('Courier_M '!Q26)),'Laboratorio_M '!Q24," ")</f>
        <v xml:space="preserve"> </v>
      </c>
      <c r="AB22" s="334" t="str">
        <f>IF(AND(ISNUMBER('Laboratorio_M '!Q24),ISNUMBER('Courier_M '!Q26)),'Courier_M '!Q26," ")</f>
        <v xml:space="preserve"> </v>
      </c>
      <c r="AC22" s="334" t="str">
        <f t="shared" si="10"/>
        <v xml:space="preserve"> </v>
      </c>
      <c r="AD22" s="339" t="str">
        <f t="shared" si="11"/>
        <v xml:space="preserve"> </v>
      </c>
      <c r="AE22" s="334" t="str">
        <f>IF(AND(ISNUMBER('Laboratorio_M '!S24),ISNUMBER('Courier_M '!S26)),'Laboratorio_M '!S24," ")</f>
        <v xml:space="preserve"> </v>
      </c>
      <c r="AF22" s="334" t="str">
        <f>IF(AND(ISNUMBER('Laboratorio_M '!S24),ISNUMBER('Courier_M '!S26)),'Courier_M '!S26," ")</f>
        <v xml:space="preserve"> </v>
      </c>
      <c r="AG22" s="334" t="str">
        <f t="shared" si="31"/>
        <v xml:space="preserve"> </v>
      </c>
      <c r="AH22" s="339" t="str">
        <f t="shared" si="12"/>
        <v xml:space="preserve"> </v>
      </c>
      <c r="AI22" s="334" t="str">
        <f>IF(AND(ISNUMBER('Laboratorio_M '!U24),ISNUMBER('Courier_M '!U26)),'Laboratorio_M '!U24," ")</f>
        <v xml:space="preserve"> </v>
      </c>
      <c r="AJ22" s="334" t="str">
        <f>IF(AND(ISNUMBER('Laboratorio_M '!U24),ISNUMBER('Courier_M '!U26)),'Courier_M '!U26," ")</f>
        <v xml:space="preserve"> </v>
      </c>
      <c r="AK22" s="334" t="str">
        <f t="shared" si="13"/>
        <v xml:space="preserve"> </v>
      </c>
      <c r="AL22" s="339" t="str">
        <f t="shared" si="14"/>
        <v xml:space="preserve"> </v>
      </c>
      <c r="AM22" s="334"/>
      <c r="AN22" s="334"/>
      <c r="AO22" s="338" t="str">
        <f>IF(AND(ISNUMBER('Laboratorio_M '!F24),ISNUMBER('Courier_M.'!F26)),Laboratorio_M!F24," ")</f>
        <v xml:space="preserve"> </v>
      </c>
      <c r="AP22" s="334" t="str">
        <f>IF(AND(ISNUMBER('Laboratorio_M '!F24),ISNUMBER('Courier_M.'!F26)),'Courier_M.'!F26," ")</f>
        <v xml:space="preserve"> </v>
      </c>
      <c r="AQ22" s="334" t="str">
        <f t="shared" si="15"/>
        <v xml:space="preserve"> </v>
      </c>
      <c r="AR22" s="339" t="str">
        <f t="shared" si="16"/>
        <v xml:space="preserve"> </v>
      </c>
      <c r="AS22" s="334" t="str">
        <f>IF(AND(ISNUMBER('Laboratorio_M '!H24),ISNUMBER('Courier_M.'!H26)),Laboratorio_M!H24," ")</f>
        <v xml:space="preserve"> </v>
      </c>
      <c r="AT22" s="334" t="str">
        <f>IF(AND(ISNUMBER('Laboratorio_M '!H24),ISNUMBER('Courier_M.'!H26)),'Courier_M.'!H26," ")</f>
        <v xml:space="preserve"> </v>
      </c>
      <c r="AU22" s="334" t="str">
        <f t="shared" si="32"/>
        <v xml:space="preserve"> </v>
      </c>
      <c r="AV22" s="339" t="str">
        <f t="shared" si="17"/>
        <v xml:space="preserve"> </v>
      </c>
      <c r="AW22" s="334" t="str">
        <f>IF(AND(ISNUMBER('Laboratorio_M '!J24),ISNUMBER('Courier_M.'!J26)),Laboratorio_M!J24," ")</f>
        <v xml:space="preserve"> </v>
      </c>
      <c r="AX22" s="334" t="str">
        <f>IF(AND(ISNUMBER('Laboratorio_M '!J24),ISNUMBER('Courier_M.'!J26)),'Courier_M.'!J26," ")</f>
        <v xml:space="preserve"> </v>
      </c>
      <c r="AY22" s="334" t="str">
        <f t="shared" si="18"/>
        <v xml:space="preserve"> </v>
      </c>
      <c r="AZ22" s="339" t="str">
        <f t="shared" si="19"/>
        <v xml:space="preserve"> </v>
      </c>
      <c r="BA22" s="334" t="str">
        <f>IF(AND(ISNUMBER('Laboratorio_M '!L24),ISNUMBER('Courier_M.'!L26)),Laboratorio_M!L24," ")</f>
        <v xml:space="preserve"> </v>
      </c>
      <c r="BB22" s="334" t="str">
        <f>IF(AND(ISNUMBER('Laboratorio_M '!L24),ISNUMBER('Courier_M '!L26)),'Courier_M '!L26," ")</f>
        <v xml:space="preserve"> </v>
      </c>
      <c r="BC22" s="334" t="str">
        <f t="shared" si="20"/>
        <v xml:space="preserve"> </v>
      </c>
      <c r="BD22" s="339" t="str">
        <f t="shared" si="21"/>
        <v xml:space="preserve"> </v>
      </c>
      <c r="BE22" s="334" t="str">
        <f>IF(AND(ISNUMBER('Laboratorio_M '!N24),ISNUMBER('Courier_M.'!N26)),Laboratorio_M!N24," ")</f>
        <v xml:space="preserve"> </v>
      </c>
      <c r="BF22" s="334" t="str">
        <f>IF(AND(ISNUMBER('Laboratorio_M '!N24),ISNUMBER('Courier_M.'!N26)),'Courier_M.'!N26," ")</f>
        <v xml:space="preserve"> </v>
      </c>
      <c r="BG22" s="334" t="str">
        <f t="shared" si="22"/>
        <v xml:space="preserve"> </v>
      </c>
      <c r="BH22" s="339" t="str">
        <f t="shared" si="23"/>
        <v xml:space="preserve"> </v>
      </c>
      <c r="BI22" s="337" t="str">
        <f>IF(AND(ISNUMBER('Laboratorio_M '!P24),ISNUMBER('Courier_M.'!P26)),Laboratorio_M!P24," ")</f>
        <v xml:space="preserve"> </v>
      </c>
      <c r="BJ22" s="334" t="str">
        <f>IF(AND(ISNUMBER('Laboratorio_M '!P24),ISNUMBER('Courier_M '!P26)),'Courier_M '!P26," ")</f>
        <v xml:space="preserve"> </v>
      </c>
      <c r="BK22" s="334" t="str">
        <f t="shared" si="24"/>
        <v xml:space="preserve"> </v>
      </c>
      <c r="BL22" s="339" t="str">
        <f t="shared" si="25"/>
        <v xml:space="preserve"> </v>
      </c>
      <c r="BM22" s="334" t="str">
        <f>IF(AND(ISNUMBER('Laboratorio_M '!R24),ISNUMBER('Courier_M '!R26)),'Laboratorio_M '!R24," ")</f>
        <v xml:space="preserve"> </v>
      </c>
      <c r="BN22" s="334" t="str">
        <f>IF(AND(ISNUMBER('Laboratorio_M '!R24),ISNUMBER('Courier_M '!R26)),'Courier_M '!R26," ")</f>
        <v xml:space="preserve"> </v>
      </c>
      <c r="BO22" s="334" t="str">
        <f t="shared" si="33"/>
        <v xml:space="preserve"> </v>
      </c>
      <c r="BP22" s="339" t="str">
        <f t="shared" si="26"/>
        <v xml:space="preserve"> </v>
      </c>
      <c r="BQ22" s="334" t="str">
        <f>IF(AND(ISNUMBER('Laboratorio_M '!T24),ISNUMBER('Courier_M '!T26)),'Laboratorio_M '!T24," ")</f>
        <v xml:space="preserve"> </v>
      </c>
      <c r="BR22" s="334" t="str">
        <f>IF(AND(ISNUMBER('Laboratorio_M '!T24),ISNUMBER('Courier_M '!T26)),'Courier_M '!T26," ")</f>
        <v xml:space="preserve"> </v>
      </c>
      <c r="BS22" s="334" t="str">
        <f t="shared" si="34"/>
        <v xml:space="preserve"> </v>
      </c>
      <c r="BT22" s="339" t="str">
        <f t="shared" si="35"/>
        <v xml:space="preserve"> </v>
      </c>
      <c r="BU22" s="334" t="str">
        <f>IF(AND(ISNUMBER('Laboratorio_M '!V24),ISNUMBER('Courier_M '!V26)),'Laboratorio_M '!V24," ")</f>
        <v xml:space="preserve"> </v>
      </c>
      <c r="BV22" s="334" t="str">
        <f>IF(AND(ISNUMBER('Laboratorio_M '!V24),ISNUMBER('Courier_M '!V26)),'Courier_M '!V26," ")</f>
        <v xml:space="preserve"> </v>
      </c>
      <c r="BW22" s="334" t="str">
        <f t="shared" si="27"/>
        <v xml:space="preserve"> </v>
      </c>
      <c r="BX22" s="339" t="str">
        <f t="shared" si="28"/>
        <v xml:space="preserve"> </v>
      </c>
    </row>
    <row r="23" spans="3:76" x14ac:dyDescent="0.2">
      <c r="C23" s="338" t="str">
        <f>IF(AND(ISNUMBER('Laboratorio_M '!E25),ISNUMBER('Courier_M '!E27)),'Laboratorio_M '!E25," ")</f>
        <v xml:space="preserve"> </v>
      </c>
      <c r="D23" s="334" t="str">
        <f>IF(AND(ISNUMBER('Laboratorio_M '!E25),ISNUMBER('Courier_M '!E27)),'Courier_M '!E27," ")</f>
        <v xml:space="preserve"> </v>
      </c>
      <c r="E23" s="334" t="str">
        <f t="shared" si="29"/>
        <v xml:space="preserve"> </v>
      </c>
      <c r="F23" s="339" t="str">
        <f t="shared" si="0"/>
        <v xml:space="preserve"> </v>
      </c>
      <c r="G23" s="334" t="str">
        <f>IF(AND(ISNUMBER('Laboratorio_M '!G25),ISNUMBER('Courier_M '!G27)),'Laboratorio_M '!G25," ")</f>
        <v xml:space="preserve"> </v>
      </c>
      <c r="H23" s="334" t="str">
        <f>IF(AND(ISNUMBER('Laboratorio_M '!G25),ISNUMBER('Courier_M '!G27)),'Courier_M '!G27," ")</f>
        <v xml:space="preserve"> </v>
      </c>
      <c r="I23" s="334" t="str">
        <f t="shared" si="30"/>
        <v xml:space="preserve"> </v>
      </c>
      <c r="J23" s="339" t="str">
        <f t="shared" si="1"/>
        <v xml:space="preserve"> </v>
      </c>
      <c r="K23" s="334" t="str">
        <f>IF(AND(ISNUMBER('Laboratorio_M '!I25),ISNUMBER('Courier_M.'!I27)),Laboratorio_M!I25," ")</f>
        <v xml:space="preserve"> </v>
      </c>
      <c r="L23" s="334" t="str">
        <f>IF(AND(ISNUMBER('Laboratorio_M '!I25),ISNUMBER('Courier_M.'!I27)),'Courier_M.'!I27," ")</f>
        <v xml:space="preserve"> </v>
      </c>
      <c r="M23" s="334" t="str">
        <f t="shared" si="2"/>
        <v xml:space="preserve"> </v>
      </c>
      <c r="N23" s="339" t="str">
        <f t="shared" si="3"/>
        <v xml:space="preserve"> </v>
      </c>
      <c r="O23" s="334" t="str">
        <f>IF(AND(AND(ISNUMBER('Laboratorio_M '!K25),ISNUMBER('Courier_M.'!K27)),AND('Laboratorio_M '!K25&gt;17,'Courier_M.'!K27&gt;17)),Laboratorio_M!K25," ")</f>
        <v xml:space="preserve"> </v>
      </c>
      <c r="P23" s="334" t="str">
        <f>IF(AND(AND(ISNUMBER('Laboratorio_M '!K25),ISNUMBER('Courier_M.'!K27)),AND(Laboratorio_M!K25&gt;17,'Courier_M.'!K27&gt;17)),'Courier_M.'!K27," ")</f>
        <v xml:space="preserve"> </v>
      </c>
      <c r="Q23" s="334" t="str">
        <f t="shared" si="4"/>
        <v xml:space="preserve"> </v>
      </c>
      <c r="R23" s="339" t="str">
        <f t="shared" si="5"/>
        <v xml:space="preserve"> </v>
      </c>
      <c r="S23" s="334" t="str">
        <f>IF(AND(ISNUMBER(Laboratorio_M!M25),ISNUMBER('Courier_M.'!M27)),Laboratorio_M!M25," ")</f>
        <v xml:space="preserve"> </v>
      </c>
      <c r="T23" s="334" t="str">
        <f>IF(AND(ISNUMBER('Laboratorio_M '!M25),ISNUMBER('Courier_M.'!M27)),'Courier_M.'!M27," ")</f>
        <v xml:space="preserve"> </v>
      </c>
      <c r="U23" s="334" t="str">
        <f t="shared" si="6"/>
        <v xml:space="preserve"> </v>
      </c>
      <c r="V23" s="339" t="str">
        <f t="shared" si="7"/>
        <v xml:space="preserve"> </v>
      </c>
      <c r="W23" s="334" t="str">
        <f>IF(AND(AND(ISNUMBER('Laboratorio_M '!O25),ISNUMBER('Courier_M.'!O27)),AND(Laboratorio_M!O25&gt;20,'Courier_M.'!O27&gt;20)),Laboratorio_M!O25," ")</f>
        <v xml:space="preserve"> </v>
      </c>
      <c r="X23" s="334" t="str">
        <f>IF(AND(AND(ISNUMBER('Laboratorio_M '!O25),ISNUMBER('Courier_M.'!O27)),AND(Laboratorio_M!O25&gt;20,'Courier_M.'!O27&gt;20)),'Courier_M.'!O27," ")</f>
        <v xml:space="preserve"> </v>
      </c>
      <c r="Y23" s="334" t="str">
        <f t="shared" si="8"/>
        <v xml:space="preserve"> </v>
      </c>
      <c r="Z23" s="339" t="str">
        <f t="shared" si="9"/>
        <v xml:space="preserve"> </v>
      </c>
      <c r="AA23" s="334" t="str">
        <f>IF(AND(ISNUMBER('Laboratorio_M '!Q25),ISNUMBER('Courier_M '!Q27)),'Laboratorio_M '!Q25," ")</f>
        <v xml:space="preserve"> </v>
      </c>
      <c r="AB23" s="334" t="str">
        <f>IF(AND(ISNUMBER('Laboratorio_M '!Q25),ISNUMBER('Courier_M '!Q27)),'Courier_M '!Q27," ")</f>
        <v xml:space="preserve"> </v>
      </c>
      <c r="AC23" s="334" t="str">
        <f t="shared" si="10"/>
        <v xml:space="preserve"> </v>
      </c>
      <c r="AD23" s="339" t="str">
        <f t="shared" si="11"/>
        <v xml:space="preserve"> </v>
      </c>
      <c r="AE23" s="334" t="str">
        <f>IF(AND(ISNUMBER('Laboratorio_M '!S25),ISNUMBER('Courier_M '!S27)),'Laboratorio_M '!S25," ")</f>
        <v xml:space="preserve"> </v>
      </c>
      <c r="AF23" s="334" t="str">
        <f>IF(AND(ISNUMBER('Laboratorio_M '!S25),ISNUMBER('Courier_M '!S27)),'Courier_M '!S27," ")</f>
        <v xml:space="preserve"> </v>
      </c>
      <c r="AG23" s="334" t="str">
        <f t="shared" si="31"/>
        <v xml:space="preserve"> </v>
      </c>
      <c r="AH23" s="339" t="str">
        <f t="shared" si="12"/>
        <v xml:space="preserve"> </v>
      </c>
      <c r="AI23" s="334" t="str">
        <f>IF(AND(ISNUMBER('Laboratorio_M '!U25),ISNUMBER('Courier_M '!U27)),'Laboratorio_M '!U25," ")</f>
        <v xml:space="preserve"> </v>
      </c>
      <c r="AJ23" s="334" t="str">
        <f>IF(AND(ISNUMBER('Laboratorio_M '!U25),ISNUMBER('Courier_M '!U27)),'Courier_M '!U27," ")</f>
        <v xml:space="preserve"> </v>
      </c>
      <c r="AK23" s="334" t="str">
        <f t="shared" si="13"/>
        <v xml:space="preserve"> </v>
      </c>
      <c r="AL23" s="339" t="str">
        <f t="shared" si="14"/>
        <v xml:space="preserve"> </v>
      </c>
      <c r="AM23" s="334"/>
      <c r="AN23" s="334"/>
      <c r="AO23" s="338">
        <f>IF(AND(ISNUMBER('Laboratorio_M '!F25),ISNUMBER('Courier_M.'!F27)),Laboratorio_M!F25," ")</f>
        <v>21.108000000000001</v>
      </c>
      <c r="AP23" s="334">
        <f>IF(AND(ISNUMBER('Laboratorio_M '!F25),ISNUMBER('Courier_M.'!F27)),'Courier_M.'!F27," ")</f>
        <v>22.481559753417969</v>
      </c>
      <c r="AQ23" s="334">
        <f t="shared" si="15"/>
        <v>-1.3735597534179682</v>
      </c>
      <c r="AR23" s="339">
        <f t="shared" si="16"/>
        <v>6.5072946438220969</v>
      </c>
      <c r="AS23" s="334">
        <f>IF(AND(ISNUMBER('Laboratorio_M '!H25),ISNUMBER('Courier_M.'!H27)),Laboratorio_M!H25," ")</f>
        <v>2.657</v>
      </c>
      <c r="AT23" s="334">
        <f>IF(AND(ISNUMBER('Laboratorio_M '!H25),ISNUMBER('Courier_M.'!H27)),'Courier_M.'!H27," ")</f>
        <v>2.4774608612060547</v>
      </c>
      <c r="AU23" s="334">
        <f t="shared" si="32"/>
        <v>0.17953913879394534</v>
      </c>
      <c r="AV23" s="339">
        <f t="shared" si="17"/>
        <v>6.7572126004495807</v>
      </c>
      <c r="AW23" s="334">
        <f>IF(AND(ISNUMBER('Laboratorio_M '!J25),ISNUMBER('Courier_M.'!J27)),Laboratorio_M!J25," ")</f>
        <v>28.95</v>
      </c>
      <c r="AX23" s="334">
        <f>IF(AND(ISNUMBER('Laboratorio_M '!J25),ISNUMBER('Courier_M.'!J27)),'Courier_M.'!J27," ")</f>
        <v>28.908685684204102</v>
      </c>
      <c r="AY23" s="334">
        <f t="shared" si="18"/>
        <v>4.1314315795897727E-2</v>
      </c>
      <c r="AZ23" s="339">
        <f t="shared" si="19"/>
        <v>0.14270920827598524</v>
      </c>
      <c r="BA23" s="334">
        <f>IF(AND(ISNUMBER('Laboratorio_M '!L25),ISNUMBER('Courier_M.'!L27)),Laboratorio_M!L25," ")</f>
        <v>22.564</v>
      </c>
      <c r="BB23" s="334">
        <f>IF(AND(ISNUMBER('Laboratorio_M '!L25),ISNUMBER('Courier_M '!L27)),'Courier_M '!L27," ")</f>
        <v>22.364408493041992</v>
      </c>
      <c r="BC23" s="334">
        <f t="shared" si="20"/>
        <v>0.19959150695800787</v>
      </c>
      <c r="BD23" s="339">
        <f t="shared" si="21"/>
        <v>0.88455729018794471</v>
      </c>
      <c r="BE23" s="334">
        <f>IF(AND(ISNUMBER('Laboratorio_M '!N25),ISNUMBER('Courier_M.'!N27)),Laboratorio_M!N25," ")</f>
        <v>5.3999999999999999E-2</v>
      </c>
      <c r="BF23" s="334">
        <f>IF(AND(ISNUMBER('Laboratorio_M '!N25),ISNUMBER('Courier_M.'!N27)),'Courier_M.'!N27," ")</f>
        <v>0.85045719146728516</v>
      </c>
      <c r="BG23" s="334">
        <f t="shared" si="22"/>
        <v>-0.79645719146728511</v>
      </c>
      <c r="BH23" s="339">
        <f t="shared" si="23"/>
        <v>1474.9207249394169</v>
      </c>
      <c r="BI23" s="337">
        <f>IF(AND(ISNUMBER('Laboratorio_M '!P25),ISNUMBER('Courier_M.'!P27)),Laboratorio_M!P25," ")</f>
        <v>28.59</v>
      </c>
      <c r="BJ23" s="334">
        <f>IF(AND(ISNUMBER('Laboratorio_M '!P25),ISNUMBER('Courier_M '!P27)),'Courier_M '!P27," ")</f>
        <v>27.969631195068359</v>
      </c>
      <c r="BK23" s="334">
        <f t="shared" si="24"/>
        <v>0.62036880493164048</v>
      </c>
      <c r="BL23" s="339">
        <f t="shared" si="25"/>
        <v>2.1698803950039891</v>
      </c>
      <c r="BM23" s="334">
        <f>IF(AND(ISNUMBER('Laboratorio_M '!R25),ISNUMBER('Courier_M '!R27)),'Laboratorio_M '!R25," ")</f>
        <v>0.60699999999999998</v>
      </c>
      <c r="BN23" s="334">
        <f>IF(AND(ISNUMBER('Laboratorio_M '!R25),ISNUMBER('Courier_M '!R27)),'Courier_M '!R27," ")</f>
        <v>0.49724653363227844</v>
      </c>
      <c r="BO23" s="334">
        <f t="shared" si="33"/>
        <v>0.10975346636772154</v>
      </c>
      <c r="BP23" s="339">
        <f t="shared" si="26"/>
        <v>18.081295941964008</v>
      </c>
      <c r="BQ23" s="334">
        <f>IF(AND(ISNUMBER('Laboratorio_M '!T25),ISNUMBER('Courier_M '!T27)),'Laboratorio_M '!T25," ")</f>
        <v>55.411000000000001</v>
      </c>
      <c r="BR23" s="334">
        <f>IF(AND(ISNUMBER('Laboratorio_M '!T25),ISNUMBER('Courier_M '!T27)),'Courier_M '!T27," ")</f>
        <v>55.790214538574219</v>
      </c>
      <c r="BS23" s="334">
        <f t="shared" si="34"/>
        <v>-0.37921453857421739</v>
      </c>
      <c r="BT23" s="339">
        <f t="shared" si="35"/>
        <v>0.68436689208680113</v>
      </c>
      <c r="BU23" s="334">
        <f>IF(AND(ISNUMBER('Laboratorio_M '!V25),ISNUMBER('Courier_M '!V27)),'Laboratorio_M '!V25," ")</f>
        <v>1.6519999999999999</v>
      </c>
      <c r="BV23" s="334">
        <f>IF(AND(ISNUMBER('Laboratorio_M '!V25),ISNUMBER('Courier_M '!V27)),'Courier_M '!V27," ")</f>
        <v>0.74903416633605957</v>
      </c>
      <c r="BW23" s="334">
        <f t="shared" si="27"/>
        <v>0.90296583366394034</v>
      </c>
      <c r="BX23" s="339">
        <f t="shared" si="28"/>
        <v>54.658948769003658</v>
      </c>
    </row>
    <row r="24" spans="3:76" x14ac:dyDescent="0.2">
      <c r="C24" s="338">
        <f>IF(AND(ISNUMBER('Laboratorio_M '!E26),ISNUMBER('Courier_M '!E28)),'Laboratorio_M '!E26," ")</f>
        <v>23.391999999999999</v>
      </c>
      <c r="D24" s="334">
        <f>IF(AND(ISNUMBER('Laboratorio_M '!E26),ISNUMBER('Courier_M '!E28)),'Courier_M '!E28," ")</f>
        <v>24.347196578979492</v>
      </c>
      <c r="E24" s="334">
        <f t="shared" si="29"/>
        <v>-0.95519657897949273</v>
      </c>
      <c r="F24" s="339">
        <f t="shared" si="0"/>
        <v>4.0834327076756702</v>
      </c>
      <c r="G24" s="334">
        <f>IF(AND(ISNUMBER('Laboratorio_M '!G26),ISNUMBER('Courier_M '!G28)),'Laboratorio_M '!G26," ")</f>
        <v>2.6150000000000002</v>
      </c>
      <c r="H24" s="334">
        <f>IF(AND(ISNUMBER('Laboratorio_M '!G26),ISNUMBER('Courier_M '!G28)),'Courier_M '!G28," ")</f>
        <v>2.4923830032348633</v>
      </c>
      <c r="I24" s="334">
        <f t="shared" si="30"/>
        <v>0.12261699676513693</v>
      </c>
      <c r="J24" s="339">
        <f t="shared" si="1"/>
        <v>4.6889864919746431</v>
      </c>
      <c r="K24" s="334">
        <f>IF(AND(ISNUMBER('Laboratorio_M '!I26),ISNUMBER('Courier_M.'!I28)),Laboratorio_M!I26," ")</f>
        <v>26.88</v>
      </c>
      <c r="L24" s="334">
        <f>IF(AND(ISNUMBER('Laboratorio_M '!I26),ISNUMBER('Courier_M.'!I28)),'Courier_M.'!I28," ")</f>
        <v>29.583076477050781</v>
      </c>
      <c r="M24" s="334">
        <f t="shared" si="2"/>
        <v>-2.7030764770507822</v>
      </c>
      <c r="N24" s="339">
        <f t="shared" si="3"/>
        <v>10.056088084266303</v>
      </c>
      <c r="O24" s="334">
        <f>IF(AND(AND(ISNUMBER('Laboratorio_M '!K26),ISNUMBER('Courier_M.'!K28)),AND('Laboratorio_M '!K26&gt;17,'Courier_M.'!K28&gt;17)),Laboratorio_M!K26," ")</f>
        <v>23.491</v>
      </c>
      <c r="P24" s="334">
        <f>IF(AND(AND(ISNUMBER('Laboratorio_M '!K26),ISNUMBER('Courier_M.'!K28)),AND(Laboratorio_M!K26&gt;17,'Courier_M.'!K28&gt;17)),'Courier_M.'!K28," ")</f>
        <v>22.362728118896484</v>
      </c>
      <c r="Q24" s="334">
        <f t="shared" si="4"/>
        <v>1.1282718811035153</v>
      </c>
      <c r="R24" s="339">
        <f t="shared" si="5"/>
        <v>4.8029963862905598</v>
      </c>
      <c r="S24" s="334">
        <f>IF(AND(ISNUMBER(Laboratorio_M!M26),ISNUMBER('Courier_M.'!M28)),Laboratorio_M!M26," ")</f>
        <v>7.5999999999999998E-2</v>
      </c>
      <c r="T24" s="334">
        <f>IF(AND(ISNUMBER('Laboratorio_M '!M26),ISNUMBER('Courier_M.'!M28)),'Courier_M.'!M28," ")</f>
        <v>1.069115161895752</v>
      </c>
      <c r="U24" s="334">
        <f t="shared" si="6"/>
        <v>-0.993115161895752</v>
      </c>
      <c r="V24" s="339">
        <f t="shared" si="7"/>
        <v>1306.7304761786211</v>
      </c>
      <c r="W24" s="334">
        <f>IF(AND(AND(ISNUMBER('Laboratorio_M '!O26),ISNUMBER('Courier_M.'!O28)),AND(Laboratorio_M!O26&gt;20,'Courier_M.'!O28&gt;20)),Laboratorio_M!O26," ")</f>
        <v>26.89</v>
      </c>
      <c r="X24" s="334">
        <f>IF(AND(AND(ISNUMBER('Laboratorio_M '!O26),ISNUMBER('Courier_M.'!O28)),AND(Laboratorio_M!O26&gt;20,'Courier_M.'!O28&gt;20)),'Courier_M.'!O28," ")</f>
        <v>28.6943359375</v>
      </c>
      <c r="Y24" s="334">
        <f t="shared" si="8"/>
        <v>-1.8043359374999994</v>
      </c>
      <c r="Z24" s="339">
        <f t="shared" si="9"/>
        <v>6.7100629880996632</v>
      </c>
      <c r="AA24" s="334" t="str">
        <f>IF(AND(ISNUMBER('Laboratorio_M '!Q26),ISNUMBER('Courier_M '!Q28)),'Laboratorio_M '!Q26," ")</f>
        <v xml:space="preserve"> </v>
      </c>
      <c r="AB24" s="334" t="str">
        <f>IF(AND(ISNUMBER('Laboratorio_M '!Q26),ISNUMBER('Courier_M '!Q28)),'Courier_M '!Q28," ")</f>
        <v xml:space="preserve"> </v>
      </c>
      <c r="AC24" s="334" t="str">
        <f t="shared" si="10"/>
        <v xml:space="preserve"> </v>
      </c>
      <c r="AD24" s="339" t="str">
        <f t="shared" si="11"/>
        <v xml:space="preserve"> </v>
      </c>
      <c r="AE24" s="334" t="str">
        <f>IF(AND(ISNUMBER('Laboratorio_M '!S26),ISNUMBER('Courier_M '!S28)),'Laboratorio_M '!S26," ")</f>
        <v xml:space="preserve"> </v>
      </c>
      <c r="AF24" s="334" t="str">
        <f>IF(AND(ISNUMBER('Laboratorio_M '!S26),ISNUMBER('Courier_M '!S28)),'Courier_M '!S28," ")</f>
        <v xml:space="preserve"> </v>
      </c>
      <c r="AG24" s="334" t="str">
        <f t="shared" si="31"/>
        <v xml:space="preserve"> </v>
      </c>
      <c r="AH24" s="339" t="str">
        <f t="shared" si="12"/>
        <v xml:space="preserve"> </v>
      </c>
      <c r="AI24" s="334" t="str">
        <f>IF(AND(ISNUMBER('Laboratorio_M '!U26),ISNUMBER('Courier_M '!U28)),'Laboratorio_M '!U26," ")</f>
        <v xml:space="preserve"> </v>
      </c>
      <c r="AJ24" s="334" t="str">
        <f>IF(AND(ISNUMBER('Laboratorio_M '!U26),ISNUMBER('Courier_M '!U28)),'Courier_M '!U28," ")</f>
        <v xml:space="preserve"> </v>
      </c>
      <c r="AK24" s="334" t="str">
        <f t="shared" si="13"/>
        <v xml:space="preserve"> </v>
      </c>
      <c r="AL24" s="339" t="str">
        <f t="shared" si="14"/>
        <v xml:space="preserve"> </v>
      </c>
      <c r="AM24" s="334"/>
      <c r="AN24" s="334"/>
      <c r="AO24" s="338">
        <f>IF(AND(ISNUMBER('Laboratorio_M '!F26),ISNUMBER('Courier_M.'!F28)),Laboratorio_M!F26," ")</f>
        <v>23.292999999999999</v>
      </c>
      <c r="AP24" s="334">
        <f>IF(AND(ISNUMBER('Laboratorio_M '!F26),ISNUMBER('Courier_M.'!F28)),'Courier_M.'!F28," ")</f>
        <v>23.374361038208008</v>
      </c>
      <c r="AQ24" s="334">
        <f t="shared" si="15"/>
        <v>-8.1361038208008551E-2</v>
      </c>
      <c r="AR24" s="339">
        <f t="shared" si="16"/>
        <v>0.34929394327913343</v>
      </c>
      <c r="AS24" s="334">
        <f>IF(AND(ISNUMBER('Laboratorio_M '!H26),ISNUMBER('Courier_M.'!H28)),Laboratorio_M!H26," ")</f>
        <v>2.73</v>
      </c>
      <c r="AT24" s="334">
        <f>IF(AND(ISNUMBER('Laboratorio_M '!H26),ISNUMBER('Courier_M.'!H28)),'Courier_M.'!H28," ")</f>
        <v>2.3033030033111572</v>
      </c>
      <c r="AU24" s="334">
        <f t="shared" si="32"/>
        <v>0.42669699668884276</v>
      </c>
      <c r="AV24" s="339">
        <f t="shared" si="17"/>
        <v>15.629926618638928</v>
      </c>
      <c r="AW24" s="334">
        <f>IF(AND(ISNUMBER('Laboratorio_M '!J26),ISNUMBER('Courier_M.'!J28)),Laboratorio_M!J26," ")</f>
        <v>28.44</v>
      </c>
      <c r="AX24" s="334">
        <f>IF(AND(ISNUMBER('Laboratorio_M '!J26),ISNUMBER('Courier_M.'!J28)),'Courier_M.'!J28," ")</f>
        <v>28.93815803527832</v>
      </c>
      <c r="AY24" s="334">
        <f t="shared" si="18"/>
        <v>-0.49815803527831903</v>
      </c>
      <c r="AZ24" s="339">
        <f t="shared" si="19"/>
        <v>1.7516105319209532</v>
      </c>
      <c r="BA24" s="334">
        <f>IF(AND(ISNUMBER('Laboratorio_M '!L26),ISNUMBER('Courier_M.'!L28)),Laboratorio_M!L26," ")</f>
        <v>19.402999999999999</v>
      </c>
      <c r="BB24" s="334">
        <f>IF(AND(ISNUMBER('Laboratorio_M '!L26),ISNUMBER('Courier_M '!L28)),'Courier_M '!L28," ")</f>
        <v>23.310703277587891</v>
      </c>
      <c r="BC24" s="334">
        <f t="shared" si="20"/>
        <v>-3.9077032775878919</v>
      </c>
      <c r="BD24" s="339">
        <f t="shared" si="21"/>
        <v>20.1396860155022</v>
      </c>
      <c r="BE24" s="334">
        <f>IF(AND(ISNUMBER('Laboratorio_M '!N26),ISNUMBER('Courier_M.'!N28)),Laboratorio_M!N26," ")</f>
        <v>4.5999999999999999E-2</v>
      </c>
      <c r="BF24" s="334">
        <f>IF(AND(ISNUMBER('Laboratorio_M '!N26),ISNUMBER('Courier_M.'!N28)),'Courier_M.'!N28," ")</f>
        <v>0.20690819621086121</v>
      </c>
      <c r="BG24" s="334">
        <f t="shared" si="22"/>
        <v>-0.16090819621086122</v>
      </c>
      <c r="BH24" s="339">
        <f t="shared" si="23"/>
        <v>349.80042654535049</v>
      </c>
      <c r="BI24" s="337">
        <f>IF(AND(ISNUMBER('Laboratorio_M '!P26),ISNUMBER('Courier_M.'!P28)),Laboratorio_M!P26," ")</f>
        <v>29.21</v>
      </c>
      <c r="BJ24" s="334">
        <f>IF(AND(ISNUMBER('Laboratorio_M '!P26),ISNUMBER('Courier_M '!P28)),'Courier_M '!P28," ")</f>
        <v>29.032255172729492</v>
      </c>
      <c r="BK24" s="334">
        <f t="shared" si="24"/>
        <v>0.17774482727050867</v>
      </c>
      <c r="BL24" s="339">
        <f t="shared" si="25"/>
        <v>0.60850676915614055</v>
      </c>
      <c r="BM24" s="334">
        <f>IF(AND(ISNUMBER('Laboratorio_M '!R26),ISNUMBER('Courier_M '!R28)),'Laboratorio_M '!R26," ")</f>
        <v>0.68</v>
      </c>
      <c r="BN24" s="334">
        <f>IF(AND(ISNUMBER('Laboratorio_M '!R26),ISNUMBER('Courier_M '!R28)),'Courier_M '!R28," ")</f>
        <v>0.63955205678939819</v>
      </c>
      <c r="BO24" s="334">
        <f t="shared" si="33"/>
        <v>4.0447943210601855E-2</v>
      </c>
      <c r="BP24" s="339">
        <f t="shared" si="26"/>
        <v>5.948226942735567</v>
      </c>
      <c r="BQ24" s="334">
        <f>IF(AND(ISNUMBER('Laboratorio_M '!T26),ISNUMBER('Courier_M '!T28)),'Laboratorio_M '!T26," ")</f>
        <v>56.656999999999996</v>
      </c>
      <c r="BR24" s="334">
        <f>IF(AND(ISNUMBER('Laboratorio_M '!T26),ISNUMBER('Courier_M '!T28)),'Courier_M '!T28," ")</f>
        <v>54.681602478027344</v>
      </c>
      <c r="BS24" s="334">
        <f t="shared" si="34"/>
        <v>1.9753975219726527</v>
      </c>
      <c r="BT24" s="339">
        <f t="shared" si="35"/>
        <v>3.4865903983138056</v>
      </c>
      <c r="BU24" s="334">
        <f>IF(AND(ISNUMBER('Laboratorio_M '!V26),ISNUMBER('Courier_M '!V28)),'Laboratorio_M '!V26," ")</f>
        <v>1.099</v>
      </c>
      <c r="BV24" s="334">
        <f>IF(AND(ISNUMBER('Laboratorio_M '!V26),ISNUMBER('Courier_M '!V28)),'Courier_M '!V28," ")</f>
        <v>1.9930775165557861</v>
      </c>
      <c r="BW24" s="334">
        <f t="shared" si="27"/>
        <v>-0.89407751655578616</v>
      </c>
      <c r="BX24" s="339">
        <f t="shared" si="28"/>
        <v>81.353732170681184</v>
      </c>
    </row>
    <row r="25" spans="3:76" x14ac:dyDescent="0.2">
      <c r="C25" s="338">
        <f>IF(AND(ISNUMBER('Laboratorio_M '!E27),ISNUMBER('Courier_M '!E29)),'Laboratorio_M '!E27," ")</f>
        <v>23.431999999999999</v>
      </c>
      <c r="D25" s="334">
        <f>IF(AND(ISNUMBER('Laboratorio_M '!E27),ISNUMBER('Courier_M '!E29)),'Courier_M '!E29," ")</f>
        <v>22.50579833984375</v>
      </c>
      <c r="E25" s="334">
        <f t="shared" si="29"/>
        <v>0.92620166015624861</v>
      </c>
      <c r="F25" s="339">
        <f t="shared" si="0"/>
        <v>3.9527213219368758</v>
      </c>
      <c r="G25" s="334">
        <f>IF(AND(ISNUMBER('Laboratorio_M '!G27),ISNUMBER('Courier_M '!G29)),'Laboratorio_M '!G27," ")</f>
        <v>2.0859999999999999</v>
      </c>
      <c r="H25" s="334">
        <f>IF(AND(ISNUMBER('Laboratorio_M '!G27),ISNUMBER('Courier_M '!G29)),'Courier_M '!G29," ")</f>
        <v>2.4225966930389404</v>
      </c>
      <c r="I25" s="334">
        <f t="shared" si="30"/>
        <v>-0.33659669303894058</v>
      </c>
      <c r="J25" s="339">
        <f t="shared" si="1"/>
        <v>16.13598720225027</v>
      </c>
      <c r="K25" s="334">
        <f>IF(AND(ISNUMBER('Laboratorio_M '!I27),ISNUMBER('Courier_M.'!I29)),Laboratorio_M!I27," ")</f>
        <v>30</v>
      </c>
      <c r="L25" s="334">
        <f>IF(AND(ISNUMBER('Laboratorio_M '!I27),ISNUMBER('Courier_M.'!I29)),'Courier_M.'!I29," ")</f>
        <v>29.058753967285156</v>
      </c>
      <c r="M25" s="334">
        <f t="shared" si="2"/>
        <v>0.94124603271484375</v>
      </c>
      <c r="N25" s="339">
        <f t="shared" si="3"/>
        <v>3.137486775716146</v>
      </c>
      <c r="O25" s="334">
        <f>IF(AND(AND(ISNUMBER('Laboratorio_M '!K27),ISNUMBER('Courier_M.'!K29)),AND('Laboratorio_M '!K27&gt;17,'Courier_M.'!K29&gt;17)),Laboratorio_M!K27," ")</f>
        <v>23.382999999999999</v>
      </c>
      <c r="P25" s="334">
        <f>IF(AND(AND(ISNUMBER('Laboratorio_M '!K27),ISNUMBER('Courier_M.'!K29)),AND(Laboratorio_M!K27&gt;17,'Courier_M.'!K29&gt;17)),'Courier_M.'!K29," ")</f>
        <v>22.593915939331055</v>
      </c>
      <c r="Q25" s="334">
        <f t="shared" si="4"/>
        <v>0.78908406066894443</v>
      </c>
      <c r="R25" s="339">
        <f t="shared" si="5"/>
        <v>3.3746057420730633</v>
      </c>
      <c r="S25" s="334">
        <f>IF(AND(ISNUMBER(Laboratorio_M!M27),ISNUMBER('Courier_M.'!M29)),Laboratorio_M!M27," ")</f>
        <v>7.2999999999999995E-2</v>
      </c>
      <c r="T25" s="334">
        <f>IF(AND(ISNUMBER('Laboratorio_M '!M27),ISNUMBER('Courier_M.'!M29)),'Courier_M.'!M29," ")</f>
        <v>0.49336770176887512</v>
      </c>
      <c r="U25" s="334">
        <f t="shared" si="6"/>
        <v>-0.42036770176887511</v>
      </c>
      <c r="V25" s="339">
        <f t="shared" si="7"/>
        <v>575.8461668066783</v>
      </c>
      <c r="W25" s="334">
        <f>IF(AND(AND(ISNUMBER('Laboratorio_M '!O27),ISNUMBER('Courier_M.'!O29)),AND(Laboratorio_M!O27&gt;20,'Courier_M.'!O29&gt;20)),Laboratorio_M!O27," ")</f>
        <v>31.46</v>
      </c>
      <c r="X25" s="334">
        <f>IF(AND(AND(ISNUMBER('Laboratorio_M '!O27),ISNUMBER('Courier_M.'!O29)),AND(Laboratorio_M!O27&gt;20,'Courier_M.'!O29&gt;20)),'Courier_M.'!O29," ")</f>
        <v>28.929935455322266</v>
      </c>
      <c r="Y25" s="334">
        <f t="shared" si="8"/>
        <v>2.5300645446777352</v>
      </c>
      <c r="Z25" s="339">
        <f t="shared" si="9"/>
        <v>8.0421632062229342</v>
      </c>
      <c r="AA25" s="334">
        <f>IF(AND(ISNUMBER('Laboratorio_M '!Q27),ISNUMBER('Courier_M '!Q29)),'Laboratorio_M '!Q27," ")</f>
        <v>0.92400000000000004</v>
      </c>
      <c r="AB25" s="334">
        <f>IF(AND(ISNUMBER('Laboratorio_M '!Q27),ISNUMBER('Courier_M '!Q29)),'Courier_M '!Q29," ")</f>
        <v>0.50771427154541016</v>
      </c>
      <c r="AC25" s="334">
        <f t="shared" si="10"/>
        <v>0.41628572845458989</v>
      </c>
      <c r="AD25" s="339">
        <f t="shared" si="11"/>
        <v>45.052568014565999</v>
      </c>
      <c r="AE25" s="334">
        <f>IF(AND(ISNUMBER('Laboratorio_M '!S27),ISNUMBER('Courier_M '!S29)),'Laboratorio_M '!S27," ")</f>
        <v>55.795999999999999</v>
      </c>
      <c r="AF25" s="334">
        <f>IF(AND(ISNUMBER('Laboratorio_M '!S27),ISNUMBER('Courier_M '!S29)),'Courier_M '!S29," ")</f>
        <v>56.021316528320313</v>
      </c>
      <c r="AG25" s="334">
        <f t="shared" si="31"/>
        <v>-0.22531652832031313</v>
      </c>
      <c r="AH25" s="339">
        <f t="shared" si="12"/>
        <v>0.40382200932022572</v>
      </c>
      <c r="AI25" s="334">
        <f>IF(AND(ISNUMBER('Laboratorio_M '!U27),ISNUMBER('Courier_M '!U29)),'Laboratorio_M '!U27," ")</f>
        <v>1.2390000000000001</v>
      </c>
      <c r="AJ25" s="334">
        <f>IF(AND(ISNUMBER('Laboratorio_M '!U27),ISNUMBER('Courier_M '!U29)),'Courier_M '!U29," ")</f>
        <v>1.1316992044448853</v>
      </c>
      <c r="AK25" s="334">
        <f t="shared" si="13"/>
        <v>0.10730079555511485</v>
      </c>
      <c r="AL25" s="339">
        <f t="shared" si="14"/>
        <v>8.6602740561028924</v>
      </c>
      <c r="AM25" s="334"/>
      <c r="AN25" s="334"/>
      <c r="AO25" s="338">
        <f>IF(AND(ISNUMBER('Laboratorio_M '!F27),ISNUMBER('Courier_M.'!F29)),Laboratorio_M!F27," ")</f>
        <v>21.99</v>
      </c>
      <c r="AP25" s="334">
        <f>IF(AND(ISNUMBER('Laboratorio_M '!F27),ISNUMBER('Courier_M.'!F29)),'Courier_M.'!F29," ")</f>
        <v>22.958297729492188</v>
      </c>
      <c r="AQ25" s="334">
        <f t="shared" si="15"/>
        <v>-0.96829772949218906</v>
      </c>
      <c r="AR25" s="339">
        <f t="shared" si="16"/>
        <v>4.4033548408012244</v>
      </c>
      <c r="AS25" s="334">
        <f>IF(AND(ISNUMBER('Laboratorio_M '!H27),ISNUMBER('Courier_M.'!H29)),Laboratorio_M!H27," ")</f>
        <v>2.048</v>
      </c>
      <c r="AT25" s="334">
        <f>IF(AND(ISNUMBER('Laboratorio_M '!H27),ISNUMBER('Courier_M.'!H29)),'Courier_M.'!H29," ")</f>
        <v>1.8730242252349854</v>
      </c>
      <c r="AU25" s="334">
        <f t="shared" si="32"/>
        <v>0.17497577476501469</v>
      </c>
      <c r="AV25" s="339">
        <f t="shared" si="17"/>
        <v>8.5437390021979827</v>
      </c>
      <c r="AW25" s="334">
        <f>IF(AND(ISNUMBER('Laboratorio_M '!J27),ISNUMBER('Courier_M.'!J29)),Laboratorio_M!J27," ")</f>
        <v>30.22</v>
      </c>
      <c r="AX25" s="334">
        <f>IF(AND(ISNUMBER('Laboratorio_M '!J27),ISNUMBER('Courier_M.'!J29)),'Courier_M.'!J29," ")</f>
        <v>28.734310150146484</v>
      </c>
      <c r="AY25" s="334">
        <f t="shared" si="18"/>
        <v>1.4856898498535145</v>
      </c>
      <c r="AZ25" s="339">
        <f t="shared" si="19"/>
        <v>4.9162470213551108</v>
      </c>
      <c r="BA25" s="334">
        <f>IF(AND(ISNUMBER('Laboratorio_M '!L27),ISNUMBER('Courier_M.'!L29)),Laboratorio_M!L27," ")</f>
        <v>22.786000000000001</v>
      </c>
      <c r="BB25" s="334">
        <f>IF(AND(ISNUMBER('Laboratorio_M '!L27),ISNUMBER('Courier_M '!L29)),'Courier_M '!L29," ")</f>
        <v>22.245033264160156</v>
      </c>
      <c r="BC25" s="334">
        <f t="shared" si="20"/>
        <v>0.54096673583984511</v>
      </c>
      <c r="BD25" s="339">
        <f t="shared" si="21"/>
        <v>2.3741189144204555</v>
      </c>
      <c r="BE25" s="334">
        <f>IF(AND(ISNUMBER('Laboratorio_M '!N27),ISNUMBER('Courier_M.'!N29)),Laboratorio_M!N27," ")</f>
        <v>4.1000000000000002E-2</v>
      </c>
      <c r="BF25" s="334">
        <f>IF(AND(ISNUMBER('Laboratorio_M '!N27),ISNUMBER('Courier_M.'!N29)),'Courier_M.'!N29," ")</f>
        <v>9.0064592659473419E-2</v>
      </c>
      <c r="BG25" s="334">
        <f t="shared" si="22"/>
        <v>-4.9064592659473417E-2</v>
      </c>
      <c r="BH25" s="339">
        <f t="shared" si="23"/>
        <v>119.66973819383759</v>
      </c>
      <c r="BI25" s="337">
        <f>IF(AND(ISNUMBER('Laboratorio_M '!P27),ISNUMBER('Courier_M.'!P29)),Laboratorio_M!P27," ")</f>
        <v>31.29</v>
      </c>
      <c r="BJ25" s="334">
        <f>IF(AND(ISNUMBER('Laboratorio_M '!P27),ISNUMBER('Courier_M '!P29)),'Courier_M '!P29," ")</f>
        <v>29.46795654296875</v>
      </c>
      <c r="BK25" s="334">
        <f t="shared" si="24"/>
        <v>1.8220434570312491</v>
      </c>
      <c r="BL25" s="339">
        <f t="shared" si="25"/>
        <v>5.8230855130433019</v>
      </c>
      <c r="BM25" s="334">
        <f>IF(AND(ISNUMBER('Laboratorio_M '!R27),ISNUMBER('Courier_M '!R29)),'Laboratorio_M '!R27," ")</f>
        <v>0.56999999999999995</v>
      </c>
      <c r="BN25" s="334">
        <f>IF(AND(ISNUMBER('Laboratorio_M '!R27),ISNUMBER('Courier_M '!R29)),'Courier_M '!R29," ")</f>
        <v>0.52816736698150635</v>
      </c>
      <c r="BO25" s="334">
        <f t="shared" si="33"/>
        <v>4.1832633018493603E-2</v>
      </c>
      <c r="BP25" s="339">
        <f t="shared" si="26"/>
        <v>7.3390584242971233</v>
      </c>
      <c r="BQ25" s="334">
        <f>IF(AND(ISNUMBER('Laboratorio_M '!T27),ISNUMBER('Courier_M '!T29)),'Laboratorio_M '!T27," ")</f>
        <v>57.256999999999998</v>
      </c>
      <c r="BR25" s="334">
        <f>IF(AND(ISNUMBER('Laboratorio_M '!T27),ISNUMBER('Courier_M '!T29)),'Courier_M '!T29," ")</f>
        <v>56.302833557128906</v>
      </c>
      <c r="BS25" s="334">
        <f t="shared" si="34"/>
        <v>0.95416644287109165</v>
      </c>
      <c r="BT25" s="339">
        <f t="shared" si="35"/>
        <v>1.6664625161484041</v>
      </c>
      <c r="BU25" s="334">
        <f>IF(AND(ISNUMBER('Laboratorio_M '!V27),ISNUMBER('Courier_M '!V29)),'Laboratorio_M '!V27," ")</f>
        <v>0.83199999999999996</v>
      </c>
      <c r="BV25" s="334">
        <f>IF(AND(ISNUMBER('Laboratorio_M '!V27),ISNUMBER('Courier_M '!V29)),'Courier_M '!V29," ")</f>
        <v>0.89176481962203979</v>
      </c>
      <c r="BW25" s="334">
        <f t="shared" si="27"/>
        <v>-5.9764819622039833E-2</v>
      </c>
      <c r="BX25" s="339">
        <f t="shared" si="28"/>
        <v>7.1832715891874805</v>
      </c>
    </row>
    <row r="26" spans="3:76" x14ac:dyDescent="0.2">
      <c r="C26" s="338">
        <f>IF(AND(ISNUMBER('Laboratorio_M '!E28),ISNUMBER('Courier_M '!E30)),'Laboratorio_M '!E28," ")</f>
        <v>18.905000000000001</v>
      </c>
      <c r="D26" s="334">
        <f>IF(AND(ISNUMBER('Laboratorio_M '!E28),ISNUMBER('Courier_M '!E30)),'Courier_M '!E30," ")</f>
        <v>19.754337310791016</v>
      </c>
      <c r="E26" s="334">
        <f t="shared" si="29"/>
        <v>-0.84933731079101449</v>
      </c>
      <c r="F26" s="339">
        <f t="shared" si="0"/>
        <v>4.4926596709389814</v>
      </c>
      <c r="G26" s="334">
        <f>IF(AND(ISNUMBER('Laboratorio_M '!G28),ISNUMBER('Courier_M '!G30)),'Laboratorio_M '!G28," ")</f>
        <v>1.381</v>
      </c>
      <c r="H26" s="334">
        <f>IF(AND(ISNUMBER('Laboratorio_M '!G28),ISNUMBER('Courier_M '!G30)),'Courier_M '!G30," ")</f>
        <v>1.5055280923843384</v>
      </c>
      <c r="I26" s="334">
        <f t="shared" si="30"/>
        <v>-0.12452809238433837</v>
      </c>
      <c r="J26" s="339">
        <f t="shared" si="1"/>
        <v>9.0172405781562901</v>
      </c>
      <c r="K26" s="334">
        <f>IF(AND(ISNUMBER('Laboratorio_M '!I28),ISNUMBER('Courier_M.'!I30)),Laboratorio_M!I28," ")</f>
        <v>29.32</v>
      </c>
      <c r="L26" s="334">
        <f>IF(AND(ISNUMBER('Laboratorio_M '!I28),ISNUMBER('Courier_M.'!I30)),'Courier_M.'!I30," ")</f>
        <v>26.54240608215332</v>
      </c>
      <c r="M26" s="334">
        <f t="shared" si="2"/>
        <v>2.77759391784668</v>
      </c>
      <c r="N26" s="339">
        <f t="shared" si="3"/>
        <v>9.4733762545930418</v>
      </c>
      <c r="O26" s="334">
        <f>IF(AND(AND(ISNUMBER('Laboratorio_M '!K28),ISNUMBER('Courier_M.'!K30)),AND('Laboratorio_M '!K28&gt;17,'Courier_M.'!K30&gt;17)),Laboratorio_M!K28," ")</f>
        <v>21.640999999999998</v>
      </c>
      <c r="P26" s="334">
        <f>IF(AND(AND(ISNUMBER('Laboratorio_M '!K28),ISNUMBER('Courier_M.'!K30)),AND(Laboratorio_M!K28&gt;17,'Courier_M.'!K30&gt;17)),'Courier_M.'!K30," ")</f>
        <v>21.316932678222656</v>
      </c>
      <c r="Q26" s="334">
        <f t="shared" si="4"/>
        <v>0.32406732177734199</v>
      </c>
      <c r="R26" s="339">
        <f t="shared" si="5"/>
        <v>1.4974692563991592</v>
      </c>
      <c r="S26" s="334">
        <f>IF(AND(ISNUMBER(Laboratorio_M!M28),ISNUMBER('Courier_M.'!M30)),Laboratorio_M!M28," ")</f>
        <v>0.14099999999999999</v>
      </c>
      <c r="T26" s="334">
        <f>IF(AND(ISNUMBER('Laboratorio_M '!M28),ISNUMBER('Courier_M.'!M30)),'Courier_M.'!M30," ")</f>
        <v>0.17403541505336761</v>
      </c>
      <c r="U26" s="334">
        <f t="shared" si="6"/>
        <v>-3.3035415053367628E-2</v>
      </c>
      <c r="V26" s="339">
        <f t="shared" si="7"/>
        <v>23.429372378274916</v>
      </c>
      <c r="W26" s="334">
        <f>IF(AND(AND(ISNUMBER('Laboratorio_M '!O28),ISNUMBER('Courier_M.'!O30)),AND(Laboratorio_M!O28&gt;20,'Courier_M.'!O30&gt;20)),Laboratorio_M!O28," ")</f>
        <v>29.01</v>
      </c>
      <c r="X26" s="334">
        <f>IF(AND(AND(ISNUMBER('Laboratorio_M '!O28),ISNUMBER('Courier_M.'!O30)),AND(Laboratorio_M!O28&gt;20,'Courier_M.'!O30&gt;20)),'Courier_M.'!O30," ")</f>
        <v>29.206954956054688</v>
      </c>
      <c r="Y26" s="334">
        <f t="shared" si="8"/>
        <v>-0.19695495605468594</v>
      </c>
      <c r="Z26" s="339">
        <f t="shared" si="9"/>
        <v>0.67892091021953094</v>
      </c>
      <c r="AA26" s="334">
        <f>IF(AND(ISNUMBER('Laboratorio_M '!Q28),ISNUMBER('Courier_M '!Q30)),'Laboratorio_M '!Q28," ")</f>
        <v>0.39300000000000002</v>
      </c>
      <c r="AB26" s="334">
        <f>IF(AND(ISNUMBER('Laboratorio_M '!Q28),ISNUMBER('Courier_M '!Q30)),'Courier_M '!Q30," ")</f>
        <v>0.54723149538040161</v>
      </c>
      <c r="AC26" s="334">
        <f t="shared" si="10"/>
        <v>-0.1542314953804016</v>
      </c>
      <c r="AD26" s="339">
        <f t="shared" si="11"/>
        <v>39.244655313079285</v>
      </c>
      <c r="AE26" s="334">
        <f>IF(AND(ISNUMBER('Laboratorio_M '!S28),ISNUMBER('Courier_M '!S30)),'Laboratorio_M '!S28," ")</f>
        <v>57.517000000000003</v>
      </c>
      <c r="AF26" s="334">
        <f>IF(AND(ISNUMBER('Laboratorio_M '!S28),ISNUMBER('Courier_M '!S30)),'Courier_M '!S30," ")</f>
        <v>56.945362091064453</v>
      </c>
      <c r="AG26" s="334">
        <f t="shared" si="31"/>
        <v>0.57163790893554989</v>
      </c>
      <c r="AH26" s="339">
        <f t="shared" si="12"/>
        <v>0.99385904851704687</v>
      </c>
      <c r="AI26" s="334">
        <f>IF(AND(ISNUMBER('Laboratorio_M '!U28),ISNUMBER('Courier_M '!U30)),'Laboratorio_M '!U28," ")</f>
        <v>0.53300000000000003</v>
      </c>
      <c r="AJ26" s="334">
        <f>IF(AND(ISNUMBER('Laboratorio_M '!U28),ISNUMBER('Courier_M '!U30)),'Courier_M '!U30," ")</f>
        <v>0.73578721284866333</v>
      </c>
      <c r="AK26" s="334">
        <f t="shared" si="13"/>
        <v>-0.2027872128486633</v>
      </c>
      <c r="AL26" s="339">
        <f t="shared" si="14"/>
        <v>38.046381397497804</v>
      </c>
      <c r="AM26" s="334"/>
      <c r="AN26" s="334"/>
      <c r="AO26" s="338">
        <f>IF(AND(ISNUMBER('Laboratorio_M '!F28),ISNUMBER('Courier_M.'!F30)),Laboratorio_M!F28," ")</f>
        <v>23.681000000000001</v>
      </c>
      <c r="AP26" s="334">
        <f>IF(AND(ISNUMBER('Laboratorio_M '!F28),ISNUMBER('Courier_M.'!F30)),'Courier_M.'!F30," ")</f>
        <v>19.754337310791016</v>
      </c>
      <c r="AQ26" s="334">
        <f t="shared" si="15"/>
        <v>3.9266626892089853</v>
      </c>
      <c r="AR26" s="339">
        <f t="shared" si="16"/>
        <v>16.581490178662158</v>
      </c>
      <c r="AS26" s="334">
        <f>IF(AND(ISNUMBER('Laboratorio_M '!H28),ISNUMBER('Courier_M.'!H30)),Laboratorio_M!H28," ")</f>
        <v>2.2570000000000001</v>
      </c>
      <c r="AT26" s="334">
        <f>IF(AND(ISNUMBER('Laboratorio_M '!H28),ISNUMBER('Courier_M.'!H30)),'Courier_M.'!H30," ")</f>
        <v>1.5055280923843384</v>
      </c>
      <c r="AU26" s="334">
        <f t="shared" si="32"/>
        <v>0.75147190761566174</v>
      </c>
      <c r="AV26" s="339">
        <f t="shared" si="17"/>
        <v>33.295166487180403</v>
      </c>
      <c r="AW26" s="334">
        <f>IF(AND(ISNUMBER('Laboratorio_M '!J28),ISNUMBER('Courier_M.'!J30)),Laboratorio_M!J28," ")</f>
        <v>30.21</v>
      </c>
      <c r="AX26" s="334">
        <f>IF(AND(ISNUMBER('Laboratorio_M '!J28),ISNUMBER('Courier_M.'!J30)),'Courier_M.'!J30," ")</f>
        <v>26.54240608215332</v>
      </c>
      <c r="AY26" s="334">
        <f t="shared" si="18"/>
        <v>3.6675939178466805</v>
      </c>
      <c r="AZ26" s="339">
        <f t="shared" si="19"/>
        <v>12.140330744278982</v>
      </c>
      <c r="BA26" s="334">
        <f>IF(AND(ISNUMBER('Laboratorio_M '!L28),ISNUMBER('Courier_M.'!L30)),Laboratorio_M!L28," ")</f>
        <v>25.173999999999999</v>
      </c>
      <c r="BB26" s="334">
        <f>IF(AND(ISNUMBER('Laboratorio_M '!L28),ISNUMBER('Courier_M '!L30)),'Courier_M '!L30," ")</f>
        <v>21.316932678222656</v>
      </c>
      <c r="BC26" s="334">
        <f t="shared" si="20"/>
        <v>3.8570673217773432</v>
      </c>
      <c r="BD26" s="339">
        <f t="shared" si="21"/>
        <v>15.32163073717861</v>
      </c>
      <c r="BE26" s="334">
        <f>IF(AND(ISNUMBER('Laboratorio_M '!N28),ISNUMBER('Courier_M.'!N30)),Laboratorio_M!N28," ")</f>
        <v>5.1999999999999998E-2</v>
      </c>
      <c r="BF26" s="334">
        <f>IF(AND(ISNUMBER('Laboratorio_M '!N28),ISNUMBER('Courier_M.'!N30)),'Courier_M.'!N30," ")</f>
        <v>0.17403541505336761</v>
      </c>
      <c r="BG26" s="334">
        <f t="shared" si="22"/>
        <v>-0.12203541505336762</v>
      </c>
      <c r="BH26" s="339">
        <f t="shared" si="23"/>
        <v>234.68349048724545</v>
      </c>
      <c r="BI26" s="337">
        <f>IF(AND(ISNUMBER('Laboratorio_M '!P28),ISNUMBER('Courier_M.'!P30)),Laboratorio_M!P28," ")</f>
        <v>31.45</v>
      </c>
      <c r="BJ26" s="334">
        <f>IF(AND(ISNUMBER('Laboratorio_M '!P28),ISNUMBER('Courier_M '!P30)),'Courier_M '!P30," ")</f>
        <v>29.206954956054688</v>
      </c>
      <c r="BK26" s="334">
        <f t="shared" si="24"/>
        <v>2.2430450439453118</v>
      </c>
      <c r="BL26" s="339">
        <f t="shared" si="25"/>
        <v>7.1320987088881145</v>
      </c>
      <c r="BM26" s="334">
        <f>IF(AND(ISNUMBER('Laboratorio_M '!R28),ISNUMBER('Courier_M '!R30)),'Laboratorio_M '!R28," ")</f>
        <v>0.46800000000000003</v>
      </c>
      <c r="BN26" s="334">
        <f>IF(AND(ISNUMBER('Laboratorio_M '!R28),ISNUMBER('Courier_M '!R30)),'Courier_M '!R30," ")</f>
        <v>0.54723149538040161</v>
      </c>
      <c r="BO26" s="334">
        <f t="shared" si="33"/>
        <v>-7.9231495380401584E-2</v>
      </c>
      <c r="BP26" s="339">
        <f t="shared" si="26"/>
        <v>16.929806705214013</v>
      </c>
      <c r="BQ26" s="334">
        <f>IF(AND(ISNUMBER('Laboratorio_M '!T28),ISNUMBER('Courier_M '!T30)),'Laboratorio_M '!T28," ")</f>
        <v>57.222999999999999</v>
      </c>
      <c r="BR26" s="334">
        <f>IF(AND(ISNUMBER('Laboratorio_M '!T28),ISNUMBER('Courier_M '!T30)),'Courier_M '!T30," ")</f>
        <v>56.945362091064453</v>
      </c>
      <c r="BS26" s="334">
        <f t="shared" si="34"/>
        <v>0.27763790893554585</v>
      </c>
      <c r="BT26" s="339">
        <f t="shared" si="35"/>
        <v>0.48518586745809522</v>
      </c>
      <c r="BU26" s="334">
        <f>IF(AND(ISNUMBER('Laboratorio_M '!V28),ISNUMBER('Courier_M '!V30)),'Laboratorio_M '!V28," ")</f>
        <v>0.63900000000000001</v>
      </c>
      <c r="BV26" s="334">
        <f>IF(AND(ISNUMBER('Laboratorio_M '!V28),ISNUMBER('Courier_M '!V30)),'Courier_M '!V30," ")</f>
        <v>0.73578721284866333</v>
      </c>
      <c r="BW26" s="334">
        <f t="shared" si="27"/>
        <v>-9.6787212848663318E-2</v>
      </c>
      <c r="BX26" s="339">
        <f t="shared" si="28"/>
        <v>15.146668677412102</v>
      </c>
    </row>
    <row r="27" spans="3:76" x14ac:dyDescent="0.2">
      <c r="C27" s="338">
        <f>IF(AND(ISNUMBER('Laboratorio_M '!E29),ISNUMBER('Courier_M '!E31)),'Laboratorio_M '!E29," ")</f>
        <v>17.710999999999999</v>
      </c>
      <c r="D27" s="334">
        <f>IF(AND(ISNUMBER('Laboratorio_M '!E29),ISNUMBER('Courier_M '!E31)),'Courier_M '!E31," ")</f>
        <v>20.500843048095703</v>
      </c>
      <c r="E27" s="334">
        <f t="shared" si="29"/>
        <v>-2.7898430480957046</v>
      </c>
      <c r="F27" s="339">
        <f t="shared" si="0"/>
        <v>15.752035729748206</v>
      </c>
      <c r="G27" s="334">
        <f>IF(AND(ISNUMBER('Laboratorio_M '!G29),ISNUMBER('Courier_M '!G31)),'Laboratorio_M '!G29," ")</f>
        <v>2.0019999999999998</v>
      </c>
      <c r="H27" s="334">
        <f>IF(AND(ISNUMBER('Laboratorio_M '!G29),ISNUMBER('Courier_M '!G31)),'Courier_M '!G31," ")</f>
        <v>1.6340122222900391</v>
      </c>
      <c r="I27" s="334">
        <f t="shared" si="30"/>
        <v>0.36798777770996072</v>
      </c>
      <c r="J27" s="339">
        <f t="shared" si="1"/>
        <v>18.381007877620416</v>
      </c>
      <c r="K27" s="334">
        <f>IF(AND(ISNUMBER('Laboratorio_M '!I29),ISNUMBER('Courier_M.'!I31)),Laboratorio_M!I29," ")</f>
        <v>27.77</v>
      </c>
      <c r="L27" s="334">
        <f>IF(AND(ISNUMBER('Laboratorio_M '!I29),ISNUMBER('Courier_M.'!I31)),'Courier_M.'!I31," ")</f>
        <v>25.282142639160156</v>
      </c>
      <c r="M27" s="334">
        <f t="shared" si="2"/>
        <v>2.4878573608398433</v>
      </c>
      <c r="N27" s="339">
        <f t="shared" si="3"/>
        <v>8.9587949616126874</v>
      </c>
      <c r="O27" s="334">
        <f>IF(AND(AND(ISNUMBER('Laboratorio_M '!K29),ISNUMBER('Courier_M.'!K31)),AND('Laboratorio_M '!K29&gt;17,'Courier_M.'!K31&gt;17)),Laboratorio_M!K29," ")</f>
        <v>22.138999999999999</v>
      </c>
      <c r="P27" s="334">
        <f>IF(AND(AND(ISNUMBER('Laboratorio_M '!K29),ISNUMBER('Courier_M.'!K31)),AND(Laboratorio_M!K29&gt;17,'Courier_M.'!K31&gt;17)),'Courier_M.'!K31," ")</f>
        <v>21.468421936035156</v>
      </c>
      <c r="Q27" s="334">
        <f t="shared" si="4"/>
        <v>0.6705780639648431</v>
      </c>
      <c r="R27" s="339">
        <f t="shared" si="5"/>
        <v>3.028944685689702</v>
      </c>
      <c r="S27" s="334">
        <f>IF(AND(ISNUMBER(Laboratorio_M!M29),ISNUMBER('Courier_M.'!M31)),Laboratorio_M!M29," ")</f>
        <v>0.57699999999999996</v>
      </c>
      <c r="T27" s="334">
        <f>IF(AND(ISNUMBER('Laboratorio_M '!M29),ISNUMBER('Courier_M.'!M31)),'Courier_M.'!M31," ")</f>
        <v>0.15090176463127136</v>
      </c>
      <c r="U27" s="334">
        <f t="shared" si="6"/>
        <v>0.4260982353687286</v>
      </c>
      <c r="V27" s="339">
        <f t="shared" si="7"/>
        <v>73.847181173089879</v>
      </c>
      <c r="W27" s="334">
        <f>IF(AND(AND(ISNUMBER('Laboratorio_M '!O29),ISNUMBER('Courier_M.'!O31)),AND(Laboratorio_M!O29&gt;20,'Courier_M.'!O31&gt;20)),Laboratorio_M!O29," ")</f>
        <v>28.44</v>
      </c>
      <c r="X27" s="334">
        <f>IF(AND(AND(ISNUMBER('Laboratorio_M '!O29),ISNUMBER('Courier_M.'!O31)),AND(Laboratorio_M!O29&gt;20,'Courier_M.'!O31&gt;20)),'Courier_M.'!O31," ")</f>
        <v>29.674982070922852</v>
      </c>
      <c r="Y27" s="334">
        <f t="shared" si="8"/>
        <v>-1.2349820709228503</v>
      </c>
      <c r="Z27" s="339">
        <f t="shared" si="9"/>
        <v>4.3424123450170544</v>
      </c>
      <c r="AA27" s="334">
        <f>IF(AND(ISNUMBER('Laboratorio_M '!Q29),ISNUMBER('Courier_M '!Q31)),'Laboratorio_M '!Q29," ")</f>
        <v>0.41199999999999998</v>
      </c>
      <c r="AB27" s="334">
        <f>IF(AND(ISNUMBER('Laboratorio_M '!Q29),ISNUMBER('Courier_M '!Q31)),'Courier_M '!Q31," ")</f>
        <v>0.59000951051712036</v>
      </c>
      <c r="AC27" s="334">
        <f t="shared" si="10"/>
        <v>-0.17800951051712038</v>
      </c>
      <c r="AD27" s="339">
        <f t="shared" si="11"/>
        <v>43.206191873087477</v>
      </c>
      <c r="AE27" s="334">
        <f>IF(AND(ISNUMBER('Laboratorio_M '!S29),ISNUMBER('Courier_M '!S31)),'Laboratorio_M '!S29," ")</f>
        <v>57.93</v>
      </c>
      <c r="AF27" s="334">
        <f>IF(AND(ISNUMBER('Laboratorio_M '!S29),ISNUMBER('Courier_M '!S31)),'Courier_M '!S31," ")</f>
        <v>56.349887847900391</v>
      </c>
      <c r="AG27" s="334">
        <f t="shared" si="31"/>
        <v>1.5801121520996091</v>
      </c>
      <c r="AH27" s="339">
        <f t="shared" si="12"/>
        <v>2.7276232558253222</v>
      </c>
      <c r="AI27" s="334">
        <f>IF(AND(ISNUMBER('Laboratorio_M '!U29),ISNUMBER('Courier_M '!U31)),'Laboratorio_M '!U29," ")</f>
        <v>0.57399999999999995</v>
      </c>
      <c r="AJ27" s="334">
        <f>IF(AND(ISNUMBER('Laboratorio_M '!U29),ISNUMBER('Courier_M '!U31)),'Courier_M '!U31," ")</f>
        <v>0.67395442724227905</v>
      </c>
      <c r="AK27" s="334">
        <f t="shared" si="13"/>
        <v>-9.9954427242279098E-2</v>
      </c>
      <c r="AL27" s="339">
        <f t="shared" si="14"/>
        <v>17.413663282627024</v>
      </c>
      <c r="AM27" s="334"/>
      <c r="AN27" s="334"/>
      <c r="AO27" s="338">
        <f>IF(AND(ISNUMBER('Laboratorio_M '!F29),ISNUMBER('Courier_M.'!F31)),Laboratorio_M!F29," ")</f>
        <v>23.971</v>
      </c>
      <c r="AP27" s="334">
        <f>IF(AND(ISNUMBER('Laboratorio_M '!F29),ISNUMBER('Courier_M.'!F31)),'Courier_M.'!F31," ")</f>
        <v>23.70465087890625</v>
      </c>
      <c r="AQ27" s="334">
        <f t="shared" si="15"/>
        <v>0.26634912109375009</v>
      </c>
      <c r="AR27" s="339">
        <f t="shared" si="16"/>
        <v>1.1111306207240002</v>
      </c>
      <c r="AS27" s="334">
        <f>IF(AND(ISNUMBER('Laboratorio_M '!H29),ISNUMBER('Courier_M.'!H31)),Laboratorio_M!H29," ")</f>
        <v>1.4410000000000001</v>
      </c>
      <c r="AT27" s="334">
        <f>IF(AND(ISNUMBER('Laboratorio_M '!H29),ISNUMBER('Courier_M.'!H31)),'Courier_M.'!H31," ")</f>
        <v>1.7126438617706299</v>
      </c>
      <c r="AU27" s="334">
        <f t="shared" si="32"/>
        <v>-0.27164386177062982</v>
      </c>
      <c r="AV27" s="339">
        <f t="shared" si="17"/>
        <v>18.851066049315047</v>
      </c>
      <c r="AW27" s="334">
        <f>IF(AND(ISNUMBER('Laboratorio_M '!J29),ISNUMBER('Courier_M.'!J31)),Laboratorio_M!J29," ")</f>
        <v>28.66</v>
      </c>
      <c r="AX27" s="334">
        <f>IF(AND(ISNUMBER('Laboratorio_M '!J29),ISNUMBER('Courier_M.'!J31)),'Courier_M.'!J31," ")</f>
        <v>29.318016052246094</v>
      </c>
      <c r="AY27" s="334">
        <f t="shared" si="18"/>
        <v>-0.65801605224609361</v>
      </c>
      <c r="AZ27" s="339">
        <f t="shared" si="19"/>
        <v>2.2959387726660627</v>
      </c>
      <c r="BA27" s="334">
        <f>IF(AND(ISNUMBER('Laboratorio_M '!L29),ISNUMBER('Courier_M.'!L31)),Laboratorio_M!L29," ")</f>
        <v>26.068999999999999</v>
      </c>
      <c r="BB27" s="334">
        <f>IF(AND(ISNUMBER('Laboratorio_M '!L29),ISNUMBER('Courier_M '!L31)),'Courier_M '!L31," ")</f>
        <v>25.500570297241211</v>
      </c>
      <c r="BC27" s="334">
        <f t="shared" si="20"/>
        <v>0.56842970275878812</v>
      </c>
      <c r="BD27" s="339">
        <f t="shared" si="21"/>
        <v>2.180481425289762</v>
      </c>
      <c r="BE27" s="334">
        <f>IF(AND(ISNUMBER('Laboratorio_M '!N29),ISNUMBER('Courier_M.'!N31)),Laboratorio_M!N29," ")</f>
        <v>4.9000000000000002E-2</v>
      </c>
      <c r="BF27" s="334">
        <f>IF(AND(ISNUMBER('Laboratorio_M '!N29),ISNUMBER('Courier_M.'!N31)),'Courier_M.'!N31," ")</f>
        <v>0.15326644480228424</v>
      </c>
      <c r="BG27" s="334">
        <f t="shared" si="22"/>
        <v>-0.10426644480228424</v>
      </c>
      <c r="BH27" s="339">
        <f t="shared" si="23"/>
        <v>212.78866286180457</v>
      </c>
      <c r="BI27" s="337">
        <f>IF(AND(ISNUMBER('Laboratorio_M '!P29),ISNUMBER('Courier_M.'!P31)),Laboratorio_M!P29," ")</f>
        <v>30.07</v>
      </c>
      <c r="BJ27" s="334">
        <f>IF(AND(ISNUMBER('Laboratorio_M '!P29),ISNUMBER('Courier_M '!P31)),'Courier_M '!P31," ")</f>
        <v>31.072154998779297</v>
      </c>
      <c r="BK27" s="334">
        <f t="shared" si="24"/>
        <v>-1.0021549987792966</v>
      </c>
      <c r="BL27" s="339">
        <f t="shared" si="25"/>
        <v>3.3327402686375009</v>
      </c>
      <c r="BM27" s="334">
        <f>IF(AND(ISNUMBER('Laboratorio_M '!R29),ISNUMBER('Courier_M '!R31)),'Laboratorio_M '!R29," ")</f>
        <v>0.65100000000000002</v>
      </c>
      <c r="BN27" s="334">
        <f>IF(AND(ISNUMBER('Laboratorio_M '!R29),ISNUMBER('Courier_M '!R31)),'Courier_M '!R31," ")</f>
        <v>0.62747794389724731</v>
      </c>
      <c r="BO27" s="334">
        <f t="shared" si="33"/>
        <v>2.3522056102752709E-2</v>
      </c>
      <c r="BP27" s="339">
        <f t="shared" si="26"/>
        <v>3.6132190634028736</v>
      </c>
      <c r="BQ27" s="334">
        <f>IF(AND(ISNUMBER('Laboratorio_M '!T29),ISNUMBER('Courier_M '!T31)),'Laboratorio_M '!T29," ")</f>
        <v>57.598999999999997</v>
      </c>
      <c r="BR27" s="334">
        <f>IF(AND(ISNUMBER('Laboratorio_M '!T29),ISNUMBER('Courier_M '!T31)),'Courier_M '!T31," ")</f>
        <v>56.272441864013672</v>
      </c>
      <c r="BS27" s="334">
        <f t="shared" si="34"/>
        <v>1.3265581359863248</v>
      </c>
      <c r="BT27" s="339">
        <f t="shared" si="35"/>
        <v>2.3030923036620856</v>
      </c>
      <c r="BU27" s="334">
        <f>IF(AND(ISNUMBER('Laboratorio_M '!V29),ISNUMBER('Courier_M '!V31)),'Laboratorio_M '!V29," ")</f>
        <v>0.72899999999999998</v>
      </c>
      <c r="BV27" s="334">
        <f>IF(AND(ISNUMBER('Laboratorio_M '!V29),ISNUMBER('Courier_M '!V31)),'Courier_M '!V31," ")</f>
        <v>0.72237396240234375</v>
      </c>
      <c r="BW27" s="334">
        <f t="shared" si="27"/>
        <v>6.6260375976562313E-3</v>
      </c>
      <c r="BX27" s="339">
        <f t="shared" si="28"/>
        <v>0.90892148115997684</v>
      </c>
    </row>
    <row r="28" spans="3:76" x14ac:dyDescent="0.2">
      <c r="C28" s="338">
        <f>IF(AND(ISNUMBER('Laboratorio_M '!E30),ISNUMBER('Courier_M '!E32)),'Laboratorio_M '!E30," ")</f>
        <v>21.791</v>
      </c>
      <c r="D28" s="334">
        <f>IF(AND(ISNUMBER('Laboratorio_M '!E30),ISNUMBER('Courier_M '!E32)),'Courier_M '!E32," ")</f>
        <v>23.074974060058594</v>
      </c>
      <c r="E28" s="334">
        <f t="shared" si="29"/>
        <v>-1.2839740600585934</v>
      </c>
      <c r="F28" s="339">
        <f t="shared" si="0"/>
        <v>5.8922218349712878</v>
      </c>
      <c r="G28" s="334">
        <f>IF(AND(ISNUMBER('Laboratorio_M '!G30),ISNUMBER('Courier_M '!G32)),'Laboratorio_M '!G30," ")</f>
        <v>3.226</v>
      </c>
      <c r="H28" s="334">
        <f>IF(AND(ISNUMBER('Laboratorio_M '!G30),ISNUMBER('Courier_M '!G32)),'Courier_M '!G32," ")</f>
        <v>2.2196602821350098</v>
      </c>
      <c r="I28" s="334">
        <f t="shared" si="30"/>
        <v>1.0063397178649902</v>
      </c>
      <c r="J28" s="339">
        <f t="shared" si="1"/>
        <v>31.194659574240241</v>
      </c>
      <c r="K28" s="334">
        <f>IF(AND(ISNUMBER('Laboratorio_M '!I30),ISNUMBER('Courier_M.'!I32)),Laboratorio_M!I30," ")</f>
        <v>26.86</v>
      </c>
      <c r="L28" s="334">
        <f>IF(AND(ISNUMBER('Laboratorio_M '!I30),ISNUMBER('Courier_M.'!I32)),'Courier_M.'!I32," ")</f>
        <v>28.432735443115234</v>
      </c>
      <c r="M28" s="334">
        <f t="shared" si="2"/>
        <v>-1.5727354431152349</v>
      </c>
      <c r="N28" s="339">
        <f t="shared" si="3"/>
        <v>5.8553069363932799</v>
      </c>
      <c r="O28" s="334">
        <f>IF(AND(AND(ISNUMBER('Laboratorio_M '!K30),ISNUMBER('Courier_M.'!K32)),AND('Laboratorio_M '!K30&gt;17,'Courier_M.'!K32&gt;17)),Laboratorio_M!K30," ")</f>
        <v>23.431999999999999</v>
      </c>
      <c r="P28" s="334">
        <f>IF(AND(AND(ISNUMBER('Laboratorio_M '!K30),ISNUMBER('Courier_M.'!K32)),AND(Laboratorio_M!K30&gt;17,'Courier_M.'!K32&gt;17)),'Courier_M.'!K32," ")</f>
        <v>24.990884780883789</v>
      </c>
      <c r="Q28" s="334">
        <f t="shared" si="4"/>
        <v>-1.5588847808837905</v>
      </c>
      <c r="R28" s="339">
        <f t="shared" si="5"/>
        <v>6.6528029228567362</v>
      </c>
      <c r="S28" s="334">
        <f>IF(AND(ISNUMBER(Laboratorio_M!M30),ISNUMBER('Courier_M.'!M32)),Laboratorio_M!M30," ")</f>
        <v>3.9E-2</v>
      </c>
      <c r="T28" s="334">
        <f>IF(AND(ISNUMBER('Laboratorio_M '!M30),ISNUMBER('Courier_M.'!M32)),'Courier_M.'!M32," ")</f>
        <v>5.4691430181264877E-2</v>
      </c>
      <c r="U28" s="334">
        <f t="shared" si="6"/>
        <v>-1.5691430181264877E-2</v>
      </c>
      <c r="V28" s="339">
        <f t="shared" si="7"/>
        <v>40.234436362217636</v>
      </c>
      <c r="W28" s="334">
        <f>IF(AND(AND(ISNUMBER('Laboratorio_M '!O30),ISNUMBER('Courier_M.'!O32)),AND(Laboratorio_M!O30&gt;20,'Courier_M.'!O32&gt;20)),Laboratorio_M!O30," ")</f>
        <v>29.09</v>
      </c>
      <c r="X28" s="334">
        <f>IF(AND(AND(ISNUMBER('Laboratorio_M '!O30),ISNUMBER('Courier_M.'!O32)),AND(Laboratorio_M!O30&gt;20,'Courier_M.'!O32&gt;20)),'Courier_M.'!O32," ")</f>
        <v>30.635101318359375</v>
      </c>
      <c r="Y28" s="334">
        <f t="shared" si="8"/>
        <v>-1.5451013183593751</v>
      </c>
      <c r="Z28" s="339">
        <f t="shared" si="9"/>
        <v>5.311451764728</v>
      </c>
      <c r="AA28" s="334">
        <f>IF(AND(ISNUMBER('Laboratorio_M '!Q30),ISNUMBER('Courier_M '!Q32)),'Laboratorio_M '!Q30," ")</f>
        <v>0.71699999999999997</v>
      </c>
      <c r="AB28" s="334">
        <f>IF(AND(ISNUMBER('Laboratorio_M '!Q30),ISNUMBER('Courier_M '!Q32)),'Courier_M '!Q32," ")</f>
        <v>0.71669238805770874</v>
      </c>
      <c r="AC28" s="334">
        <f t="shared" si="10"/>
        <v>3.0761194229123046E-4</v>
      </c>
      <c r="AD28" s="339">
        <f t="shared" si="11"/>
        <v>4.29026418816221E-2</v>
      </c>
      <c r="AE28" s="334">
        <f>IF(AND(ISNUMBER('Laboratorio_M '!S30),ISNUMBER('Courier_M '!S32)),'Laboratorio_M '!S30," ")</f>
        <v>57.313000000000002</v>
      </c>
      <c r="AF28" s="334">
        <f>IF(AND(ISNUMBER('Laboratorio_M '!S30),ISNUMBER('Courier_M '!S32)),'Courier_M '!S32," ")</f>
        <v>55.951023101806641</v>
      </c>
      <c r="AG28" s="334">
        <f t="shared" si="31"/>
        <v>1.3619768981933618</v>
      </c>
      <c r="AH28" s="339">
        <f t="shared" si="12"/>
        <v>2.3763838888094528</v>
      </c>
      <c r="AI28" s="334">
        <f>IF(AND(ISNUMBER('Laboratorio_M '!U30),ISNUMBER('Courier_M '!U32)),'Laboratorio_M '!U30," ")</f>
        <v>1.0660000000000001</v>
      </c>
      <c r="AJ28" s="334">
        <f>IF(AND(ISNUMBER('Laboratorio_M '!U30),ISNUMBER('Courier_M '!U32)),'Courier_M '!U32," ")</f>
        <v>0.85430192947387695</v>
      </c>
      <c r="AK28" s="334">
        <f t="shared" si="13"/>
        <v>0.21169807052612311</v>
      </c>
      <c r="AL28" s="339">
        <f t="shared" si="14"/>
        <v>19.859106053107229</v>
      </c>
      <c r="AM28" s="334"/>
      <c r="AN28" s="334"/>
      <c r="AO28" s="338">
        <f>IF(AND(ISNUMBER('Laboratorio_M '!F30),ISNUMBER('Courier_M.'!F32)),Laboratorio_M!F30," ")</f>
        <v>24.57</v>
      </c>
      <c r="AP28" s="334">
        <f>IF(AND(ISNUMBER('Laboratorio_M '!F30),ISNUMBER('Courier_M.'!F32)),'Courier_M.'!F32," ")</f>
        <v>22.871414184570313</v>
      </c>
      <c r="AQ28" s="334">
        <f t="shared" si="15"/>
        <v>1.6985858154296878</v>
      </c>
      <c r="AR28" s="339">
        <f t="shared" si="16"/>
        <v>6.9132511820500104</v>
      </c>
      <c r="AS28" s="334">
        <f>IF(AND(ISNUMBER('Laboratorio_M '!H30),ISNUMBER('Courier_M.'!H32)),Laboratorio_M!H30," ")</f>
        <v>2.9020000000000001</v>
      </c>
      <c r="AT28" s="334">
        <f>IF(AND(ISNUMBER('Laboratorio_M '!H30),ISNUMBER('Courier_M.'!H32)),'Courier_M.'!H32," ")</f>
        <v>2.1810171604156494</v>
      </c>
      <c r="AU28" s="334">
        <f t="shared" si="32"/>
        <v>0.72098283958435072</v>
      </c>
      <c r="AV28" s="339">
        <f t="shared" si="17"/>
        <v>24.844343197255363</v>
      </c>
      <c r="AW28" s="334">
        <f>IF(AND(ISNUMBER('Laboratorio_M '!J30),ISNUMBER('Courier_M.'!J32)),Laboratorio_M!J30," ")</f>
        <v>26.57</v>
      </c>
      <c r="AX28" s="334">
        <f>IF(AND(ISNUMBER('Laboratorio_M '!J30),ISNUMBER('Courier_M.'!J32)),'Courier_M.'!J32," ")</f>
        <v>26.925535202026367</v>
      </c>
      <c r="AY28" s="334">
        <f t="shared" si="18"/>
        <v>-0.3555352020263669</v>
      </c>
      <c r="AZ28" s="339">
        <f t="shared" si="19"/>
        <v>1.3381076478222313</v>
      </c>
      <c r="BA28" s="334">
        <f>IF(AND(ISNUMBER('Laboratorio_M '!L30),ISNUMBER('Courier_M.'!L32)),Laboratorio_M!L30," ")</f>
        <v>25.37</v>
      </c>
      <c r="BB28" s="334">
        <f>IF(AND(ISNUMBER('Laboratorio_M '!L30),ISNUMBER('Courier_M '!L32)),'Courier_M '!L32," ")</f>
        <v>25.59405517578125</v>
      </c>
      <c r="BC28" s="334">
        <f t="shared" si="20"/>
        <v>-0.22405517578124901</v>
      </c>
      <c r="BD28" s="339">
        <f t="shared" si="21"/>
        <v>0.88315008191268818</v>
      </c>
      <c r="BE28" s="334">
        <f>IF(AND(ISNUMBER('Laboratorio_M '!N30),ISNUMBER('Courier_M.'!N32)),Laboratorio_M!N30," ")</f>
        <v>4.9000000000000002E-2</v>
      </c>
      <c r="BF28" s="334">
        <f>IF(AND(ISNUMBER('Laboratorio_M '!N30),ISNUMBER('Courier_M.'!N32)),'Courier_M.'!N32," ")</f>
        <v>9.6487991511821747E-2</v>
      </c>
      <c r="BG28" s="334">
        <f t="shared" si="22"/>
        <v>-4.7487991511821745E-2</v>
      </c>
      <c r="BH28" s="339">
        <f t="shared" si="23"/>
        <v>96.914268391472945</v>
      </c>
      <c r="BI28" s="337">
        <f>IF(AND(ISNUMBER('Laboratorio_M '!P30),ISNUMBER('Courier_M.'!P32)),Laboratorio_M!P30," ")</f>
        <v>28.68</v>
      </c>
      <c r="BJ28" s="334">
        <f>IF(AND(ISNUMBER('Laboratorio_M '!P30),ISNUMBER('Courier_M '!P32)),'Courier_M '!P32," ")</f>
        <v>30.628925323486328</v>
      </c>
      <c r="BK28" s="334">
        <f t="shared" si="24"/>
        <v>-1.9489253234863284</v>
      </c>
      <c r="BL28" s="339">
        <f t="shared" si="25"/>
        <v>6.7954160512075603</v>
      </c>
      <c r="BM28" s="334">
        <f>IF(AND(ISNUMBER('Laboratorio_M '!R30),ISNUMBER('Courier_M '!R32)),'Laboratorio_M '!R30," ")</f>
        <v>0.52700000000000002</v>
      </c>
      <c r="BN28" s="334">
        <f>IF(AND(ISNUMBER('Laboratorio_M '!R30),ISNUMBER('Courier_M '!R32)),'Courier_M '!R32," ")</f>
        <v>0.66673463582992554</v>
      </c>
      <c r="BO28" s="334">
        <f t="shared" si="33"/>
        <v>-0.13973463582992551</v>
      </c>
      <c r="BP28" s="339">
        <f t="shared" si="26"/>
        <v>26.515111163173721</v>
      </c>
      <c r="BQ28" s="334">
        <f>IF(AND(ISNUMBER('Laboratorio_M '!T30),ISNUMBER('Courier_M '!T32)),'Laboratorio_M '!T30," ")</f>
        <v>57.6</v>
      </c>
      <c r="BR28" s="334">
        <f>IF(AND(ISNUMBER('Laboratorio_M '!T30),ISNUMBER('Courier_M '!T32)),'Courier_M '!T32," ")</f>
        <v>56.001426696777344</v>
      </c>
      <c r="BS28" s="334">
        <f t="shared" si="34"/>
        <v>1.5985733032226577</v>
      </c>
      <c r="BT28" s="339">
        <f t="shared" si="35"/>
        <v>2.7753008736504472</v>
      </c>
      <c r="BU28" s="334">
        <f>IF(AND(ISNUMBER('Laboratorio_M '!V30),ISNUMBER('Courier_M '!V32)),'Laboratorio_M '!V30," ")</f>
        <v>0.72099999999999997</v>
      </c>
      <c r="BV28" s="334">
        <f>IF(AND(ISNUMBER('Laboratorio_M '!V30),ISNUMBER('Courier_M '!V32)),'Courier_M '!V32," ")</f>
        <v>0.79062825441360474</v>
      </c>
      <c r="BW28" s="334">
        <f t="shared" si="27"/>
        <v>-6.9628254413604762E-2</v>
      </c>
      <c r="BX28" s="339">
        <f t="shared" si="28"/>
        <v>9.6571781433571111</v>
      </c>
    </row>
    <row r="29" spans="3:76" x14ac:dyDescent="0.2">
      <c r="C29" s="338">
        <f>IF(AND(ISNUMBER('Laboratorio_M '!E31),ISNUMBER('Courier_M '!E33)),'Laboratorio_M '!E31," ")</f>
        <v>24.875</v>
      </c>
      <c r="D29" s="334">
        <f>IF(AND(ISNUMBER('Laboratorio_M '!E31),ISNUMBER('Courier_M '!E33)),'Courier_M '!E33," ")</f>
        <v>23.4122314453125</v>
      </c>
      <c r="E29" s="334">
        <f t="shared" si="29"/>
        <v>1.4627685546875</v>
      </c>
      <c r="F29" s="339">
        <f t="shared" si="0"/>
        <v>5.8804766017587937</v>
      </c>
      <c r="G29" s="334">
        <f>IF(AND(ISNUMBER('Laboratorio_M '!G31),ISNUMBER('Courier_M '!G33)),'Laboratorio_M '!G31," ")</f>
        <v>2.8490000000000002</v>
      </c>
      <c r="H29" s="334">
        <f>IF(AND(ISNUMBER('Laboratorio_M '!G31),ISNUMBER('Courier_M '!G33)),'Courier_M '!G33," ")</f>
        <v>1.9882111549377441</v>
      </c>
      <c r="I29" s="334">
        <f t="shared" si="30"/>
        <v>0.86078884506225606</v>
      </c>
      <c r="J29" s="339">
        <f t="shared" si="1"/>
        <v>30.213718675403861</v>
      </c>
      <c r="K29" s="334">
        <f>IF(AND(ISNUMBER('Laboratorio_M '!I31),ISNUMBER('Courier_M.'!I33)),Laboratorio_M!I31," ")</f>
        <v>27.3</v>
      </c>
      <c r="L29" s="334">
        <f>IF(AND(ISNUMBER('Laboratorio_M '!I31),ISNUMBER('Courier_M.'!I33)),'Courier_M.'!I33," ")</f>
        <v>26.656661987304688</v>
      </c>
      <c r="M29" s="334">
        <f t="shared" si="2"/>
        <v>0.64333801269531321</v>
      </c>
      <c r="N29" s="339">
        <f t="shared" si="3"/>
        <v>2.3565494970524292</v>
      </c>
      <c r="O29" s="334">
        <f>IF(AND(AND(ISNUMBER('Laboratorio_M '!K31),ISNUMBER('Courier_M.'!K33)),AND('Laboratorio_M '!K31&gt;17,'Courier_M.'!K33&gt;17)),Laboratorio_M!K31," ")</f>
        <v>26.068999999999999</v>
      </c>
      <c r="P29" s="334">
        <f>IF(AND(AND(ISNUMBER('Laboratorio_M '!K31),ISNUMBER('Courier_M.'!K33)),AND(Laboratorio_M!K31&gt;17,'Courier_M.'!K33&gt;17)),'Courier_M.'!K33," ")</f>
        <v>27.13728141784668</v>
      </c>
      <c r="Q29" s="334">
        <f t="shared" si="4"/>
        <v>-1.0682814178466806</v>
      </c>
      <c r="R29" s="339">
        <f t="shared" si="5"/>
        <v>4.0978994892273608</v>
      </c>
      <c r="S29" s="334">
        <f>IF(AND(ISNUMBER(Laboratorio_M!M31),ISNUMBER('Courier_M.'!M33)),Laboratorio_M!M31," ")</f>
        <v>6.5000000000000002E-2</v>
      </c>
      <c r="T29" s="334">
        <f>IF(AND(ISNUMBER('Laboratorio_M '!M31),ISNUMBER('Courier_M.'!M33)),'Courier_M.'!M33," ")</f>
        <v>8.5849106311798096E-2</v>
      </c>
      <c r="U29" s="334">
        <f t="shared" si="6"/>
        <v>-2.0849106311798093E-2</v>
      </c>
      <c r="V29" s="339">
        <f t="shared" si="7"/>
        <v>32.075548171997063</v>
      </c>
      <c r="W29" s="334">
        <f>IF(AND(AND(ISNUMBER('Laboratorio_M '!O31),ISNUMBER('Courier_M.'!O33)),AND(Laboratorio_M!O31&gt;20,'Courier_M.'!O33&gt;20)),Laboratorio_M!O31," ")</f>
        <v>27.87</v>
      </c>
      <c r="X29" s="334">
        <f>IF(AND(AND(ISNUMBER('Laboratorio_M '!O31),ISNUMBER('Courier_M.'!O33)),AND(Laboratorio_M!O31&gt;20,'Courier_M.'!O33&gt;20)),'Courier_M.'!O33," ")</f>
        <v>30.811515808105469</v>
      </c>
      <c r="Y29" s="334">
        <f t="shared" si="8"/>
        <v>-2.9415158081054678</v>
      </c>
      <c r="Z29" s="339">
        <f t="shared" si="9"/>
        <v>10.55441624723885</v>
      </c>
      <c r="AA29" s="334">
        <f>IF(AND(ISNUMBER('Laboratorio_M '!Q31),ISNUMBER('Courier_M '!Q33)),'Laboratorio_M '!Q31," ")</f>
        <v>0.67900000000000005</v>
      </c>
      <c r="AB29" s="334">
        <f>IF(AND(ISNUMBER('Laboratorio_M '!Q31),ISNUMBER('Courier_M '!Q33)),'Courier_M '!Q33," ")</f>
        <v>0.63896381855010986</v>
      </c>
      <c r="AC29" s="334">
        <f t="shared" si="10"/>
        <v>4.0036181449890185E-2</v>
      </c>
      <c r="AD29" s="339">
        <f t="shared" si="11"/>
        <v>5.8963448379808812</v>
      </c>
      <c r="AE29" s="334">
        <f>IF(AND(ISNUMBER('Laboratorio_M '!S31),ISNUMBER('Courier_M '!S33)),'Laboratorio_M '!S31," ")</f>
        <v>55.353000000000002</v>
      </c>
      <c r="AF29" s="334">
        <f>IF(AND(ISNUMBER('Laboratorio_M '!S31),ISNUMBER('Courier_M '!S33)),'Courier_M '!S33," ")</f>
        <v>55.468986511230469</v>
      </c>
      <c r="AG29" s="334">
        <f t="shared" si="31"/>
        <v>-0.11598651123046722</v>
      </c>
      <c r="AH29" s="339">
        <f t="shared" si="12"/>
        <v>0.20953970196821708</v>
      </c>
      <c r="AI29" s="334">
        <f>IF(AND(ISNUMBER('Laboratorio_M '!U31),ISNUMBER('Courier_M '!U33)),'Laboratorio_M '!U31," ")</f>
        <v>2.1579999999999999</v>
      </c>
      <c r="AJ29" s="334">
        <f>IF(AND(ISNUMBER('Laboratorio_M '!U31),ISNUMBER('Courier_M '!U33)),'Courier_M '!U33," ")</f>
        <v>0.80846917629241943</v>
      </c>
      <c r="AK29" s="334">
        <f t="shared" si="13"/>
        <v>1.3495308237075805</v>
      </c>
      <c r="AL29" s="339">
        <f t="shared" si="14"/>
        <v>62.536182748266015</v>
      </c>
      <c r="AM29" s="334"/>
      <c r="AN29" s="334"/>
      <c r="AO29" s="338">
        <f>IF(AND(ISNUMBER('Laboratorio_M '!F31),ISNUMBER('Courier_M.'!F33)),Laboratorio_M!F31," ")</f>
        <v>26.663</v>
      </c>
      <c r="AP29" s="334">
        <f>IF(AND(ISNUMBER('Laboratorio_M '!F31),ISNUMBER('Courier_M.'!F33)),'Courier_M.'!F33," ")</f>
        <v>23.4122314453125</v>
      </c>
      <c r="AQ29" s="334">
        <f t="shared" si="15"/>
        <v>3.2507685546875003</v>
      </c>
      <c r="AR29" s="339">
        <f t="shared" si="16"/>
        <v>12.192058488120242</v>
      </c>
      <c r="AS29" s="334">
        <f>IF(AND(ISNUMBER('Laboratorio_M '!H31),ISNUMBER('Courier_M.'!H33)),Laboratorio_M!H31," ")</f>
        <v>1.901</v>
      </c>
      <c r="AT29" s="334">
        <f>IF(AND(ISNUMBER('Laboratorio_M '!H31),ISNUMBER('Courier_M.'!H33)),'Courier_M.'!H33," ")</f>
        <v>1.9882111549377441</v>
      </c>
      <c r="AU29" s="334">
        <f t="shared" si="32"/>
        <v>-8.7211154937744118E-2</v>
      </c>
      <c r="AV29" s="339">
        <f t="shared" si="17"/>
        <v>4.5876462355467709</v>
      </c>
      <c r="AW29" s="334">
        <f>IF(AND(ISNUMBER('Laboratorio_M '!J31),ISNUMBER('Courier_M.'!J33)),Laboratorio_M!J31," ")</f>
        <v>27.66</v>
      </c>
      <c r="AX29" s="334">
        <f>IF(AND(ISNUMBER('Laboratorio_M '!J31),ISNUMBER('Courier_M.'!J33)),'Courier_M.'!J33," ")</f>
        <v>26.656661987304688</v>
      </c>
      <c r="AY29" s="334">
        <f t="shared" si="18"/>
        <v>1.0033380126953126</v>
      </c>
      <c r="AZ29" s="339">
        <f t="shared" si="19"/>
        <v>3.6273970090213763</v>
      </c>
      <c r="BA29" s="334">
        <f>IF(AND(ISNUMBER('Laboratorio_M '!L31),ISNUMBER('Courier_M.'!L33)),Laboratorio_M!L31," ")</f>
        <v>26.465</v>
      </c>
      <c r="BB29" s="334">
        <f>IF(AND(ISNUMBER('Laboratorio_M '!L31),ISNUMBER('Courier_M '!L33)),'Courier_M '!L33," ")</f>
        <v>26.986896514892578</v>
      </c>
      <c r="BC29" s="334">
        <f t="shared" si="20"/>
        <v>-0.52189651489257827</v>
      </c>
      <c r="BD29" s="339">
        <f t="shared" si="21"/>
        <v>1.9720253727284272</v>
      </c>
      <c r="BE29" s="334">
        <f>IF(AND(ISNUMBER('Laboratorio_M '!N31),ISNUMBER('Courier_M.'!N33)),Laboratorio_M!N31," ")</f>
        <v>5.8999999999999997E-2</v>
      </c>
      <c r="BF29" s="334">
        <f>IF(AND(ISNUMBER('Laboratorio_M '!N31),ISNUMBER('Courier_M.'!N33)),'Courier_M.'!N33," ")</f>
        <v>6.6281162202358246E-2</v>
      </c>
      <c r="BG29" s="334">
        <f t="shared" si="22"/>
        <v>-7.281162202358249E-3</v>
      </c>
      <c r="BH29" s="339">
        <f t="shared" si="23"/>
        <v>12.340952885352966</v>
      </c>
      <c r="BI29" s="337">
        <f>IF(AND(ISNUMBER('Laboratorio_M '!P31),ISNUMBER('Courier_M.'!P33)),Laboratorio_M!P31," ")</f>
        <v>28.96</v>
      </c>
      <c r="BJ29" s="334">
        <f>IF(AND(ISNUMBER('Laboratorio_M '!P31),ISNUMBER('Courier_M '!P33)),'Courier_M '!P33," ")</f>
        <v>30.284336090087891</v>
      </c>
      <c r="BK29" s="334">
        <f t="shared" si="24"/>
        <v>-1.3243360900878898</v>
      </c>
      <c r="BL29" s="339">
        <f t="shared" si="25"/>
        <v>4.5729837364913317</v>
      </c>
      <c r="BM29" s="334">
        <f>IF(AND(ISNUMBER('Laboratorio_M '!R31),ISNUMBER('Courier_M '!R33)),'Laboratorio_M '!R31," ")</f>
        <v>0.48499999999999999</v>
      </c>
      <c r="BN29" s="334">
        <f>IF(AND(ISNUMBER('Laboratorio_M '!R31),ISNUMBER('Courier_M '!R33)),'Courier_M '!R33," ")</f>
        <v>0.61430835723876953</v>
      </c>
      <c r="BO29" s="334">
        <f t="shared" si="33"/>
        <v>-0.12930835723876954</v>
      </c>
      <c r="BP29" s="339">
        <f t="shared" si="26"/>
        <v>26.661516956447329</v>
      </c>
      <c r="BQ29" s="334">
        <f>IF(AND(ISNUMBER('Laboratorio_M '!T31),ISNUMBER('Courier_M '!T33)),'Laboratorio_M '!T31," ")</f>
        <v>57.158999999999999</v>
      </c>
      <c r="BR29" s="334">
        <f>IF(AND(ISNUMBER('Laboratorio_M '!T31),ISNUMBER('Courier_M '!T33)),'Courier_M '!T33," ")</f>
        <v>55.944484710693359</v>
      </c>
      <c r="BS29" s="334">
        <f t="shared" si="34"/>
        <v>1.2145152893066395</v>
      </c>
      <c r="BT29" s="339">
        <f t="shared" si="35"/>
        <v>2.1248014998629081</v>
      </c>
      <c r="BU29" s="334">
        <f>IF(AND(ISNUMBER('Laboratorio_M '!V31),ISNUMBER('Courier_M '!V33)),'Laboratorio_M '!V31," ")</f>
        <v>0.68799999999999994</v>
      </c>
      <c r="BV29" s="334">
        <f>IF(AND(ISNUMBER('Laboratorio_M '!V31),ISNUMBER('Courier_M '!V33)),'Courier_M '!V33," ")</f>
        <v>0.77429276704788208</v>
      </c>
      <c r="BW29" s="334">
        <f t="shared" si="27"/>
        <v>-8.6292767047882135E-2</v>
      </c>
      <c r="BX29" s="339">
        <f t="shared" si="28"/>
        <v>12.542553349982869</v>
      </c>
    </row>
    <row r="30" spans="3:76" x14ac:dyDescent="0.2">
      <c r="C30" s="338">
        <f>IF(AND(ISNUMBER('Laboratorio_M '!E32),ISNUMBER('Courier_M '!E34)),'Laboratorio_M '!E32," ")</f>
        <v>23.122</v>
      </c>
      <c r="D30" s="334">
        <f>IF(AND(ISNUMBER('Laboratorio_M '!E32),ISNUMBER('Courier_M '!E34)),'Courier_M '!E34," ")</f>
        <v>23.4122314453125</v>
      </c>
      <c r="E30" s="334">
        <f t="shared" si="29"/>
        <v>-0.29023144531250011</v>
      </c>
      <c r="F30" s="339">
        <f t="shared" si="0"/>
        <v>1.2552177377065137</v>
      </c>
      <c r="G30" s="334">
        <f>IF(AND(ISNUMBER('Laboratorio_M '!G32),ISNUMBER('Courier_M '!G34)),'Laboratorio_M '!G32," ")</f>
        <v>3.302</v>
      </c>
      <c r="H30" s="334">
        <f>IF(AND(ISNUMBER('Laboratorio_M '!G32),ISNUMBER('Courier_M '!G34)),'Courier_M '!G34," ")</f>
        <v>1.9882111549377441</v>
      </c>
      <c r="I30" s="334">
        <f t="shared" si="30"/>
        <v>1.3137888450622559</v>
      </c>
      <c r="J30" s="339">
        <f t="shared" si="1"/>
        <v>39.787669444647364</v>
      </c>
      <c r="K30" s="334">
        <f>IF(AND(ISNUMBER('Laboratorio_M '!I32),ISNUMBER('Courier_M.'!I34)),Laboratorio_M!I32," ")</f>
        <v>26.32</v>
      </c>
      <c r="L30" s="334">
        <f>IF(AND(ISNUMBER('Laboratorio_M '!I32),ISNUMBER('Courier_M.'!I34)),'Courier_M.'!I34," ")</f>
        <v>26.656661987304688</v>
      </c>
      <c r="M30" s="334">
        <f t="shared" si="2"/>
        <v>-0.33666198730468722</v>
      </c>
      <c r="N30" s="339">
        <f t="shared" si="3"/>
        <v>1.2791108940147691</v>
      </c>
      <c r="O30" s="334">
        <f>IF(AND(AND(ISNUMBER('Laboratorio_M '!K32),ISNUMBER('Courier_M.'!K34)),AND('Laboratorio_M '!K32&gt;17,'Courier_M.'!K34&gt;17)),Laboratorio_M!K32," ")</f>
        <v>23.571999999999999</v>
      </c>
      <c r="P30" s="334">
        <f>IF(AND(AND(ISNUMBER('Laboratorio_M '!K32),ISNUMBER('Courier_M.'!K34)),AND(Laboratorio_M!K32&gt;17,'Courier_M.'!K34&gt;17)),'Courier_M.'!K34," ")</f>
        <v>25.830345153808594</v>
      </c>
      <c r="Q30" s="334">
        <f t="shared" si="4"/>
        <v>-2.2583451538085946</v>
      </c>
      <c r="R30" s="339">
        <f t="shared" si="5"/>
        <v>9.5806259706795966</v>
      </c>
      <c r="S30" s="334">
        <f>IF(AND(ISNUMBER(Laboratorio_M!M32),ISNUMBER('Courier_M.'!M34)),Laboratorio_M!M32," ")</f>
        <v>9.9000000000000005E-2</v>
      </c>
      <c r="T30" s="334">
        <f>IF(AND(ISNUMBER('Laboratorio_M '!M32),ISNUMBER('Courier_M.'!M34)),'Courier_M.'!M34," ")</f>
        <v>0.10891502350568771</v>
      </c>
      <c r="U30" s="334">
        <f t="shared" si="6"/>
        <v>-9.915023505687709E-3</v>
      </c>
      <c r="V30" s="339">
        <f t="shared" si="7"/>
        <v>10.015175258270412</v>
      </c>
      <c r="W30" s="334">
        <f>IF(AND(AND(ISNUMBER('Laboratorio_M '!O32),ISNUMBER('Courier_M.'!O34)),AND(Laboratorio_M!O32&gt;20,'Courier_M.'!O34&gt;20)),Laboratorio_M!O32," ")</f>
        <v>28.31</v>
      </c>
      <c r="X30" s="334">
        <f>IF(AND(AND(ISNUMBER('Laboratorio_M '!O32),ISNUMBER('Courier_M.'!O34)),AND(Laboratorio_M!O32&gt;20,'Courier_M.'!O34&gt;20)),'Courier_M.'!O34," ")</f>
        <v>30.050273895263672</v>
      </c>
      <c r="Y30" s="334">
        <f t="shared" si="8"/>
        <v>-1.7402738952636732</v>
      </c>
      <c r="Z30" s="339">
        <f t="shared" si="9"/>
        <v>6.1472055643365362</v>
      </c>
      <c r="AA30" s="334">
        <f>IF(AND(ISNUMBER('Laboratorio_M '!Q32),ISNUMBER('Courier_M '!Q34)),'Laboratorio_M '!Q32," ")</f>
        <v>0.54800000000000004</v>
      </c>
      <c r="AB30" s="334">
        <f>IF(AND(ISNUMBER('Laboratorio_M '!Q32),ISNUMBER('Courier_M '!Q34)),'Courier_M '!Q34," ")</f>
        <v>0.64969217777252197</v>
      </c>
      <c r="AC30" s="334">
        <f t="shared" si="10"/>
        <v>-0.10169217777252193</v>
      </c>
      <c r="AD30" s="339">
        <f t="shared" si="11"/>
        <v>18.55696674681057</v>
      </c>
      <c r="AE30" s="334">
        <f>IF(AND(ISNUMBER('Laboratorio_M '!S32),ISNUMBER('Courier_M '!S34)),'Laboratorio_M '!S32," ")</f>
        <v>57.23</v>
      </c>
      <c r="AF30" s="334">
        <f>IF(AND(ISNUMBER('Laboratorio_M '!S32),ISNUMBER('Courier_M '!S34)),'Courier_M '!S34," ")</f>
        <v>55.621616363525391</v>
      </c>
      <c r="AG30" s="334">
        <f t="shared" si="31"/>
        <v>1.6083836364746062</v>
      </c>
      <c r="AH30" s="339">
        <f t="shared" si="12"/>
        <v>2.8103855259035582</v>
      </c>
      <c r="AI30" s="334">
        <f>IF(AND(ISNUMBER('Laboratorio_M '!U32),ISNUMBER('Courier_M '!U34)),'Laboratorio_M '!U32," ")</f>
        <v>0.93100000000000005</v>
      </c>
      <c r="AJ30" s="334">
        <f>IF(AND(ISNUMBER('Laboratorio_M '!U32),ISNUMBER('Courier_M '!U34)),'Courier_M '!U34," ")</f>
        <v>0.87993007898330688</v>
      </c>
      <c r="AK30" s="334">
        <f t="shared" si="13"/>
        <v>5.1069921016693165E-2</v>
      </c>
      <c r="AL30" s="339">
        <f t="shared" si="14"/>
        <v>5.4854909792366451</v>
      </c>
      <c r="AM30" s="334"/>
      <c r="AN30" s="334"/>
      <c r="AO30" s="338">
        <f>IF(AND(ISNUMBER('Laboratorio_M '!F32),ISNUMBER('Courier_M.'!F34)),Laboratorio_M!F32," ")</f>
        <v>25.068000000000001</v>
      </c>
      <c r="AP30" s="334">
        <f>IF(AND(ISNUMBER('Laboratorio_M '!F32),ISNUMBER('Courier_M.'!F34)),'Courier_M.'!F34," ")</f>
        <v>25.597373962402344</v>
      </c>
      <c r="AQ30" s="334">
        <f t="shared" si="15"/>
        <v>-0.52937396240234236</v>
      </c>
      <c r="AR30" s="339">
        <f t="shared" si="16"/>
        <v>2.1117518844835743</v>
      </c>
      <c r="AS30" s="334">
        <f>IF(AND(ISNUMBER('Laboratorio_M '!H32),ISNUMBER('Courier_M.'!H34)),Laboratorio_M!H32," ")</f>
        <v>3.0830000000000002</v>
      </c>
      <c r="AT30" s="334">
        <f>IF(AND(ISNUMBER('Laboratorio_M '!H32),ISNUMBER('Courier_M.'!H34)),'Courier_M.'!H34," ")</f>
        <v>2.427558422088623</v>
      </c>
      <c r="AU30" s="334">
        <f t="shared" si="32"/>
        <v>0.65544157791137714</v>
      </c>
      <c r="AV30" s="339">
        <f t="shared" si="17"/>
        <v>21.259863052590887</v>
      </c>
      <c r="AW30" s="334">
        <f>IF(AND(ISNUMBER('Laboratorio_M '!J32),ISNUMBER('Courier_M.'!J34)),Laboratorio_M!J32," ")</f>
        <v>25.8</v>
      </c>
      <c r="AX30" s="334">
        <f>IF(AND(ISNUMBER('Laboratorio_M '!J32),ISNUMBER('Courier_M.'!J34)),'Courier_M.'!J34," ")</f>
        <v>28.693515777587891</v>
      </c>
      <c r="AY30" s="334">
        <f t="shared" si="18"/>
        <v>-2.8935157775878899</v>
      </c>
      <c r="AZ30" s="339">
        <f t="shared" si="19"/>
        <v>11.215177432511201</v>
      </c>
      <c r="BA30" s="334">
        <f>IF(AND(ISNUMBER('Laboratorio_M '!L32),ISNUMBER('Courier_M.'!L34)),Laboratorio_M!L32," ")</f>
        <v>25.97</v>
      </c>
      <c r="BB30" s="334">
        <f>IF(AND(ISNUMBER('Laboratorio_M '!L32),ISNUMBER('Courier_M '!L34)),'Courier_M '!L34," ")</f>
        <v>25.62885856628418</v>
      </c>
      <c r="BC30" s="334">
        <f t="shared" si="20"/>
        <v>0.34114143371581918</v>
      </c>
      <c r="BD30" s="339">
        <f t="shared" si="21"/>
        <v>1.313598127515669</v>
      </c>
      <c r="BE30" s="334">
        <f>IF(AND(ISNUMBER('Laboratorio_M '!N32),ISNUMBER('Courier_M.'!N34)),Laboratorio_M!N32," ")</f>
        <v>0.106</v>
      </c>
      <c r="BF30" s="334">
        <f>IF(AND(ISNUMBER('Laboratorio_M '!N32),ISNUMBER('Courier_M.'!N34)),'Courier_M.'!N34," ")</f>
        <v>9.5075011253356934E-2</v>
      </c>
      <c r="BG30" s="334">
        <f t="shared" si="22"/>
        <v>1.0924988746643063E-2</v>
      </c>
      <c r="BH30" s="339">
        <f t="shared" si="23"/>
        <v>10.306593157210438</v>
      </c>
      <c r="BI30" s="337">
        <f>IF(AND(ISNUMBER('Laboratorio_M '!P32),ISNUMBER('Courier_M.'!P34)),Laboratorio_M!P32," ")</f>
        <v>27.45</v>
      </c>
      <c r="BJ30" s="334">
        <f>IF(AND(ISNUMBER('Laboratorio_M '!P32),ISNUMBER('Courier_M '!P34)),'Courier_M '!P34," ")</f>
        <v>29.321147918701172</v>
      </c>
      <c r="BK30" s="334">
        <f t="shared" si="24"/>
        <v>-1.8711479187011726</v>
      </c>
      <c r="BL30" s="339">
        <f t="shared" si="25"/>
        <v>6.8165680098403376</v>
      </c>
      <c r="BM30" s="334">
        <f>IF(AND(ISNUMBER('Laboratorio_M '!R32),ISNUMBER('Courier_M '!R34)),'Laboratorio_M '!R32," ")</f>
        <v>0.66200000000000003</v>
      </c>
      <c r="BN30" s="334">
        <f>IF(AND(ISNUMBER('Laboratorio_M '!R32),ISNUMBER('Courier_M '!R34)),'Courier_M '!R34," ")</f>
        <v>0.70881867408752441</v>
      </c>
      <c r="BO30" s="334">
        <f t="shared" si="33"/>
        <v>-4.6818674087524381E-2</v>
      </c>
      <c r="BP30" s="339">
        <f t="shared" si="26"/>
        <v>7.0723072639764917</v>
      </c>
      <c r="BQ30" s="334">
        <f>IF(AND(ISNUMBER('Laboratorio_M '!T32),ISNUMBER('Courier_M '!T34)),'Laboratorio_M '!T32," ")</f>
        <v>56.963999999999999</v>
      </c>
      <c r="BR30" s="334">
        <f>IF(AND(ISNUMBER('Laboratorio_M '!T32),ISNUMBER('Courier_M '!T34)),'Courier_M '!T34," ")</f>
        <v>56.462387084960938</v>
      </c>
      <c r="BS30" s="334">
        <f t="shared" si="34"/>
        <v>0.50161291503906114</v>
      </c>
      <c r="BT30" s="339">
        <f t="shared" si="35"/>
        <v>0.88057881300305663</v>
      </c>
      <c r="BU30" s="334">
        <f>IF(AND(ISNUMBER('Laboratorio_M '!V32),ISNUMBER('Courier_M '!V34)),'Laboratorio_M '!V32," ")</f>
        <v>0.96899999999999997</v>
      </c>
      <c r="BV30" s="334">
        <f>IF(AND(ISNUMBER('Laboratorio_M '!V32),ISNUMBER('Courier_M '!V34)),'Courier_M '!V34," ")</f>
        <v>0.91401469707489014</v>
      </c>
      <c r="BW30" s="334">
        <f t="shared" si="27"/>
        <v>5.4985302925109836E-2</v>
      </c>
      <c r="BX30" s="339">
        <f t="shared" si="28"/>
        <v>5.6744378663684047</v>
      </c>
    </row>
    <row r="31" spans="3:76" x14ac:dyDescent="0.2">
      <c r="C31" s="338">
        <f>IF(AND(ISNUMBER('Laboratorio_M '!E33),ISNUMBER('Courier_M '!E35)),'Laboratorio_M '!E33," ")</f>
        <v>25.128</v>
      </c>
      <c r="D31" s="334">
        <f>IF(AND(ISNUMBER('Laboratorio_M '!E33),ISNUMBER('Courier_M '!E35)),'Courier_M '!E35," ")</f>
        <v>23.623220443725586</v>
      </c>
      <c r="E31" s="334">
        <f t="shared" si="29"/>
        <v>1.5047795562744142</v>
      </c>
      <c r="F31" s="339">
        <f t="shared" si="0"/>
        <v>5.9884573236008203</v>
      </c>
      <c r="G31" s="334">
        <f>IF(AND(ISNUMBER('Laboratorio_M '!G33),ISNUMBER('Courier_M '!G35)),'Laboratorio_M '!G33," ")</f>
        <v>3.9340000000000002</v>
      </c>
      <c r="H31" s="334">
        <f>IF(AND(ISNUMBER('Laboratorio_M '!G33),ISNUMBER('Courier_M '!G35)),'Courier_M '!G35," ")</f>
        <v>2.2709739208221436</v>
      </c>
      <c r="I31" s="334">
        <f t="shared" si="30"/>
        <v>1.6630260791778566</v>
      </c>
      <c r="J31" s="339">
        <f t="shared" si="1"/>
        <v>42.273159104673525</v>
      </c>
      <c r="K31" s="334">
        <f>IF(AND(ISNUMBER('Laboratorio_M '!I33),ISNUMBER('Courier_M.'!I35)),Laboratorio_M!I33," ")</f>
        <v>27.26</v>
      </c>
      <c r="L31" s="334">
        <f>IF(AND(ISNUMBER('Laboratorio_M '!I33),ISNUMBER('Courier_M.'!I35)),'Courier_M.'!I35," ")</f>
        <v>25.452836990356445</v>
      </c>
      <c r="M31" s="334">
        <f t="shared" si="2"/>
        <v>1.8071630096435563</v>
      </c>
      <c r="N31" s="339">
        <f t="shared" si="3"/>
        <v>6.6293580691252973</v>
      </c>
      <c r="O31" s="334">
        <f>IF(AND(AND(ISNUMBER('Laboratorio_M '!K33),ISNUMBER('Courier_M.'!K35)),AND('Laboratorio_M '!K33&gt;17,'Courier_M.'!K35&gt;17)),Laboratorio_M!K33," ")</f>
        <v>25.227</v>
      </c>
      <c r="P31" s="334">
        <f>IF(AND(AND(ISNUMBER('Laboratorio_M '!K33),ISNUMBER('Courier_M.'!K35)),AND(Laboratorio_M!K33&gt;17,'Courier_M.'!K35&gt;17)),'Courier_M.'!K35," ")</f>
        <v>25.941305160522461</v>
      </c>
      <c r="Q31" s="334">
        <f t="shared" si="4"/>
        <v>-0.71430516052246062</v>
      </c>
      <c r="R31" s="339">
        <f t="shared" si="5"/>
        <v>2.8315105265091391</v>
      </c>
      <c r="S31" s="334">
        <f>IF(AND(ISNUMBER(Laboratorio_M!M33),ISNUMBER('Courier_M.'!M35)),Laboratorio_M!M33," ")</f>
        <v>7.2999999999999995E-2</v>
      </c>
      <c r="T31" s="334">
        <f>IF(AND(ISNUMBER('Laboratorio_M '!M33),ISNUMBER('Courier_M.'!M35)),'Courier_M.'!M35," ")</f>
        <v>0.10948605090379715</v>
      </c>
      <c r="U31" s="334">
        <f t="shared" si="6"/>
        <v>-3.6486050903797154E-2</v>
      </c>
      <c r="V31" s="339">
        <f t="shared" si="7"/>
        <v>49.980891649037204</v>
      </c>
      <c r="W31" s="334">
        <f>IF(AND(AND(ISNUMBER('Laboratorio_M '!O33),ISNUMBER('Courier_M.'!O35)),AND(Laboratorio_M!O33&gt;20,'Courier_M.'!O35&gt;20)),Laboratorio_M!O33," ")</f>
        <v>28.8</v>
      </c>
      <c r="X31" s="334">
        <f>IF(AND(AND(ISNUMBER('Laboratorio_M '!O33),ISNUMBER('Courier_M.'!O35)),AND(Laboratorio_M!O33&gt;20,'Courier_M.'!O35&gt;20)),'Courier_M.'!O35," ")</f>
        <v>29.290821075439453</v>
      </c>
      <c r="Y31" s="334">
        <f t="shared" si="8"/>
        <v>-0.49082107543945241</v>
      </c>
      <c r="Z31" s="339">
        <f t="shared" si="9"/>
        <v>1.7042398452758765</v>
      </c>
      <c r="AA31" s="334">
        <f>IF(AND(ISNUMBER('Laboratorio_M '!Q33),ISNUMBER('Courier_M '!Q35)),'Laboratorio_M '!Q33," ")</f>
        <v>0.73699999999999999</v>
      </c>
      <c r="AB31" s="334">
        <f>IF(AND(ISNUMBER('Laboratorio_M '!Q33),ISNUMBER('Courier_M '!Q35)),'Courier_M '!Q35," ")</f>
        <v>0.90763550996780396</v>
      </c>
      <c r="AC31" s="334">
        <f t="shared" si="10"/>
        <v>-0.17063550996780397</v>
      </c>
      <c r="AD31" s="339">
        <f t="shared" si="11"/>
        <v>23.152715056689818</v>
      </c>
      <c r="AE31" s="334">
        <f>IF(AND(ISNUMBER('Laboratorio_M '!S33),ISNUMBER('Courier_M '!S35)),'Laboratorio_M '!S33," ")</f>
        <v>55.98</v>
      </c>
      <c r="AF31" s="334">
        <f>IF(AND(ISNUMBER('Laboratorio_M '!S33),ISNUMBER('Courier_M '!S35)),'Courier_M '!S35," ")</f>
        <v>56.375556945800781</v>
      </c>
      <c r="AG31" s="334">
        <f t="shared" si="31"/>
        <v>-0.39555694580078438</v>
      </c>
      <c r="AH31" s="339">
        <f t="shared" si="12"/>
        <v>0.70660404751837158</v>
      </c>
      <c r="AI31" s="334">
        <f>IF(AND(ISNUMBER('Laboratorio_M '!U33),ISNUMBER('Courier_M '!U35)),'Laboratorio_M '!U33," ")</f>
        <v>1.484</v>
      </c>
      <c r="AJ31" s="334">
        <f>IF(AND(ISNUMBER('Laboratorio_M '!U33),ISNUMBER('Courier_M '!U35)),'Courier_M '!U35," ")</f>
        <v>1.1859747171401978</v>
      </c>
      <c r="AK31" s="334">
        <f t="shared" si="13"/>
        <v>0.29802528285980223</v>
      </c>
      <c r="AL31" s="339">
        <f t="shared" si="14"/>
        <v>20.082566230444897</v>
      </c>
      <c r="AM31" s="334"/>
      <c r="AN31" s="334"/>
      <c r="AO31" s="338">
        <f>IF(AND(ISNUMBER('Laboratorio_M '!F33),ISNUMBER('Courier_M.'!F35)),Laboratorio_M!F33," ")</f>
        <v>24.337</v>
      </c>
      <c r="AP31" s="334">
        <f>IF(AND(ISNUMBER('Laboratorio_M '!F33),ISNUMBER('Courier_M.'!F35)),'Courier_M.'!F35," ")</f>
        <v>24.979143142700195</v>
      </c>
      <c r="AQ31" s="334">
        <f t="shared" si="15"/>
        <v>-0.64214314270019557</v>
      </c>
      <c r="AR31" s="339">
        <f t="shared" si="16"/>
        <v>2.6385468328068193</v>
      </c>
      <c r="AS31" s="334">
        <f>IF(AND(ISNUMBER('Laboratorio_M '!H33),ISNUMBER('Courier_M.'!H35)),Laboratorio_M!H33," ")</f>
        <v>2.57</v>
      </c>
      <c r="AT31" s="334">
        <f>IF(AND(ISNUMBER('Laboratorio_M '!H33),ISNUMBER('Courier_M.'!H35)),'Courier_M.'!H35," ")</f>
        <v>2.8069972991943359</v>
      </c>
      <c r="AU31" s="334">
        <f t="shared" si="32"/>
        <v>-0.2369972991943361</v>
      </c>
      <c r="AV31" s="339">
        <f t="shared" si="17"/>
        <v>9.2216847935539352</v>
      </c>
      <c r="AW31" s="334">
        <f>IF(AND(ISNUMBER('Laboratorio_M '!J33),ISNUMBER('Courier_M.'!J35)),Laboratorio_M!J33," ")</f>
        <v>25.95</v>
      </c>
      <c r="AX31" s="334">
        <f>IF(AND(ISNUMBER('Laboratorio_M '!J33),ISNUMBER('Courier_M.'!J35)),'Courier_M.'!J35," ")</f>
        <v>29.563499450683594</v>
      </c>
      <c r="AY31" s="334">
        <f t="shared" si="18"/>
        <v>-3.6134994506835945</v>
      </c>
      <c r="AZ31" s="339">
        <f t="shared" si="19"/>
        <v>13.924853374503254</v>
      </c>
      <c r="BA31" s="334">
        <f>IF(AND(ISNUMBER('Laboratorio_M '!L33),ISNUMBER('Courier_M.'!L35)),Laboratorio_M!L33," ")</f>
        <v>26.167000000000002</v>
      </c>
      <c r="BB31" s="334">
        <f>IF(AND(ISNUMBER('Laboratorio_M '!L33),ISNUMBER('Courier_M '!L35)),'Courier_M '!L35," ")</f>
        <v>25.204212188720703</v>
      </c>
      <c r="BC31" s="334">
        <f t="shared" si="20"/>
        <v>0.96278781127929847</v>
      </c>
      <c r="BD31" s="339">
        <f t="shared" si="21"/>
        <v>3.6793969934623703</v>
      </c>
      <c r="BE31" s="334">
        <f>IF(AND(ISNUMBER('Laboratorio_M '!N33),ISNUMBER('Courier_M.'!N35)),Laboratorio_M!N33," ")</f>
        <v>6.2E-2</v>
      </c>
      <c r="BF31" s="334">
        <f>IF(AND(ISNUMBER('Laboratorio_M '!N33),ISNUMBER('Courier_M.'!N35)),'Courier_M.'!N35," ")</f>
        <v>6.9430828094482422E-2</v>
      </c>
      <c r="BG31" s="334">
        <f t="shared" si="22"/>
        <v>-7.4308280944824223E-3</v>
      </c>
      <c r="BH31" s="339">
        <f t="shared" si="23"/>
        <v>11.985206604003908</v>
      </c>
      <c r="BI31" s="337">
        <f>IF(AND(ISNUMBER('Laboratorio_M '!P33),ISNUMBER('Courier_M.'!P35)),Laboratorio_M!P33," ")</f>
        <v>28.28</v>
      </c>
      <c r="BJ31" s="334">
        <f>IF(AND(ISNUMBER('Laboratorio_M '!P33),ISNUMBER('Courier_M '!P35)),'Courier_M '!P35," ")</f>
        <v>29.142030715942383</v>
      </c>
      <c r="BK31" s="334">
        <f t="shared" si="24"/>
        <v>-0.86203071594238168</v>
      </c>
      <c r="BL31" s="339">
        <f t="shared" si="25"/>
        <v>3.048199136995692</v>
      </c>
      <c r="BM31" s="334">
        <f>IF(AND(ISNUMBER('Laboratorio_M '!R33),ISNUMBER('Courier_M '!R35)),'Laboratorio_M '!R33," ")</f>
        <v>0.96899999999999997</v>
      </c>
      <c r="BN31" s="334">
        <f>IF(AND(ISNUMBER('Laboratorio_M '!R33),ISNUMBER('Courier_M '!R35)),'Courier_M '!R35," ")</f>
        <v>0.85986596345901489</v>
      </c>
      <c r="BO31" s="334">
        <f t="shared" si="33"/>
        <v>0.10913403654098508</v>
      </c>
      <c r="BP31" s="339">
        <f t="shared" si="26"/>
        <v>11.262542470689894</v>
      </c>
      <c r="BQ31" s="334">
        <f>IF(AND(ISNUMBER('Laboratorio_M '!T33),ISNUMBER('Courier_M '!T35)),'Laboratorio_M '!T33," ")</f>
        <v>54.634999999999998</v>
      </c>
      <c r="BR31" s="334">
        <f>IF(AND(ISNUMBER('Laboratorio_M '!T33),ISNUMBER('Courier_M '!T35)),'Courier_M '!T35," ")</f>
        <v>55.806068420410156</v>
      </c>
      <c r="BS31" s="334">
        <f t="shared" si="34"/>
        <v>-1.1710684204101582</v>
      </c>
      <c r="BT31" s="339">
        <f t="shared" si="35"/>
        <v>2.1434399568228395</v>
      </c>
      <c r="BU31" s="334">
        <f>IF(AND(ISNUMBER('Laboratorio_M '!V33),ISNUMBER('Courier_M '!V35)),'Laboratorio_M '!V33," ")</f>
        <v>1.542</v>
      </c>
      <c r="BV31" s="334">
        <f>IF(AND(ISNUMBER('Laboratorio_M '!V33),ISNUMBER('Courier_M '!V35)),'Courier_M '!V35," ")</f>
        <v>1.1811318397521973</v>
      </c>
      <c r="BW31" s="334">
        <f t="shared" si="27"/>
        <v>0.36086816024780277</v>
      </c>
      <c r="BX31" s="339">
        <f t="shared" si="28"/>
        <v>23.402604425927546</v>
      </c>
    </row>
    <row r="32" spans="3:76" x14ac:dyDescent="0.2">
      <c r="C32" s="338" t="str">
        <f>IF(AND(ISNUMBER('Laboratorio_M '!E34),ISNUMBER('Courier_M '!E36)),'Laboratorio_M '!E34," ")</f>
        <v xml:space="preserve"> </v>
      </c>
      <c r="D32" s="334" t="str">
        <f>IF(AND(ISNUMBER('Laboratorio_M '!E34),ISNUMBER('Courier_M '!E36)),'Courier_M '!E36," ")</f>
        <v xml:space="preserve"> </v>
      </c>
      <c r="E32" s="334" t="str">
        <f t="shared" si="29"/>
        <v xml:space="preserve"> </v>
      </c>
      <c r="F32" s="339" t="str">
        <f t="shared" si="0"/>
        <v xml:space="preserve"> </v>
      </c>
      <c r="G32" s="334" t="str">
        <f>IF(AND(ISNUMBER('Laboratorio_M '!G34),ISNUMBER('Courier_M '!G36)),'Laboratorio_M '!G34," ")</f>
        <v xml:space="preserve"> </v>
      </c>
      <c r="H32" s="334" t="str">
        <f>IF(AND(ISNUMBER('Laboratorio_M '!G34),ISNUMBER('Courier_M '!G36)),'Courier_M '!G36," ")</f>
        <v xml:space="preserve"> </v>
      </c>
      <c r="I32" s="334" t="str">
        <f t="shared" si="30"/>
        <v xml:space="preserve"> </v>
      </c>
      <c r="J32" s="339" t="str">
        <f t="shared" si="1"/>
        <v xml:space="preserve"> </v>
      </c>
      <c r="K32" s="334" t="str">
        <f>IF(AND(ISNUMBER('Laboratorio_M '!I34),ISNUMBER('Courier_M.'!I36)),Laboratorio_M!I34," ")</f>
        <v xml:space="preserve"> </v>
      </c>
      <c r="L32" s="334" t="str">
        <f>IF(AND(ISNUMBER('Laboratorio_M '!I34),ISNUMBER('Courier_M.'!I36)),'Courier_M.'!I36," ")</f>
        <v xml:space="preserve"> </v>
      </c>
      <c r="M32" s="334" t="str">
        <f t="shared" si="2"/>
        <v xml:space="preserve"> </v>
      </c>
      <c r="N32" s="339" t="str">
        <f t="shared" si="3"/>
        <v xml:space="preserve"> </v>
      </c>
      <c r="O32" s="334" t="str">
        <f>IF(AND(AND(ISNUMBER('Laboratorio_M '!K34),ISNUMBER('Courier_M.'!K36)),AND('Laboratorio_M '!K34&gt;17,'Courier_M.'!K36&gt;17)),Laboratorio_M!K34," ")</f>
        <v xml:space="preserve"> </v>
      </c>
      <c r="P32" s="334" t="str">
        <f>IF(AND(AND(ISNUMBER('Laboratorio_M '!K34),ISNUMBER('Courier_M.'!K36)),AND(Laboratorio_M!K34&gt;17,'Courier_M.'!K36&gt;17)),'Courier_M.'!K36," ")</f>
        <v xml:space="preserve"> </v>
      </c>
      <c r="Q32" s="334" t="str">
        <f t="shared" si="4"/>
        <v xml:space="preserve"> </v>
      </c>
      <c r="R32" s="339" t="str">
        <f t="shared" si="5"/>
        <v xml:space="preserve"> </v>
      </c>
      <c r="S32" s="334" t="str">
        <f>IF(AND(ISNUMBER(Laboratorio_M!M34),ISNUMBER('Courier_M.'!M36)),Laboratorio_M!M34," ")</f>
        <v xml:space="preserve"> </v>
      </c>
      <c r="T32" s="334" t="str">
        <f>IF(AND(ISNUMBER('Laboratorio_M '!M34),ISNUMBER('Courier_M.'!M36)),'Courier_M.'!M36," ")</f>
        <v xml:space="preserve"> </v>
      </c>
      <c r="U32" s="334" t="str">
        <f t="shared" si="6"/>
        <v xml:space="preserve"> </v>
      </c>
      <c r="V32" s="339" t="str">
        <f t="shared" si="7"/>
        <v xml:space="preserve"> </v>
      </c>
      <c r="W32" s="334" t="str">
        <f>IF(AND(AND(ISNUMBER('Laboratorio_M '!O34),ISNUMBER('Courier_M.'!O36)),AND(Laboratorio_M!O34&gt;20,'Courier_M.'!O36&gt;20)),Laboratorio_M!O34," ")</f>
        <v xml:space="preserve"> </v>
      </c>
      <c r="X32" s="334" t="str">
        <f>IF(AND(AND(ISNUMBER('Laboratorio_M '!O34),ISNUMBER('Courier_M.'!O36)),AND(Laboratorio_M!O34&gt;20,'Courier_M.'!O36&gt;20)),'Courier_M.'!O36," ")</f>
        <v xml:space="preserve"> </v>
      </c>
      <c r="Y32" s="334" t="str">
        <f t="shared" si="8"/>
        <v xml:space="preserve"> </v>
      </c>
      <c r="Z32" s="339" t="str">
        <f t="shared" si="9"/>
        <v xml:space="preserve"> </v>
      </c>
      <c r="AA32" s="334" t="str">
        <f>IF(AND(ISNUMBER('Laboratorio_M '!Q34),ISNUMBER('Courier_M '!Q36)),'Laboratorio_M '!Q34," ")</f>
        <v xml:space="preserve"> </v>
      </c>
      <c r="AB32" s="334" t="str">
        <f>IF(AND(ISNUMBER('Laboratorio_M '!Q34),ISNUMBER('Courier_M '!Q36)),'Courier_M '!Q36," ")</f>
        <v xml:space="preserve"> </v>
      </c>
      <c r="AC32" s="334" t="str">
        <f t="shared" si="10"/>
        <v xml:space="preserve"> </v>
      </c>
      <c r="AD32" s="339" t="str">
        <f t="shared" si="11"/>
        <v xml:space="preserve"> </v>
      </c>
      <c r="AE32" s="334" t="str">
        <f>IF(AND(ISNUMBER('Laboratorio_M '!S34),ISNUMBER('Courier_M '!S36)),'Laboratorio_M '!S34," ")</f>
        <v xml:space="preserve"> </v>
      </c>
      <c r="AF32" s="334" t="str">
        <f>IF(AND(ISNUMBER('Laboratorio_M '!S34),ISNUMBER('Courier_M '!S36)),'Courier_M '!S36," ")</f>
        <v xml:space="preserve"> </v>
      </c>
      <c r="AG32" s="334" t="str">
        <f t="shared" si="31"/>
        <v xml:space="preserve"> </v>
      </c>
      <c r="AH32" s="339" t="str">
        <f t="shared" si="12"/>
        <v xml:space="preserve"> </v>
      </c>
      <c r="AI32" s="334" t="str">
        <f>IF(AND(ISNUMBER('Laboratorio_M '!U34),ISNUMBER('Courier_M '!U36)),'Laboratorio_M '!U34," ")</f>
        <v xml:space="preserve"> </v>
      </c>
      <c r="AJ32" s="334" t="str">
        <f>IF(AND(ISNUMBER('Laboratorio_M '!U34),ISNUMBER('Courier_M '!U36)),'Courier_M '!U36," ")</f>
        <v xml:space="preserve"> </v>
      </c>
      <c r="AK32" s="334" t="str">
        <f t="shared" si="13"/>
        <v xml:space="preserve"> </v>
      </c>
      <c r="AL32" s="339" t="str">
        <f t="shared" si="14"/>
        <v xml:space="preserve"> </v>
      </c>
      <c r="AM32" s="334"/>
      <c r="AN32" s="334"/>
      <c r="AO32" s="338">
        <f>IF(AND(ISNUMBER('Laboratorio_M '!F34),ISNUMBER('Courier_M.'!F36)),Laboratorio_M!F34," ")</f>
        <v>26.792999999999999</v>
      </c>
      <c r="AP32" s="334">
        <f>IF(AND(ISNUMBER('Laboratorio_M '!F34),ISNUMBER('Courier_M.'!F36)),'Courier_M.'!F36," ")</f>
        <v>27.067319869995117</v>
      </c>
      <c r="AQ32" s="334">
        <f t="shared" si="15"/>
        <v>-0.27431986999511793</v>
      </c>
      <c r="AR32" s="339">
        <f t="shared" si="16"/>
        <v>1.0238490277129024</v>
      </c>
      <c r="AS32" s="334">
        <f>IF(AND(ISNUMBER('Laboratorio_M '!H34),ISNUMBER('Courier_M.'!H36)),Laboratorio_M!H34," ")</f>
        <v>2.8439999999999999</v>
      </c>
      <c r="AT32" s="334">
        <f>IF(AND(ISNUMBER('Laboratorio_M '!H34),ISNUMBER('Courier_M.'!H36)),'Courier_M.'!H36," ")</f>
        <v>2.6947493553161621</v>
      </c>
      <c r="AU32" s="334">
        <f t="shared" si="32"/>
        <v>0.14925064468383775</v>
      </c>
      <c r="AV32" s="339">
        <f t="shared" si="17"/>
        <v>5.2479129635667281</v>
      </c>
      <c r="AW32" s="334">
        <f>IF(AND(ISNUMBER('Laboratorio_M '!J34),ISNUMBER('Courier_M.'!J36)),Laboratorio_M!J34," ")</f>
        <v>28.76</v>
      </c>
      <c r="AX32" s="334">
        <f>IF(AND(ISNUMBER('Laboratorio_M '!J34),ISNUMBER('Courier_M.'!J36)),'Courier_M.'!J36," ")</f>
        <v>29.328254699707031</v>
      </c>
      <c r="AY32" s="334">
        <f t="shared" si="18"/>
        <v>-0.56825469970702969</v>
      </c>
      <c r="AZ32" s="339">
        <f t="shared" si="19"/>
        <v>1.9758508334736775</v>
      </c>
      <c r="BA32" s="334">
        <f>IF(AND(ISNUMBER('Laboratorio_M '!L34),ISNUMBER('Courier_M.'!L36)),Laboratorio_M!L34," ")</f>
        <v>27.766999999999999</v>
      </c>
      <c r="BB32" s="334">
        <f>IF(AND(ISNUMBER('Laboratorio_M '!L34),ISNUMBER('Courier_M '!L36)),'Courier_M '!L36," ")</f>
        <v>27.795993804931641</v>
      </c>
      <c r="BC32" s="334">
        <f t="shared" si="20"/>
        <v>-2.8993804931641165E-2</v>
      </c>
      <c r="BD32" s="339">
        <f t="shared" si="21"/>
        <v>0.10441821202017201</v>
      </c>
      <c r="BE32" s="334">
        <f>IF(AND(ISNUMBER('Laboratorio_M '!N34),ISNUMBER('Courier_M.'!N36)),Laboratorio_M!N34," ")</f>
        <v>0.14499999999999999</v>
      </c>
      <c r="BF32" s="334">
        <f>IF(AND(ISNUMBER('Laboratorio_M '!N34),ISNUMBER('Courier_M.'!N36)),'Courier_M.'!N36," ")</f>
        <v>0.38959759473800659</v>
      </c>
      <c r="BG32" s="334">
        <f t="shared" si="22"/>
        <v>-0.2445975947380066</v>
      </c>
      <c r="BH32" s="339">
        <f t="shared" si="23"/>
        <v>168.68799637103905</v>
      </c>
      <c r="BI32" s="337">
        <f>IF(AND(ISNUMBER('Laboratorio_M '!P34),ISNUMBER('Courier_M.'!P36)),Laboratorio_M!P34," ")</f>
        <v>30.48</v>
      </c>
      <c r="BJ32" s="334">
        <f>IF(AND(ISNUMBER('Laboratorio_M '!P34),ISNUMBER('Courier_M '!P36)),'Courier_M '!P36," ")</f>
        <v>29.862392425537109</v>
      </c>
      <c r="BK32" s="334">
        <f t="shared" si="24"/>
        <v>0.61760757446289105</v>
      </c>
      <c r="BL32" s="339">
        <f t="shared" si="25"/>
        <v>2.0262715697601412</v>
      </c>
      <c r="BM32" s="334">
        <f>IF(AND(ISNUMBER('Laboratorio_M '!R34),ISNUMBER('Courier_M '!R36)),'Laboratorio_M '!R34," ")</f>
        <v>0.76900000000000002</v>
      </c>
      <c r="BN32" s="334">
        <f>IF(AND(ISNUMBER('Laboratorio_M '!R34),ISNUMBER('Courier_M '!R36)),'Courier_M '!R36," ")</f>
        <v>0.69720637798309326</v>
      </c>
      <c r="BO32" s="334">
        <f t="shared" si="33"/>
        <v>7.1793622016906755E-2</v>
      </c>
      <c r="BP32" s="339">
        <f t="shared" si="26"/>
        <v>9.3359716536939867</v>
      </c>
      <c r="BQ32" s="334">
        <f>IF(AND(ISNUMBER('Laboratorio_M '!T34),ISNUMBER('Courier_M '!T36)),'Laboratorio_M '!T34," ")</f>
        <v>55.16</v>
      </c>
      <c r="BR32" s="334">
        <f>IF(AND(ISNUMBER('Laboratorio_M '!T34),ISNUMBER('Courier_M '!T36)),'Courier_M '!T36," ")</f>
        <v>56.350315093994141</v>
      </c>
      <c r="BS32" s="334">
        <f t="shared" si="34"/>
        <v>-1.190315093994144</v>
      </c>
      <c r="BT32" s="339">
        <f t="shared" si="35"/>
        <v>2.1579316424839448</v>
      </c>
      <c r="BU32" s="334">
        <f>IF(AND(ISNUMBER('Laboratorio_M '!V34),ISNUMBER('Courier_M '!V36)),'Laboratorio_M '!V34," ")</f>
        <v>1.7390000000000001</v>
      </c>
      <c r="BV32" s="334">
        <f>IF(AND(ISNUMBER('Laboratorio_M '!V34),ISNUMBER('Courier_M '!V36)),'Courier_M '!V36," ")</f>
        <v>0.97702711820602417</v>
      </c>
      <c r="BW32" s="334">
        <f t="shared" si="27"/>
        <v>0.76197288179397593</v>
      </c>
      <c r="BX32" s="339">
        <f t="shared" si="28"/>
        <v>43.816726957675442</v>
      </c>
    </row>
    <row r="33" spans="1:76" x14ac:dyDescent="0.2">
      <c r="C33" s="338">
        <f>IF(AND(ISNUMBER('Laboratorio_M '!E35),ISNUMBER('Courier_M '!E37)),'Laboratorio_M '!E35," ")</f>
        <v>26.146000000000001</v>
      </c>
      <c r="D33" s="334">
        <f>IF(AND(ISNUMBER('Laboratorio_M '!E35),ISNUMBER('Courier_M '!E37)),'Courier_M '!E37," ")</f>
        <v>26.633718490600586</v>
      </c>
      <c r="E33" s="334">
        <f t="shared" si="29"/>
        <v>-0.48771849060058514</v>
      </c>
      <c r="F33" s="339">
        <f t="shared" si="0"/>
        <v>1.8653656031537715</v>
      </c>
      <c r="G33" s="334">
        <f>IF(AND(ISNUMBER('Laboratorio_M '!G35),ISNUMBER('Courier_M '!G37)),'Laboratorio_M '!G35," ")</f>
        <v>2.3490000000000002</v>
      </c>
      <c r="H33" s="334">
        <f>IF(AND(ISNUMBER('Laboratorio_M '!G35),ISNUMBER('Courier_M '!G37)),'Courier_M '!G37," ")</f>
        <v>2.728614330291748</v>
      </c>
      <c r="I33" s="334">
        <f t="shared" si="30"/>
        <v>-0.37961433029174785</v>
      </c>
      <c r="J33" s="339">
        <f t="shared" si="1"/>
        <v>16.160678173339626</v>
      </c>
      <c r="K33" s="334">
        <f>IF(AND(ISNUMBER('Laboratorio_M '!I35),ISNUMBER('Courier_M.'!I37)),Laboratorio_M!I35," ")</f>
        <v>28.79</v>
      </c>
      <c r="L33" s="334">
        <f>IF(AND(ISNUMBER('Laboratorio_M '!I35),ISNUMBER('Courier_M.'!I37)),'Courier_M.'!I37," ")</f>
        <v>29.400962829589844</v>
      </c>
      <c r="M33" s="334">
        <f t="shared" si="2"/>
        <v>-0.6109628295898446</v>
      </c>
      <c r="N33" s="339">
        <f t="shared" si="3"/>
        <v>2.1221355664808774</v>
      </c>
      <c r="O33" s="334">
        <f>IF(AND(AND(ISNUMBER('Laboratorio_M '!K35),ISNUMBER('Courier_M.'!K37)),AND('Laboratorio_M '!K35&gt;17,'Courier_M.'!K37&gt;17)),Laboratorio_M!K35," ")</f>
        <v>26.471</v>
      </c>
      <c r="P33" s="334">
        <f>IF(AND(AND(ISNUMBER('Laboratorio_M '!K35),ISNUMBER('Courier_M.'!K37)),AND(Laboratorio_M!K35&gt;17,'Courier_M.'!K37&gt;17)),'Courier_M.'!K37," ")</f>
        <v>26.973537445068359</v>
      </c>
      <c r="Q33" s="334">
        <f t="shared" si="4"/>
        <v>-0.50253744506835929</v>
      </c>
      <c r="R33" s="339">
        <f t="shared" si="5"/>
        <v>1.89844526110974</v>
      </c>
      <c r="S33" s="334">
        <f>IF(AND(ISNUMBER(Laboratorio_M!M35),ISNUMBER('Courier_M.'!M37)),Laboratorio_M!M35," ")</f>
        <v>0.13700000000000001</v>
      </c>
      <c r="T33" s="334">
        <f>IF(AND(ISNUMBER('Laboratorio_M '!M35),ISNUMBER('Courier_M.'!M37)),'Courier_M.'!M37," ")</f>
        <v>0.30744925141334534</v>
      </c>
      <c r="U33" s="334">
        <f t="shared" si="6"/>
        <v>-0.17044925141334533</v>
      </c>
      <c r="V33" s="339">
        <f t="shared" si="7"/>
        <v>124.41551198054401</v>
      </c>
      <c r="W33" s="334">
        <f>IF(AND(AND(ISNUMBER('Laboratorio_M '!O35),ISNUMBER('Courier_M.'!O37)),AND(Laboratorio_M!O35&gt;20,'Courier_M.'!O37&gt;20)),Laboratorio_M!O35," ")</f>
        <v>29.78</v>
      </c>
      <c r="X33" s="334">
        <f>IF(AND(AND(ISNUMBER('Laboratorio_M '!O35),ISNUMBER('Courier_M.'!O37)),AND(Laboratorio_M!O35&gt;20,'Courier_M.'!O37&gt;20)),'Courier_M.'!O37," ")</f>
        <v>29.247730255126953</v>
      </c>
      <c r="Y33" s="334">
        <f t="shared" si="8"/>
        <v>0.53226974487304801</v>
      </c>
      <c r="Z33" s="339">
        <f t="shared" si="9"/>
        <v>1.7873396402721557</v>
      </c>
      <c r="AA33" s="334">
        <f>IF(AND(ISNUMBER('Laboratorio_M '!Q35),ISNUMBER('Courier_M '!Q37)),'Laboratorio_M '!Q35," ")</f>
        <v>0.59899999999999998</v>
      </c>
      <c r="AB33" s="334">
        <f>IF(AND(ISNUMBER('Laboratorio_M '!Q35),ISNUMBER('Courier_M '!Q37)),'Courier_M '!Q37," ")</f>
        <v>0.85412490367889404</v>
      </c>
      <c r="AC33" s="334">
        <f t="shared" si="10"/>
        <v>-0.25512490367889407</v>
      </c>
      <c r="AD33" s="339">
        <f t="shared" si="11"/>
        <v>42.591803619180979</v>
      </c>
      <c r="AE33" s="334">
        <f>IF(AND(ISNUMBER('Laboratorio_M '!S35),ISNUMBER('Courier_M '!S37)),'Laboratorio_M '!S35," ")</f>
        <v>56.704999999999998</v>
      </c>
      <c r="AF33" s="334">
        <f>IF(AND(ISNUMBER('Laboratorio_M '!S35),ISNUMBER('Courier_M '!S37)),'Courier_M '!S37," ")</f>
        <v>56.157756805419922</v>
      </c>
      <c r="AG33" s="334">
        <f t="shared" si="31"/>
        <v>0.54724319458007642</v>
      </c>
      <c r="AH33" s="339">
        <f t="shared" si="12"/>
        <v>0.96507044278295817</v>
      </c>
      <c r="AI33" s="334">
        <f>IF(AND(ISNUMBER('Laboratorio_M '!U35),ISNUMBER('Courier_M '!U37)),'Laboratorio_M '!U35," ")</f>
        <v>0.79200000000000004</v>
      </c>
      <c r="AJ33" s="334">
        <f>IF(AND(ISNUMBER('Laboratorio_M '!U35),ISNUMBER('Courier_M '!U37)),'Courier_M '!U37," ")</f>
        <v>1.064218282699585</v>
      </c>
      <c r="AK33" s="334">
        <f t="shared" si="13"/>
        <v>-0.27221828269958492</v>
      </c>
      <c r="AL33" s="339">
        <f t="shared" si="14"/>
        <v>34.37099529035163</v>
      </c>
      <c r="AM33" s="334"/>
      <c r="AN33" s="334"/>
      <c r="AO33" s="338">
        <f>IF(AND(ISNUMBER('Laboratorio_M '!F35),ISNUMBER('Courier_M.'!F37)),Laboratorio_M!F35," ")</f>
        <v>25.469000000000001</v>
      </c>
      <c r="AP33" s="334">
        <f>IF(AND(ISNUMBER('Laboratorio_M '!F35),ISNUMBER('Courier_M.'!F37)),'Courier_M.'!F37," ")</f>
        <v>25.186441421508789</v>
      </c>
      <c r="AQ33" s="334">
        <f t="shared" si="15"/>
        <v>0.28255857849121213</v>
      </c>
      <c r="AR33" s="339">
        <f t="shared" si="16"/>
        <v>1.1094215653979822</v>
      </c>
      <c r="AS33" s="334">
        <f>IF(AND(ISNUMBER('Laboratorio_M '!H35),ISNUMBER('Courier_M.'!H37)),Laboratorio_M!H35," ")</f>
        <v>2.7330000000000001</v>
      </c>
      <c r="AT33" s="334">
        <f>IF(AND(ISNUMBER('Laboratorio_M '!H35),ISNUMBER('Courier_M.'!H37)),'Courier_M.'!H37," ")</f>
        <v>2.8998367786407471</v>
      </c>
      <c r="AU33" s="334">
        <f t="shared" si="32"/>
        <v>-0.16683677864074697</v>
      </c>
      <c r="AV33" s="339">
        <f t="shared" si="17"/>
        <v>6.1045290391784475</v>
      </c>
      <c r="AW33" s="334">
        <f>IF(AND(ISNUMBER('Laboratorio_M '!J35),ISNUMBER('Courier_M.'!J37)),Laboratorio_M!J35," ")</f>
        <v>28.09</v>
      </c>
      <c r="AX33" s="334">
        <f>IF(AND(ISNUMBER('Laboratorio_M '!J35),ISNUMBER('Courier_M.'!J37)),'Courier_M.'!J37," ")</f>
        <v>28.211462020874023</v>
      </c>
      <c r="AY33" s="334">
        <f t="shared" si="18"/>
        <v>-0.12146202087402358</v>
      </c>
      <c r="AZ33" s="339">
        <f t="shared" si="19"/>
        <v>0.43240306469926515</v>
      </c>
      <c r="BA33" s="334">
        <f>IF(AND(ISNUMBER('Laboratorio_M '!L35),ISNUMBER('Courier_M.'!L37)),Laboratorio_M!L35," ")</f>
        <v>26.268000000000001</v>
      </c>
      <c r="BB33" s="334">
        <f>IF(AND(ISNUMBER('Laboratorio_M '!L35),ISNUMBER('Courier_M '!L37)),'Courier_M '!L37," ")</f>
        <v>26.553373336791992</v>
      </c>
      <c r="BC33" s="334">
        <f t="shared" si="20"/>
        <v>-0.28537333679199151</v>
      </c>
      <c r="BD33" s="339">
        <f t="shared" si="21"/>
        <v>1.086391566895049</v>
      </c>
      <c r="BE33" s="334">
        <f>IF(AND(ISNUMBER('Laboratorio_M '!N35),ISNUMBER('Courier_M.'!N37)),Laboratorio_M!N35," ")</f>
        <v>8.5999999999999993E-2</v>
      </c>
      <c r="BF33" s="334">
        <f>IF(AND(ISNUMBER('Laboratorio_M '!N35),ISNUMBER('Courier_M.'!N37)),'Courier_M.'!N37," ")</f>
        <v>0.10706456750631332</v>
      </c>
      <c r="BG33" s="334">
        <f t="shared" si="22"/>
        <v>-2.1064567506313331E-2</v>
      </c>
      <c r="BH33" s="339">
        <f t="shared" si="23"/>
        <v>24.49368314687597</v>
      </c>
      <c r="BI33" s="337">
        <f>IF(AND(ISNUMBER('Laboratorio_M '!P35),ISNUMBER('Courier_M.'!P37)),Laboratorio_M!P35," ")</f>
        <v>29.04</v>
      </c>
      <c r="BJ33" s="334">
        <f>IF(AND(ISNUMBER('Laboratorio_M '!P35),ISNUMBER('Courier_M '!P37)),'Courier_M '!P37," ")</f>
        <v>28.81382942199707</v>
      </c>
      <c r="BK33" s="334">
        <f t="shared" si="24"/>
        <v>0.22617057800292883</v>
      </c>
      <c r="BL33" s="339">
        <f t="shared" si="25"/>
        <v>0.77882430441779904</v>
      </c>
      <c r="BM33" s="334">
        <f>IF(AND(ISNUMBER('Laboratorio_M '!R35),ISNUMBER('Courier_M '!R37)),'Laboratorio_M '!R35," ")</f>
        <v>0.58699999999999997</v>
      </c>
      <c r="BN33" s="334">
        <f>IF(AND(ISNUMBER('Laboratorio_M '!R35),ISNUMBER('Courier_M '!R37)),'Courier_M '!R37," ")</f>
        <v>0.73607480525970459</v>
      </c>
      <c r="BO33" s="334">
        <f t="shared" si="33"/>
        <v>-0.14907480525970462</v>
      </c>
      <c r="BP33" s="339">
        <f t="shared" si="26"/>
        <v>25.396048596201808</v>
      </c>
      <c r="BQ33" s="334">
        <f>IF(AND(ISNUMBER('Laboratorio_M '!T35),ISNUMBER('Courier_M '!T37)),'Laboratorio_M '!T35," ")</f>
        <v>56.673000000000002</v>
      </c>
      <c r="BR33" s="334">
        <f>IF(AND(ISNUMBER('Laboratorio_M '!T35),ISNUMBER('Courier_M '!T37)),'Courier_M '!T37," ")</f>
        <v>55.626434326171875</v>
      </c>
      <c r="BS33" s="334">
        <f t="shared" si="34"/>
        <v>1.0465656738281268</v>
      </c>
      <c r="BT33" s="339">
        <f t="shared" si="35"/>
        <v>1.8466742078734615</v>
      </c>
      <c r="BU33" s="334">
        <f>IF(AND(ISNUMBER('Laboratorio_M '!V35),ISNUMBER('Courier_M '!V37)),'Laboratorio_M '!V35," ")</f>
        <v>0.66100000000000003</v>
      </c>
      <c r="BV33" s="334">
        <f>IF(AND(ISNUMBER('Laboratorio_M '!V35),ISNUMBER('Courier_M '!V37)),'Courier_M '!V37," ")</f>
        <v>1.0956374406814575</v>
      </c>
      <c r="BW33" s="334">
        <f t="shared" si="27"/>
        <v>-0.43463744068145749</v>
      </c>
      <c r="BX33" s="339">
        <f t="shared" si="28"/>
        <v>65.754529603851353</v>
      </c>
    </row>
    <row r="34" spans="1:76" x14ac:dyDescent="0.2">
      <c r="C34" s="338">
        <f>IF(AND(ISNUMBER('Laboratorio_M '!E36),ISNUMBER('Courier_M '!E38)),'Laboratorio_M '!E36," ")</f>
        <v>26.094000000000001</v>
      </c>
      <c r="D34" s="334">
        <f>IF(AND(ISNUMBER('Laboratorio_M '!E36),ISNUMBER('Courier_M '!E38)),'Courier_M '!E38," ")</f>
        <v>25.249885559082031</v>
      </c>
      <c r="E34" s="334">
        <f t="shared" si="29"/>
        <v>0.84411444091796994</v>
      </c>
      <c r="F34" s="339">
        <f t="shared" si="0"/>
        <v>3.2348986008966429</v>
      </c>
      <c r="G34" s="334">
        <f>IF(AND(ISNUMBER('Laboratorio_M '!G36),ISNUMBER('Courier_M '!G38)),'Laboratorio_M '!G36," ")</f>
        <v>3.5649999999999999</v>
      </c>
      <c r="H34" s="334">
        <f>IF(AND(ISNUMBER('Laboratorio_M '!G36),ISNUMBER('Courier_M '!G38)),'Courier_M '!G38," ")</f>
        <v>2.8712384700775146</v>
      </c>
      <c r="I34" s="334">
        <f t="shared" si="30"/>
        <v>0.6937615299224853</v>
      </c>
      <c r="J34" s="339">
        <f t="shared" si="1"/>
        <v>19.460351470476446</v>
      </c>
      <c r="K34" s="334">
        <f>IF(AND(ISNUMBER('Laboratorio_M '!I36),ISNUMBER('Courier_M.'!I38)),Laboratorio_M!I36," ")</f>
        <v>28.82</v>
      </c>
      <c r="L34" s="334">
        <f>IF(AND(ISNUMBER('Laboratorio_M '!I36),ISNUMBER('Courier_M.'!I38)),'Courier_M.'!I38," ")</f>
        <v>28.095998764038086</v>
      </c>
      <c r="M34" s="334">
        <f t="shared" si="2"/>
        <v>0.72400123596191435</v>
      </c>
      <c r="N34" s="339">
        <f t="shared" si="3"/>
        <v>2.512148632761674</v>
      </c>
      <c r="O34" s="334">
        <f>IF(AND(AND(ISNUMBER('Laboratorio_M '!K36),ISNUMBER('Courier_M.'!K38)),AND('Laboratorio_M '!K36&gt;17,'Courier_M.'!K38&gt;17)),Laboratorio_M!K36," ")</f>
        <v>25.547000000000001</v>
      </c>
      <c r="P34" s="334">
        <f>IF(AND(AND(ISNUMBER('Laboratorio_M '!K36),ISNUMBER('Courier_M.'!K38)),AND(Laboratorio_M!K36&gt;17,'Courier_M.'!K38&gt;17)),'Courier_M.'!K38," ")</f>
        <v>27.450481414794922</v>
      </c>
      <c r="Q34" s="334">
        <f t="shared" si="4"/>
        <v>-1.9034814147949213</v>
      </c>
      <c r="R34" s="339">
        <f t="shared" si="5"/>
        <v>7.4508999678824166</v>
      </c>
      <c r="S34" s="334">
        <f>IF(AND(ISNUMBER(Laboratorio_M!M36),ISNUMBER('Courier_M.'!M38)),Laboratorio_M!M36," ")</f>
        <v>9.2999999999999999E-2</v>
      </c>
      <c r="T34" s="334">
        <f>IF(AND(ISNUMBER('Laboratorio_M '!M36),ISNUMBER('Courier_M.'!M38)),'Courier_M.'!M38," ")</f>
        <v>0.10866567492485046</v>
      </c>
      <c r="U34" s="334">
        <f t="shared" si="6"/>
        <v>-1.5665674924850465E-2</v>
      </c>
      <c r="V34" s="339">
        <f t="shared" si="7"/>
        <v>16.844811747151038</v>
      </c>
      <c r="W34" s="334">
        <f>IF(AND(AND(ISNUMBER('Laboratorio_M '!O36),ISNUMBER('Courier_M.'!O38)),AND(Laboratorio_M!O36&gt;20,'Courier_M.'!O38&gt;20)),Laboratorio_M!O36," ")</f>
        <v>30.04</v>
      </c>
      <c r="X34" s="334">
        <f>IF(AND(AND(ISNUMBER('Laboratorio_M '!O36),ISNUMBER('Courier_M.'!O38)),AND(Laboratorio_M!O36&gt;20,'Courier_M.'!O38&gt;20)),'Courier_M.'!O38," ")</f>
        <v>29.284639358520508</v>
      </c>
      <c r="Y34" s="334">
        <f t="shared" si="8"/>
        <v>0.75536064147949133</v>
      </c>
      <c r="Z34" s="339">
        <f t="shared" si="9"/>
        <v>2.5145161167759364</v>
      </c>
      <c r="AA34" s="334">
        <f>IF(AND(ISNUMBER('Laboratorio_M '!Q36),ISNUMBER('Courier_M '!Q38)),'Laboratorio_M '!Q36," ")</f>
        <v>0.58699999999999997</v>
      </c>
      <c r="AB34" s="334">
        <f>IF(AND(ISNUMBER('Laboratorio_M '!Q36),ISNUMBER('Courier_M '!Q38)),'Courier_M '!Q38," ")</f>
        <v>0.73820120096206665</v>
      </c>
      <c r="AC34" s="334">
        <f t="shared" si="10"/>
        <v>-0.15120120096206668</v>
      </c>
      <c r="AD34" s="339">
        <f t="shared" si="11"/>
        <v>25.758296586382741</v>
      </c>
      <c r="AE34" s="334">
        <f>IF(AND(ISNUMBER('Laboratorio_M '!S36),ISNUMBER('Courier_M '!S38)),'Laboratorio_M '!S36," ")</f>
        <v>57.347999999999999</v>
      </c>
      <c r="AF34" s="334">
        <f>IF(AND(ISNUMBER('Laboratorio_M '!S36),ISNUMBER('Courier_M '!S38)),'Courier_M '!S38," ")</f>
        <v>55.859203338623047</v>
      </c>
      <c r="AG34" s="334">
        <f t="shared" si="31"/>
        <v>1.4887966613769521</v>
      </c>
      <c r="AH34" s="339">
        <f t="shared" si="12"/>
        <v>2.5960742508491177</v>
      </c>
      <c r="AI34" s="334">
        <f>IF(AND(ISNUMBER('Laboratorio_M '!U36),ISNUMBER('Courier_M '!U38)),'Laboratorio_M '!U36," ")</f>
        <v>0.66300000000000003</v>
      </c>
      <c r="AJ34" s="334">
        <f>IF(AND(ISNUMBER('Laboratorio_M '!U36),ISNUMBER('Courier_M '!U38)),'Courier_M '!U38," ")</f>
        <v>1.1127415895462036</v>
      </c>
      <c r="AK34" s="334">
        <f t="shared" si="13"/>
        <v>-0.44974158954620358</v>
      </c>
      <c r="AL34" s="339">
        <f t="shared" si="14"/>
        <v>67.834327231704904</v>
      </c>
      <c r="AM34" s="334"/>
      <c r="AN34" s="334"/>
      <c r="AO34" s="338">
        <f>IF(AND(ISNUMBER('Laboratorio_M '!F36),ISNUMBER('Courier_M.'!F38)),Laboratorio_M!F36," ")</f>
        <v>23.669</v>
      </c>
      <c r="AP34" s="334">
        <f>IF(AND(ISNUMBER('Laboratorio_M '!F36),ISNUMBER('Courier_M.'!F38)),'Courier_M.'!F38," ")</f>
        <v>24.969537734985352</v>
      </c>
      <c r="AQ34" s="334">
        <f t="shared" si="15"/>
        <v>-1.3005377349853511</v>
      </c>
      <c r="AR34" s="339">
        <f t="shared" si="16"/>
        <v>5.494688136319029</v>
      </c>
      <c r="AS34" s="334">
        <f>IF(AND(ISNUMBER('Laboratorio_M '!H36),ISNUMBER('Courier_M.'!H38)),Laboratorio_M!H36," ")</f>
        <v>2.339</v>
      </c>
      <c r="AT34" s="334">
        <f>IF(AND(ISNUMBER('Laboratorio_M '!H36),ISNUMBER('Courier_M.'!H38)),'Courier_M.'!H38," ")</f>
        <v>2.7573964595794678</v>
      </c>
      <c r="AU34" s="334">
        <f t="shared" si="32"/>
        <v>-0.41839645957946781</v>
      </c>
      <c r="AV34" s="339">
        <f t="shared" si="17"/>
        <v>17.887834954231202</v>
      </c>
      <c r="AW34" s="334">
        <f>IF(AND(ISNUMBER('Laboratorio_M '!J36),ISNUMBER('Courier_M.'!J38)),Laboratorio_M!J36," ")</f>
        <v>29.09</v>
      </c>
      <c r="AX34" s="334">
        <f>IF(AND(ISNUMBER('Laboratorio_M '!J36),ISNUMBER('Courier_M.'!J38)),'Courier_M.'!J38," ")</f>
        <v>28.106027603149414</v>
      </c>
      <c r="AY34" s="334">
        <f t="shared" si="18"/>
        <v>0.9839723968505858</v>
      </c>
      <c r="AZ34" s="339">
        <f t="shared" si="19"/>
        <v>3.3825108176369398</v>
      </c>
      <c r="BA34" s="334">
        <f>IF(AND(ISNUMBER('Laboratorio_M '!L36),ISNUMBER('Courier_M.'!L38)),Laboratorio_M!L36," ")</f>
        <v>25.821000000000002</v>
      </c>
      <c r="BB34" s="334">
        <f>IF(AND(ISNUMBER('Laboratorio_M '!L36),ISNUMBER('Courier_M '!L38)),'Courier_M '!L38," ")</f>
        <v>26.031570434570313</v>
      </c>
      <c r="BC34" s="334">
        <f t="shared" si="20"/>
        <v>-0.21057043457031099</v>
      </c>
      <c r="BD34" s="339">
        <f t="shared" si="21"/>
        <v>0.81550069544289916</v>
      </c>
      <c r="BE34" s="334">
        <f>IF(AND(ISNUMBER('Laboratorio_M '!N36),ISNUMBER('Courier_M.'!N38)),Laboratorio_M!N36," ")</f>
        <v>0.108</v>
      </c>
      <c r="BF34" s="334">
        <f>IF(AND(ISNUMBER('Laboratorio_M '!N36),ISNUMBER('Courier_M.'!N38)),'Courier_M.'!N38," ")</f>
        <v>0.17398174107074738</v>
      </c>
      <c r="BG34" s="334">
        <f t="shared" si="22"/>
        <v>-6.5981741070747377E-2</v>
      </c>
      <c r="BH34" s="339">
        <f t="shared" si="23"/>
        <v>61.094204695136455</v>
      </c>
      <c r="BI34" s="337">
        <f>IF(AND(ISNUMBER('Laboratorio_M '!P36),ISNUMBER('Courier_M.'!P38)),Laboratorio_M!P36," ")</f>
        <v>29.63</v>
      </c>
      <c r="BJ34" s="334">
        <f>IF(AND(ISNUMBER('Laboratorio_M '!P36),ISNUMBER('Courier_M '!P38)),'Courier_M '!P38," ")</f>
        <v>28.868711471557617</v>
      </c>
      <c r="BK34" s="334">
        <f t="shared" si="24"/>
        <v>0.76128852844238182</v>
      </c>
      <c r="BL34" s="339">
        <f t="shared" si="25"/>
        <v>2.5693166670347005</v>
      </c>
      <c r="BM34" s="334">
        <f>IF(AND(ISNUMBER('Laboratorio_M '!R36),ISNUMBER('Courier_M '!R38)),'Laboratorio_M '!R36," ")</f>
        <v>0.628</v>
      </c>
      <c r="BN34" s="334">
        <f>IF(AND(ISNUMBER('Laboratorio_M '!R36),ISNUMBER('Courier_M '!R38)),'Courier_M '!R38," ")</f>
        <v>0.7685895562171936</v>
      </c>
      <c r="BO34" s="334">
        <f t="shared" si="33"/>
        <v>-0.1405895562171936</v>
      </c>
      <c r="BP34" s="339">
        <f t="shared" si="26"/>
        <v>22.386872009107261</v>
      </c>
      <c r="BQ34" s="334">
        <f>IF(AND(ISNUMBER('Laboratorio_M '!T36),ISNUMBER('Courier_M '!T38)),'Laboratorio_M '!T36," ")</f>
        <v>56.975000000000001</v>
      </c>
      <c r="BR34" s="334">
        <f>IF(AND(ISNUMBER('Laboratorio_M '!T36),ISNUMBER('Courier_M '!T38)),'Courier_M '!T38," ")</f>
        <v>56.089130401611328</v>
      </c>
      <c r="BS34" s="334">
        <f t="shared" si="34"/>
        <v>0.8858695983886733</v>
      </c>
      <c r="BT34" s="339">
        <f t="shared" si="35"/>
        <v>1.5548391371455432</v>
      </c>
      <c r="BU34" s="334">
        <f>IF(AND(ISNUMBER('Laboratorio_M '!V36),ISNUMBER('Courier_M '!V38)),'Laboratorio_M '!V36," ")</f>
        <v>0.77500000000000002</v>
      </c>
      <c r="BV34" s="334">
        <f>IF(AND(ISNUMBER('Laboratorio_M '!V36),ISNUMBER('Courier_M '!V38)),'Courier_M '!V38," ")</f>
        <v>1.0138088464736938</v>
      </c>
      <c r="BW34" s="334">
        <f t="shared" si="27"/>
        <v>-0.23880884647369383</v>
      </c>
      <c r="BX34" s="339">
        <f t="shared" si="28"/>
        <v>30.814044706283074</v>
      </c>
    </row>
    <row r="35" spans="1:76" x14ac:dyDescent="0.2">
      <c r="C35" s="340">
        <f>IF(AND(ISNUMBER('Laboratorio_M '!E37),ISNUMBER('Courier_M '!E39)),'Laboratorio_M '!E37," ")</f>
        <v>23.776</v>
      </c>
      <c r="D35" s="341">
        <f>IF(AND(ISNUMBER('Laboratorio_M '!E37),ISNUMBER('Courier_M '!E39)),'Courier_M '!E39," ")</f>
        <v>23.400463104248047</v>
      </c>
      <c r="E35" s="341">
        <f t="shared" si="29"/>
        <v>0.37553689575195293</v>
      </c>
      <c r="F35" s="341"/>
      <c r="G35" s="341">
        <f>IF(AND(ISNUMBER('Laboratorio_M '!G37),ISNUMBER('Courier_M '!G39)),'Laboratorio_M '!G37," ")</f>
        <v>1.7549999999999999</v>
      </c>
      <c r="H35" s="341">
        <f>IF(AND(ISNUMBER('Laboratorio_M '!G37),ISNUMBER('Courier_M '!G39)),'Courier_M '!G39," ")</f>
        <v>1.8072060346603394</v>
      </c>
      <c r="I35" s="341"/>
      <c r="J35" s="341"/>
      <c r="K35" s="341">
        <f>IF(AND(ISNUMBER('Laboratorio_M '!I37),ISNUMBER('Courier_M.'!I39)),Laboratorio_M!I37," ")</f>
        <v>30.1</v>
      </c>
      <c r="L35" s="341">
        <f>IF(AND(ISNUMBER('Laboratorio_M '!I37),ISNUMBER('Courier_M.'!I39)),'Courier_M.'!I39," ")</f>
        <v>27.310827255249023</v>
      </c>
      <c r="M35" s="341"/>
      <c r="N35" s="341"/>
      <c r="O35" s="341">
        <f>IF(AND(AND(ISNUMBER('Laboratorio_M '!K37),ISNUMBER('Courier_M.'!K39)),AND('Laboratorio_M '!K37&gt;17,'Courier_M.'!K39&gt;17)),Laboratorio_M!K37," ")</f>
        <v>25.271000000000001</v>
      </c>
      <c r="P35" s="341">
        <f>IF(AND(AND(ISNUMBER('Laboratorio_M '!K37),ISNUMBER('Courier_M.'!K39)),AND(Laboratorio_M!K37&gt;17,'Courier_M.'!K39&gt;17)),'Courier_M.'!K39," ")</f>
        <v>24.849987030029297</v>
      </c>
      <c r="Q35" s="341"/>
      <c r="R35" s="341"/>
      <c r="S35" s="341">
        <f>IF(AND(ISNUMBER(Laboratorio_M!M37),ISNUMBER('Courier_M.'!M39)),Laboratorio_M!M37," ")</f>
        <v>7.1999999999999995E-2</v>
      </c>
      <c r="T35" s="341">
        <f>IF(AND(ISNUMBER('Laboratorio_M '!M37),ISNUMBER('Courier_M.'!M39)),'Courier_M.'!M39," ")</f>
        <v>7.5125448405742645E-2</v>
      </c>
      <c r="U35" s="341"/>
      <c r="V35" s="341"/>
      <c r="W35" s="341">
        <f>IF(AND(AND(ISNUMBER('Laboratorio_M '!O37),ISNUMBER('Courier_M.'!O39)),AND(Laboratorio_M!O37&gt;20,'Courier_M.'!O39&gt;20)),Laboratorio_M!O37," ")</f>
        <v>30.68</v>
      </c>
      <c r="X35" s="341">
        <f>IF(AND(AND(ISNUMBER('Laboratorio_M '!O37),ISNUMBER('Courier_M.'!O39)),AND(Laboratorio_M!O37&gt;20,'Courier_M.'!O39&gt;20)),'Courier_M.'!O39," ")</f>
        <v>28.761812210083008</v>
      </c>
      <c r="Y35" s="341"/>
      <c r="Z35" s="341"/>
      <c r="AA35" s="341">
        <f>IF(AND(ISNUMBER('Laboratorio_M '!Q37),ISNUMBER('Courier_M '!Q39)),'Laboratorio_M '!Q37," ")</f>
        <v>0.71199999999999997</v>
      </c>
      <c r="AB35" s="341">
        <f>IF(AND(ISNUMBER('Laboratorio_M '!Q37),ISNUMBER('Courier_M '!Q39)),'Courier_M '!Q39," ")</f>
        <v>0.73974072933197021</v>
      </c>
      <c r="AC35" s="341"/>
      <c r="AD35" s="341"/>
      <c r="AE35" s="341">
        <f>IF(AND(ISNUMBER('Laboratorio_M '!S37),ISNUMBER('Courier_M '!S39)),'Laboratorio_M '!S37," ")</f>
        <v>56.81</v>
      </c>
      <c r="AF35" s="341">
        <f>IF(AND(ISNUMBER('Laboratorio_M '!S37),ISNUMBER('Courier_M '!S39)),'Courier_M '!S39," ")</f>
        <v>55.927764892578125</v>
      </c>
      <c r="AG35" s="341">
        <f t="shared" si="31"/>
        <v>0.88223510742187727</v>
      </c>
      <c r="AH35" s="341"/>
      <c r="AI35" s="341">
        <f>IF(AND(ISNUMBER('Laboratorio_M '!U37),ISNUMBER('Courier_M '!U39)),'Laboratorio_M '!U37," ")</f>
        <v>0.86399999999999999</v>
      </c>
      <c r="AJ35" s="341">
        <f>IF(AND(ISNUMBER('Laboratorio_M '!U37),ISNUMBER('Courier_M '!U39)),'Courier_M '!U39," ")</f>
        <v>0.97704309225082397</v>
      </c>
      <c r="AK35" s="341"/>
      <c r="AL35" s="342"/>
      <c r="AM35" s="334"/>
      <c r="AN35" s="334"/>
      <c r="AO35" s="340" t="str">
        <f>IF(AND(ISNUMBER('Laboratorio_M '!F37),ISNUMBER('Courier_M.'!F39)),Laboratorio_M!F37," ")</f>
        <v xml:space="preserve"> </v>
      </c>
      <c r="AP35" s="341" t="str">
        <f>IF(AND(ISNUMBER('Laboratorio_M '!F37),ISNUMBER('Courier_M.'!F39)),'Courier_M.'!F39," ")</f>
        <v xml:space="preserve"> </v>
      </c>
      <c r="AQ35" s="341"/>
      <c r="AR35" s="341"/>
      <c r="AS35" s="341" t="str">
        <f>IF(AND(ISNUMBER('Laboratorio_M '!H37),ISNUMBER('Courier_M.'!H39)),Laboratorio_M!H37," ")</f>
        <v xml:space="preserve"> </v>
      </c>
      <c r="AT35" s="341" t="str">
        <f>IF(AND(ISNUMBER('Laboratorio_M '!H37),ISNUMBER('Courier_M.'!H39)),'Courier_M.'!H39," ")</f>
        <v xml:space="preserve"> </v>
      </c>
      <c r="AU35" s="341"/>
      <c r="AV35" s="341"/>
      <c r="AW35" s="341" t="str">
        <f>IF(AND(ISNUMBER('Laboratorio_M '!J37),ISNUMBER('Courier_M.'!J39)),Laboratorio_M!J37," ")</f>
        <v xml:space="preserve"> </v>
      </c>
      <c r="AX35" s="341" t="str">
        <f>IF(AND(ISNUMBER('Laboratorio_M '!J37),ISNUMBER('Courier_M.'!J39)),'Courier_M.'!J39," ")</f>
        <v xml:space="preserve"> </v>
      </c>
      <c r="AY35" s="341"/>
      <c r="AZ35" s="341"/>
      <c r="BA35" s="341" t="str">
        <f>IF(AND(ISNUMBER('Laboratorio_M '!L37),ISNUMBER('Courier_M.'!L39)),Laboratorio_M!L37," ")</f>
        <v xml:space="preserve"> </v>
      </c>
      <c r="BB35" s="341" t="str">
        <f>IF(AND(ISNUMBER('Laboratorio_M '!L37),ISNUMBER('Courier_M '!L39)),'Courier_M '!L39," ")</f>
        <v xml:space="preserve"> </v>
      </c>
      <c r="BC35" s="341"/>
      <c r="BD35" s="341"/>
      <c r="BE35" s="341" t="str">
        <f>IF(AND(ISNUMBER('Laboratorio_M '!N37),ISNUMBER('Courier_M.'!N39)),Laboratorio_M!N37," ")</f>
        <v xml:space="preserve"> </v>
      </c>
      <c r="BF35" s="341" t="str">
        <f>IF(AND(ISNUMBER('Laboratorio_M '!N37),ISNUMBER('Courier_M.'!N39)),'Courier_M.'!N39," ")</f>
        <v xml:space="preserve"> </v>
      </c>
      <c r="BG35" s="341"/>
      <c r="BH35" s="341"/>
      <c r="BI35" s="343" t="str">
        <f>IF(AND(ISNUMBER('Laboratorio_M '!P37),ISNUMBER('Courier_M.'!P39)),Laboratorio_M!P37," ")</f>
        <v xml:space="preserve"> </v>
      </c>
      <c r="BJ35" s="341" t="str">
        <f>IF(AND(ISNUMBER('Laboratorio_M '!P37),ISNUMBER('Courier_M '!P39)),'Courier_M '!P39," ")</f>
        <v xml:space="preserve"> </v>
      </c>
      <c r="BK35" s="341"/>
      <c r="BL35" s="341"/>
      <c r="BM35" s="341" t="str">
        <f>IF(AND(ISNUMBER('Laboratorio_M '!R37),ISNUMBER('Courier_M '!R39)),'Laboratorio_M '!R37," ")</f>
        <v xml:space="preserve"> </v>
      </c>
      <c r="BN35" s="341" t="str">
        <f>IF(AND(ISNUMBER('Laboratorio_M '!R37),ISNUMBER('Courier_M '!R39)),'Courier_M '!R39," ")</f>
        <v xml:space="preserve"> </v>
      </c>
      <c r="BO35" s="334" t="str">
        <f t="shared" si="33"/>
        <v xml:space="preserve"> </v>
      </c>
      <c r="BP35" s="341"/>
      <c r="BQ35" s="341" t="str">
        <f>IF(AND(ISNUMBER('Laboratorio_M '!T37),ISNUMBER('Courier_M '!T39)),'Laboratorio_M '!T37," ")</f>
        <v xml:space="preserve"> </v>
      </c>
      <c r="BR35" s="341" t="str">
        <f>IF(AND(ISNUMBER('Laboratorio_M '!T37),ISNUMBER('Courier_M '!T39)),'Courier_M '!T39," ")</f>
        <v xml:space="preserve"> </v>
      </c>
      <c r="BS35" s="341" t="str">
        <f t="shared" si="34"/>
        <v xml:space="preserve"> </v>
      </c>
      <c r="BT35" s="342" t="str">
        <f t="shared" si="35"/>
        <v xml:space="preserve"> </v>
      </c>
      <c r="BU35" s="340" t="str">
        <f>IF(AND(ISNUMBER('Laboratorio_M '!V37),ISNUMBER('Courier_M '!V39)),'Laboratorio_M '!V37," ")</f>
        <v xml:space="preserve"> </v>
      </c>
      <c r="BV35" s="341" t="str">
        <f>IF(AND(ISNUMBER('Laboratorio_M '!V37),ISNUMBER('Courier_M '!V39)),'Courier_M '!V39," ")</f>
        <v xml:space="preserve"> </v>
      </c>
      <c r="BW35" s="341"/>
      <c r="BX35" s="342"/>
    </row>
    <row r="37" spans="1:76" x14ac:dyDescent="0.2">
      <c r="A37" s="235"/>
      <c r="B37" s="235" t="s">
        <v>262</v>
      </c>
      <c r="C37">
        <f t="shared" ref="C37:AL37" si="36">COUNT(C5:C34)</f>
        <v>23</v>
      </c>
      <c r="D37">
        <f t="shared" si="36"/>
        <v>23</v>
      </c>
      <c r="E37">
        <f t="shared" si="36"/>
        <v>23</v>
      </c>
      <c r="F37">
        <f t="shared" si="36"/>
        <v>23</v>
      </c>
      <c r="G37">
        <f t="shared" si="36"/>
        <v>27</v>
      </c>
      <c r="H37">
        <f t="shared" si="36"/>
        <v>27</v>
      </c>
      <c r="I37">
        <f t="shared" si="36"/>
        <v>27</v>
      </c>
      <c r="J37">
        <f t="shared" si="36"/>
        <v>27</v>
      </c>
      <c r="K37">
        <f t="shared" si="36"/>
        <v>27</v>
      </c>
      <c r="L37">
        <f t="shared" si="36"/>
        <v>27</v>
      </c>
      <c r="M37">
        <f t="shared" si="36"/>
        <v>27</v>
      </c>
      <c r="N37">
        <f t="shared" si="36"/>
        <v>27</v>
      </c>
      <c r="O37">
        <f t="shared" si="36"/>
        <v>27</v>
      </c>
      <c r="P37">
        <f t="shared" si="36"/>
        <v>27</v>
      </c>
      <c r="Q37">
        <f t="shared" si="36"/>
        <v>27</v>
      </c>
      <c r="R37">
        <f t="shared" si="36"/>
        <v>27</v>
      </c>
      <c r="S37">
        <f t="shared" si="36"/>
        <v>27</v>
      </c>
      <c r="T37">
        <f t="shared" si="36"/>
        <v>27</v>
      </c>
      <c r="U37">
        <f t="shared" si="36"/>
        <v>27</v>
      </c>
      <c r="V37">
        <f t="shared" si="36"/>
        <v>27</v>
      </c>
      <c r="W37">
        <f t="shared" si="36"/>
        <v>27</v>
      </c>
      <c r="X37">
        <f t="shared" si="36"/>
        <v>27</v>
      </c>
      <c r="Y37">
        <f t="shared" si="36"/>
        <v>27</v>
      </c>
      <c r="Z37">
        <f t="shared" si="36"/>
        <v>27</v>
      </c>
      <c r="AA37">
        <f t="shared" si="36"/>
        <v>23</v>
      </c>
      <c r="AB37">
        <f t="shared" si="36"/>
        <v>23</v>
      </c>
      <c r="AC37">
        <f t="shared" si="36"/>
        <v>23</v>
      </c>
      <c r="AD37">
        <f t="shared" si="36"/>
        <v>23</v>
      </c>
      <c r="AE37">
        <f t="shared" si="36"/>
        <v>23</v>
      </c>
      <c r="AF37">
        <f t="shared" si="36"/>
        <v>23</v>
      </c>
      <c r="AG37">
        <f t="shared" si="36"/>
        <v>23</v>
      </c>
      <c r="AH37">
        <f t="shared" si="36"/>
        <v>23</v>
      </c>
      <c r="AI37">
        <f t="shared" si="36"/>
        <v>23</v>
      </c>
      <c r="AJ37">
        <f t="shared" si="36"/>
        <v>23</v>
      </c>
      <c r="AK37">
        <f t="shared" si="36"/>
        <v>23</v>
      </c>
      <c r="AL37">
        <f t="shared" si="36"/>
        <v>23</v>
      </c>
      <c r="AN37" s="235" t="s">
        <v>262</v>
      </c>
      <c r="AO37">
        <f t="shared" ref="AO37:BX37" si="37">COUNT(AO5:AO34)</f>
        <v>29</v>
      </c>
      <c r="AP37">
        <f t="shared" si="37"/>
        <v>29</v>
      </c>
      <c r="AQ37">
        <f t="shared" si="37"/>
        <v>29</v>
      </c>
      <c r="AR37">
        <f t="shared" si="37"/>
        <v>29</v>
      </c>
      <c r="AS37">
        <f t="shared" si="37"/>
        <v>29</v>
      </c>
      <c r="AT37">
        <f t="shared" si="37"/>
        <v>29</v>
      </c>
      <c r="AU37">
        <f t="shared" si="37"/>
        <v>29</v>
      </c>
      <c r="AV37">
        <f t="shared" si="37"/>
        <v>29</v>
      </c>
      <c r="AW37">
        <f t="shared" si="37"/>
        <v>29</v>
      </c>
      <c r="AX37">
        <f t="shared" si="37"/>
        <v>29</v>
      </c>
      <c r="AY37">
        <f t="shared" si="37"/>
        <v>29</v>
      </c>
      <c r="AZ37">
        <f t="shared" si="37"/>
        <v>29</v>
      </c>
      <c r="BA37">
        <f t="shared" si="37"/>
        <v>29</v>
      </c>
      <c r="BB37">
        <f t="shared" si="37"/>
        <v>29</v>
      </c>
      <c r="BC37">
        <f t="shared" si="37"/>
        <v>29</v>
      </c>
      <c r="BD37">
        <f t="shared" si="37"/>
        <v>29</v>
      </c>
      <c r="BE37">
        <f t="shared" si="37"/>
        <v>29</v>
      </c>
      <c r="BF37">
        <f t="shared" si="37"/>
        <v>29</v>
      </c>
      <c r="BG37">
        <f t="shared" si="37"/>
        <v>29</v>
      </c>
      <c r="BH37">
        <f t="shared" si="37"/>
        <v>29</v>
      </c>
      <c r="BI37">
        <f t="shared" si="37"/>
        <v>29</v>
      </c>
      <c r="BJ37">
        <f t="shared" si="37"/>
        <v>29</v>
      </c>
      <c r="BK37">
        <f t="shared" si="37"/>
        <v>29</v>
      </c>
      <c r="BL37">
        <f t="shared" si="37"/>
        <v>29</v>
      </c>
      <c r="BM37">
        <f t="shared" si="37"/>
        <v>29</v>
      </c>
      <c r="BN37">
        <f t="shared" si="37"/>
        <v>29</v>
      </c>
      <c r="BO37">
        <f t="shared" si="37"/>
        <v>29</v>
      </c>
      <c r="BP37">
        <f t="shared" si="37"/>
        <v>29</v>
      </c>
      <c r="BQ37">
        <f t="shared" si="37"/>
        <v>29</v>
      </c>
      <c r="BR37">
        <f t="shared" si="37"/>
        <v>29</v>
      </c>
      <c r="BS37">
        <f t="shared" si="37"/>
        <v>29</v>
      </c>
      <c r="BT37">
        <f t="shared" si="37"/>
        <v>29</v>
      </c>
      <c r="BU37">
        <f t="shared" si="37"/>
        <v>29</v>
      </c>
      <c r="BV37">
        <f t="shared" si="37"/>
        <v>29</v>
      </c>
      <c r="BW37">
        <f t="shared" si="37"/>
        <v>29</v>
      </c>
      <c r="BX37">
        <f t="shared" si="37"/>
        <v>29</v>
      </c>
    </row>
    <row r="38" spans="1:76" x14ac:dyDescent="0.2">
      <c r="A38" s="235"/>
      <c r="B38" s="235" t="s">
        <v>268</v>
      </c>
      <c r="C38">
        <f t="shared" ref="C38:AL38" si="38">MIN(C5:C34)</f>
        <v>17.710999999999999</v>
      </c>
      <c r="D38">
        <f t="shared" si="38"/>
        <v>19.754337310791016</v>
      </c>
      <c r="E38">
        <f t="shared" si="38"/>
        <v>-2.8035528411865229</v>
      </c>
      <c r="F38">
        <f t="shared" si="38"/>
        <v>4.4628462004209855E-2</v>
      </c>
      <c r="G38">
        <f t="shared" si="38"/>
        <v>0.96499999999999997</v>
      </c>
      <c r="H38">
        <f t="shared" si="38"/>
        <v>0.74810713529586792</v>
      </c>
      <c r="I38">
        <f t="shared" si="38"/>
        <v>-0.46237076759338369</v>
      </c>
      <c r="J38">
        <f t="shared" si="38"/>
        <v>3.5697201392828677</v>
      </c>
      <c r="K38">
        <f t="shared" si="38"/>
        <v>24.32</v>
      </c>
      <c r="L38">
        <f t="shared" si="38"/>
        <v>25.282142639160156</v>
      </c>
      <c r="M38">
        <f t="shared" si="38"/>
        <v>-2.7030764770507822</v>
      </c>
      <c r="N38">
        <f t="shared" si="38"/>
        <v>0.30074743876960586</v>
      </c>
      <c r="O38">
        <f t="shared" si="38"/>
        <v>20.398</v>
      </c>
      <c r="P38">
        <f t="shared" si="38"/>
        <v>19.861064910888672</v>
      </c>
      <c r="Q38">
        <f t="shared" si="38"/>
        <v>-2.5818991546630876</v>
      </c>
      <c r="R38">
        <f t="shared" si="38"/>
        <v>0.31317621497597298</v>
      </c>
      <c r="S38">
        <f t="shared" si="38"/>
        <v>2.9000000000000001E-2</v>
      </c>
      <c r="T38">
        <f t="shared" si="38"/>
        <v>5.3388558328151703E-2</v>
      </c>
      <c r="U38">
        <f t="shared" si="38"/>
        <v>-0.993115161895752</v>
      </c>
      <c r="V38">
        <f t="shared" si="38"/>
        <v>6.915148550813849</v>
      </c>
      <c r="W38">
        <f t="shared" si="38"/>
        <v>26.89</v>
      </c>
      <c r="X38">
        <f t="shared" si="38"/>
        <v>28.034366607666016</v>
      </c>
      <c r="Y38">
        <f t="shared" si="38"/>
        <v>-2.9415158081054678</v>
      </c>
      <c r="Z38">
        <f t="shared" si="38"/>
        <v>2.4298209708604881E-2</v>
      </c>
      <c r="AA38">
        <f t="shared" si="38"/>
        <v>0.39300000000000002</v>
      </c>
      <c r="AB38">
        <f t="shared" si="38"/>
        <v>0.39342418313026428</v>
      </c>
      <c r="AC38">
        <f t="shared" si="38"/>
        <v>-0.41529506587982179</v>
      </c>
      <c r="AD38">
        <f t="shared" si="38"/>
        <v>4.29026418816221E-2</v>
      </c>
      <c r="AE38">
        <f t="shared" si="38"/>
        <v>53.348999999999997</v>
      </c>
      <c r="AF38">
        <f t="shared" si="38"/>
        <v>54.337448120117188</v>
      </c>
      <c r="AG38">
        <f t="shared" si="38"/>
        <v>-2.662753082275394</v>
      </c>
      <c r="AH38">
        <f t="shared" si="38"/>
        <v>2.3680557128954654E-2</v>
      </c>
      <c r="AI38">
        <f t="shared" si="38"/>
        <v>0.53300000000000003</v>
      </c>
      <c r="AJ38">
        <f t="shared" si="38"/>
        <v>0.67395442724227905</v>
      </c>
      <c r="AK38">
        <f t="shared" si="38"/>
        <v>-0.44974158954620358</v>
      </c>
      <c r="AL38">
        <f t="shared" si="38"/>
        <v>3.1923429974684852</v>
      </c>
      <c r="AN38" s="235" t="s">
        <v>268</v>
      </c>
      <c r="AO38">
        <f t="shared" ref="AO38:BX38" si="39">MIN(AO5:AO34)</f>
        <v>20.995000000000001</v>
      </c>
      <c r="AP38">
        <f t="shared" si="39"/>
        <v>19.754337310791016</v>
      </c>
      <c r="AQ38">
        <f t="shared" si="39"/>
        <v>-1.4132793121337883</v>
      </c>
      <c r="AR38">
        <f t="shared" si="39"/>
        <v>1.0222809740501318E-2</v>
      </c>
      <c r="AS38">
        <f t="shared" si="39"/>
        <v>0.95399999999999996</v>
      </c>
      <c r="AT38">
        <f t="shared" si="39"/>
        <v>0.68110287189483643</v>
      </c>
      <c r="AU38">
        <f t="shared" si="39"/>
        <v>-1.8614600219726563</v>
      </c>
      <c r="AV38">
        <f t="shared" si="39"/>
        <v>2.3467559555749924</v>
      </c>
      <c r="AW38">
        <f t="shared" si="39"/>
        <v>25.8</v>
      </c>
      <c r="AX38">
        <f t="shared" si="39"/>
        <v>26.366144180297852</v>
      </c>
      <c r="AY38">
        <f t="shared" si="39"/>
        <v>-3.6134994506835945</v>
      </c>
      <c r="AZ38">
        <f t="shared" si="39"/>
        <v>0.14270920827598524</v>
      </c>
      <c r="BA38">
        <f t="shared" si="39"/>
        <v>19.402999999999999</v>
      </c>
      <c r="BB38">
        <f t="shared" si="39"/>
        <v>21.316932678222656</v>
      </c>
      <c r="BC38">
        <f t="shared" si="39"/>
        <v>-4.0415076141357424</v>
      </c>
      <c r="BD38">
        <f t="shared" si="39"/>
        <v>0.10441821202017201</v>
      </c>
      <c r="BE38">
        <f t="shared" si="39"/>
        <v>2.7E-2</v>
      </c>
      <c r="BF38">
        <f t="shared" si="39"/>
        <v>5.1226496696472168E-2</v>
      </c>
      <c r="BG38">
        <f t="shared" si="39"/>
        <v>-0.79645719146728511</v>
      </c>
      <c r="BH38">
        <f t="shared" si="39"/>
        <v>0.35996437072753906</v>
      </c>
      <c r="BI38">
        <f t="shared" si="39"/>
        <v>27.45</v>
      </c>
      <c r="BJ38">
        <f t="shared" si="39"/>
        <v>27.969631195068359</v>
      </c>
      <c r="BK38">
        <f t="shared" si="39"/>
        <v>-1.9489253234863284</v>
      </c>
      <c r="BL38">
        <f t="shared" si="39"/>
        <v>0.60850676915614055</v>
      </c>
      <c r="BM38">
        <f t="shared" si="39"/>
        <v>0.41899999999999998</v>
      </c>
      <c r="BN38">
        <f t="shared" si="39"/>
        <v>0.3722979724407196</v>
      </c>
      <c r="BO38">
        <f t="shared" si="39"/>
        <v>-0.38304660463333129</v>
      </c>
      <c r="BP38">
        <f t="shared" si="39"/>
        <v>0.67358747948088227</v>
      </c>
      <c r="BQ38">
        <f t="shared" si="39"/>
        <v>51.384</v>
      </c>
      <c r="BR38">
        <f t="shared" si="39"/>
        <v>53.728702545166016</v>
      </c>
      <c r="BS38">
        <f t="shared" si="39"/>
        <v>-5.3980243835449215</v>
      </c>
      <c r="BT38">
        <f t="shared" si="39"/>
        <v>0.39044715554193388</v>
      </c>
      <c r="BU38">
        <f t="shared" si="39"/>
        <v>0.63900000000000001</v>
      </c>
      <c r="BV38">
        <f t="shared" si="39"/>
        <v>0.67580217123031616</v>
      </c>
      <c r="BW38">
        <f t="shared" si="39"/>
        <v>-0.89407751655578616</v>
      </c>
      <c r="BX38">
        <f t="shared" si="39"/>
        <v>0.17329826951026708</v>
      </c>
    </row>
    <row r="39" spans="1:76" x14ac:dyDescent="0.2">
      <c r="A39" s="235"/>
      <c r="B39" s="235" t="s">
        <v>55</v>
      </c>
      <c r="C39">
        <f t="shared" ref="C39:AL39" si="40">MAX(C5:C34)</f>
        <v>26.146000000000001</v>
      </c>
      <c r="D39">
        <f t="shared" si="40"/>
        <v>26.633718490600586</v>
      </c>
      <c r="E39">
        <f t="shared" si="40"/>
        <v>1.5047795562744142</v>
      </c>
      <c r="F39">
        <f t="shared" si="40"/>
        <v>15.752035729748206</v>
      </c>
      <c r="G39">
        <f t="shared" si="40"/>
        <v>5.9749999999999996</v>
      </c>
      <c r="H39">
        <f t="shared" si="40"/>
        <v>4.3784956932067871</v>
      </c>
      <c r="I39">
        <f t="shared" si="40"/>
        <v>1.6630260791778566</v>
      </c>
      <c r="J39">
        <f t="shared" si="40"/>
        <v>62.406676618298093</v>
      </c>
      <c r="K39">
        <f t="shared" si="40"/>
        <v>30.71</v>
      </c>
      <c r="L39">
        <f t="shared" si="40"/>
        <v>29.583076477050781</v>
      </c>
      <c r="M39">
        <f t="shared" si="40"/>
        <v>2.9523152923583993</v>
      </c>
      <c r="N39">
        <f t="shared" si="40"/>
        <v>10.056088084266303</v>
      </c>
      <c r="O39">
        <f t="shared" si="40"/>
        <v>26.471</v>
      </c>
      <c r="P39">
        <f t="shared" si="40"/>
        <v>27.450481414794922</v>
      </c>
      <c r="Q39">
        <f t="shared" si="40"/>
        <v>2.5913484497070307</v>
      </c>
      <c r="R39">
        <f t="shared" si="40"/>
        <v>11.481741249002036</v>
      </c>
      <c r="S39">
        <f t="shared" si="40"/>
        <v>0.57699999999999996</v>
      </c>
      <c r="T39">
        <f t="shared" si="40"/>
        <v>1.069115161895752</v>
      </c>
      <c r="U39">
        <f t="shared" si="40"/>
        <v>0.4260982353687286</v>
      </c>
      <c r="V39">
        <f t="shared" si="40"/>
        <v>1429.0348367257552</v>
      </c>
      <c r="W39">
        <f t="shared" si="40"/>
        <v>31.46</v>
      </c>
      <c r="X39">
        <f t="shared" si="40"/>
        <v>30.811515808105469</v>
      </c>
      <c r="Y39">
        <f t="shared" si="40"/>
        <v>2.5300645446777352</v>
      </c>
      <c r="Z39">
        <f t="shared" si="40"/>
        <v>10.55441624723885</v>
      </c>
      <c r="AA39">
        <f t="shared" si="40"/>
        <v>1.0660000000000001</v>
      </c>
      <c r="AB39">
        <f t="shared" si="40"/>
        <v>0.90763550996780396</v>
      </c>
      <c r="AC39">
        <f t="shared" si="40"/>
        <v>0.41628572845458989</v>
      </c>
      <c r="AD39">
        <f t="shared" si="40"/>
        <v>85.451659646053869</v>
      </c>
      <c r="AE39">
        <f t="shared" si="40"/>
        <v>58.036999999999999</v>
      </c>
      <c r="AF39">
        <f t="shared" si="40"/>
        <v>56.945362091064453</v>
      </c>
      <c r="AG39">
        <f t="shared" si="40"/>
        <v>2.8285518798828093</v>
      </c>
      <c r="AH39">
        <f t="shared" si="40"/>
        <v>4.9911958654808792</v>
      </c>
      <c r="AI39">
        <f t="shared" si="40"/>
        <v>3.4649999999999999</v>
      </c>
      <c r="AJ39">
        <f t="shared" si="40"/>
        <v>1.3860952854156494</v>
      </c>
      <c r="AK39">
        <f t="shared" si="40"/>
        <v>2.6359148287773131</v>
      </c>
      <c r="AL39">
        <f t="shared" si="40"/>
        <v>76.072578031091282</v>
      </c>
      <c r="AN39" s="235" t="s">
        <v>55</v>
      </c>
      <c r="AO39">
        <f t="shared" ref="AO39:BX39" si="41">MAX(AO5:AO34)</f>
        <v>26.792999999999999</v>
      </c>
      <c r="AP39">
        <f t="shared" si="41"/>
        <v>27.067319869995117</v>
      </c>
      <c r="AQ39">
        <f t="shared" si="41"/>
        <v>3.9266626892089853</v>
      </c>
      <c r="AR39">
        <f t="shared" si="41"/>
        <v>16.581490178662158</v>
      </c>
      <c r="AS39">
        <f t="shared" si="41"/>
        <v>4.2629999999999999</v>
      </c>
      <c r="AT39">
        <f t="shared" si="41"/>
        <v>4.0803060531616211</v>
      </c>
      <c r="AU39">
        <f t="shared" si="41"/>
        <v>1.6921963577270507</v>
      </c>
      <c r="AV39">
        <f t="shared" si="41"/>
        <v>106.61283058262636</v>
      </c>
      <c r="AW39">
        <f t="shared" si="41"/>
        <v>30.82</v>
      </c>
      <c r="AX39">
        <f t="shared" si="41"/>
        <v>29.563499450683594</v>
      </c>
      <c r="AY39">
        <f t="shared" si="41"/>
        <v>3.6675939178466805</v>
      </c>
      <c r="AZ39">
        <f t="shared" si="41"/>
        <v>13.924853374503254</v>
      </c>
      <c r="BA39">
        <f t="shared" si="41"/>
        <v>27.766999999999999</v>
      </c>
      <c r="BB39">
        <f t="shared" si="41"/>
        <v>27.795993804931641</v>
      </c>
      <c r="BC39">
        <f t="shared" si="41"/>
        <v>3.8570673217773432</v>
      </c>
      <c r="BD39">
        <f t="shared" si="41"/>
        <v>20.1396860155022</v>
      </c>
      <c r="BE39">
        <f t="shared" si="41"/>
        <v>0.14499999999999999</v>
      </c>
      <c r="BF39">
        <f t="shared" si="41"/>
        <v>0.85045719146728516</v>
      </c>
      <c r="BG39">
        <f t="shared" si="41"/>
        <v>6.7177778005599986E-2</v>
      </c>
      <c r="BH39">
        <f t="shared" si="41"/>
        <v>1474.9207249394169</v>
      </c>
      <c r="BI39">
        <f t="shared" si="41"/>
        <v>31.45</v>
      </c>
      <c r="BJ39">
        <f t="shared" si="41"/>
        <v>31.072154998779297</v>
      </c>
      <c r="BK39">
        <f t="shared" si="41"/>
        <v>2.6136051940917966</v>
      </c>
      <c r="BL39">
        <f t="shared" si="41"/>
        <v>8.3156385430855764</v>
      </c>
      <c r="BM39">
        <f t="shared" si="41"/>
        <v>2.198</v>
      </c>
      <c r="BN39">
        <f t="shared" si="41"/>
        <v>0.93724614381790161</v>
      </c>
      <c r="BO39">
        <f t="shared" si="41"/>
        <v>1.6109906296730041</v>
      </c>
      <c r="BP39">
        <f t="shared" si="41"/>
        <v>74.960196601434689</v>
      </c>
      <c r="BQ39">
        <f t="shared" si="41"/>
        <v>57.631999999999998</v>
      </c>
      <c r="BR39">
        <f t="shared" si="41"/>
        <v>57.540431976318359</v>
      </c>
      <c r="BS39">
        <f t="shared" si="41"/>
        <v>3.056297454833981</v>
      </c>
      <c r="BT39">
        <f t="shared" si="41"/>
        <v>10.505263084899816</v>
      </c>
      <c r="BU39">
        <f t="shared" si="41"/>
        <v>4.452</v>
      </c>
      <c r="BV39">
        <f t="shared" si="41"/>
        <v>1.9930775165557861</v>
      </c>
      <c r="BW39">
        <f t="shared" si="41"/>
        <v>3.6903012771606445</v>
      </c>
      <c r="BX39">
        <f t="shared" si="41"/>
        <v>82.890864266860845</v>
      </c>
    </row>
    <row r="40" spans="1:76" x14ac:dyDescent="0.2">
      <c r="A40" s="235"/>
      <c r="B40" s="235" t="s">
        <v>261</v>
      </c>
      <c r="C40">
        <f t="shared" ref="C40:AL40" si="42">AVERAGE(C5:C34)</f>
        <v>22.404739130434788</v>
      </c>
      <c r="D40">
        <f t="shared" si="42"/>
        <v>22.984566812929899</v>
      </c>
      <c r="E40">
        <f t="shared" si="42"/>
        <v>-0.57982768249511718</v>
      </c>
      <c r="F40">
        <f t="shared" si="42"/>
        <v>4.8204009382223996</v>
      </c>
      <c r="G40">
        <f t="shared" si="42"/>
        <v>2.4264074074074071</v>
      </c>
      <c r="H40">
        <f t="shared" si="42"/>
        <v>2.0227147274547153</v>
      </c>
      <c r="I40">
        <f t="shared" si="42"/>
        <v>0.40369267995269209</v>
      </c>
      <c r="J40">
        <f t="shared" si="42"/>
        <v>22.052900722101519</v>
      </c>
      <c r="K40">
        <f t="shared" si="42"/>
        <v>27.885925925925928</v>
      </c>
      <c r="L40">
        <f t="shared" si="42"/>
        <v>27.67006527936017</v>
      </c>
      <c r="M40">
        <f t="shared" si="42"/>
        <v>0.2158606465657554</v>
      </c>
      <c r="N40">
        <f t="shared" si="42"/>
        <v>4.1786919983553767</v>
      </c>
      <c r="O40">
        <f t="shared" si="42"/>
        <v>23.209333333333333</v>
      </c>
      <c r="P40">
        <f t="shared" si="42"/>
        <v>23.686066097683376</v>
      </c>
      <c r="Q40">
        <f t="shared" si="42"/>
        <v>-0.47673276435004364</v>
      </c>
      <c r="R40">
        <f t="shared" si="42"/>
        <v>5.2507485899237132</v>
      </c>
      <c r="S40">
        <f t="shared" si="42"/>
        <v>0.10081481481481483</v>
      </c>
      <c r="T40">
        <f t="shared" si="42"/>
        <v>0.22552239687906372</v>
      </c>
      <c r="U40">
        <f t="shared" si="42"/>
        <v>-0.12470758206424888</v>
      </c>
      <c r="V40">
        <f t="shared" si="42"/>
        <v>230.95296947064995</v>
      </c>
      <c r="W40">
        <f t="shared" si="42"/>
        <v>29.171481481481486</v>
      </c>
      <c r="X40">
        <f t="shared" si="42"/>
        <v>29.35671001010471</v>
      </c>
      <c r="Y40">
        <f t="shared" si="42"/>
        <v>-0.18522852862322736</v>
      </c>
      <c r="Z40">
        <f t="shared" si="42"/>
        <v>3.6446597292682972</v>
      </c>
      <c r="AA40">
        <f t="shared" si="42"/>
        <v>0.66334782608695653</v>
      </c>
      <c r="AB40">
        <f t="shared" si="42"/>
        <v>0.70429450921390369</v>
      </c>
      <c r="AC40">
        <f t="shared" si="42"/>
        <v>-4.0946683126947152E-2</v>
      </c>
      <c r="AD40">
        <f t="shared" si="42"/>
        <v>28.477400758507944</v>
      </c>
      <c r="AE40">
        <f t="shared" si="42"/>
        <v>56.689695652173917</v>
      </c>
      <c r="AF40">
        <f t="shared" si="42"/>
        <v>55.874254973038383</v>
      </c>
      <c r="AG40">
        <f t="shared" si="42"/>
        <v>0.81544067913552987</v>
      </c>
      <c r="AH40">
        <f t="shared" si="42"/>
        <v>1.959044882418328</v>
      </c>
      <c r="AI40">
        <f t="shared" si="42"/>
        <v>1.0596521739130436</v>
      </c>
      <c r="AJ40">
        <f t="shared" si="42"/>
        <v>0.97912335654963623</v>
      </c>
      <c r="AK40">
        <f t="shared" si="42"/>
        <v>8.0528817363407293E-2</v>
      </c>
      <c r="AL40">
        <f t="shared" si="42"/>
        <v>28.671786947284975</v>
      </c>
      <c r="AN40" s="235" t="s">
        <v>261</v>
      </c>
      <c r="AO40">
        <f t="shared" ref="AO40:BX40" si="43">AVERAGE(AO5:AO34)</f>
        <v>23.509482758620692</v>
      </c>
      <c r="AP40">
        <f t="shared" si="43"/>
        <v>23.291945753426386</v>
      </c>
      <c r="AQ40">
        <f t="shared" si="43"/>
        <v>0.21753700519430233</v>
      </c>
      <c r="AR40">
        <f t="shared" si="43"/>
        <v>4.4420945818482913</v>
      </c>
      <c r="AS40">
        <f t="shared" si="43"/>
        <v>2.2283103448275861</v>
      </c>
      <c r="AT40">
        <f t="shared" si="43"/>
        <v>2.0382933369998275</v>
      </c>
      <c r="AU40">
        <f t="shared" si="43"/>
        <v>0.19001700782775879</v>
      </c>
      <c r="AV40">
        <f t="shared" si="43"/>
        <v>23.201697812995501</v>
      </c>
      <c r="AW40">
        <f t="shared" si="43"/>
        <v>28.353448275862071</v>
      </c>
      <c r="AX40">
        <f t="shared" si="43"/>
        <v>28.162910198343212</v>
      </c>
      <c r="AY40">
        <f t="shared" si="43"/>
        <v>0.19053807751885801</v>
      </c>
      <c r="AZ40">
        <f t="shared" si="43"/>
        <v>4.6098027097338248</v>
      </c>
      <c r="BA40">
        <f t="shared" si="43"/>
        <v>23.908517241379318</v>
      </c>
      <c r="BB40">
        <f t="shared" si="43"/>
        <v>24.05367555289433</v>
      </c>
      <c r="BC40">
        <f t="shared" si="43"/>
        <v>-0.14515831151501857</v>
      </c>
      <c r="BD40">
        <f t="shared" si="43"/>
        <v>5.8722982849295322</v>
      </c>
      <c r="BE40">
        <f t="shared" si="43"/>
        <v>7.1517241379310342E-2</v>
      </c>
      <c r="BF40">
        <f t="shared" si="43"/>
        <v>0.18017183218536706</v>
      </c>
      <c r="BG40">
        <f t="shared" si="43"/>
        <v>-0.10865459080605672</v>
      </c>
      <c r="BH40">
        <f t="shared" si="43"/>
        <v>192.65528282324493</v>
      </c>
      <c r="BI40">
        <f t="shared" si="43"/>
        <v>29.53448275862069</v>
      </c>
      <c r="BJ40">
        <f t="shared" si="43"/>
        <v>29.292572218796302</v>
      </c>
      <c r="BK40">
        <f t="shared" si="43"/>
        <v>0.24191053982438712</v>
      </c>
      <c r="BL40">
        <f t="shared" si="43"/>
        <v>3.7825767151907561</v>
      </c>
      <c r="BM40">
        <f t="shared" si="43"/>
        <v>0.72382758620689658</v>
      </c>
      <c r="BN40">
        <f t="shared" si="43"/>
        <v>0.67451196703417549</v>
      </c>
      <c r="BO40">
        <f t="shared" si="43"/>
        <v>4.9315619172721044E-2</v>
      </c>
      <c r="BP40">
        <f t="shared" si="43"/>
        <v>26.107472059540466</v>
      </c>
      <c r="BQ40">
        <f t="shared" si="43"/>
        <v>56.42727586206896</v>
      </c>
      <c r="BR40">
        <f t="shared" si="43"/>
        <v>56.072080809494544</v>
      </c>
      <c r="BS40">
        <f t="shared" si="43"/>
        <v>0.35519505257442047</v>
      </c>
      <c r="BT40">
        <f t="shared" si="43"/>
        <v>2.1752084358980488</v>
      </c>
      <c r="BU40">
        <f t="shared" si="43"/>
        <v>1.2093793103448276</v>
      </c>
      <c r="BV40">
        <f t="shared" si="43"/>
        <v>0.97286506562397401</v>
      </c>
      <c r="BW40">
        <f t="shared" si="43"/>
        <v>0.23651424472085364</v>
      </c>
      <c r="BX40">
        <f t="shared" si="43"/>
        <v>30.269291582641372</v>
      </c>
    </row>
    <row r="41" spans="1:76" x14ac:dyDescent="0.2">
      <c r="A41" s="235"/>
      <c r="B41" s="235" t="s">
        <v>267</v>
      </c>
      <c r="C41">
        <f t="shared" ref="C41:AL41" si="44">SKEW(C5:C34)</f>
        <v>-0.20138660990651494</v>
      </c>
      <c r="D41">
        <f t="shared" si="44"/>
        <v>0.16827706392963618</v>
      </c>
      <c r="E41">
        <f t="shared" si="44"/>
        <v>-0.16840256112169696</v>
      </c>
      <c r="F41">
        <f t="shared" si="44"/>
        <v>1.4570008453903183</v>
      </c>
      <c r="G41">
        <f t="shared" si="44"/>
        <v>1.3614668360396496</v>
      </c>
      <c r="H41">
        <f t="shared" si="44"/>
        <v>0.91132046843973102</v>
      </c>
      <c r="I41">
        <f t="shared" si="44"/>
        <v>0.50004021300731449</v>
      </c>
      <c r="J41">
        <f t="shared" si="44"/>
        <v>1.2578800124615939</v>
      </c>
      <c r="K41">
        <f t="shared" si="44"/>
        <v>-0.24024833886394223</v>
      </c>
      <c r="L41">
        <f t="shared" si="44"/>
        <v>-0.24420884522483541</v>
      </c>
      <c r="M41">
        <f t="shared" si="44"/>
        <v>2.4410718567905738E-2</v>
      </c>
      <c r="N41">
        <f t="shared" si="44"/>
        <v>0.65384566383576093</v>
      </c>
      <c r="O41">
        <f t="shared" si="44"/>
        <v>0.5286697692768404</v>
      </c>
      <c r="P41">
        <f t="shared" si="44"/>
        <v>0.14207668579064286</v>
      </c>
      <c r="Q41">
        <f t="shared" si="44"/>
        <v>0.47133088386639965</v>
      </c>
      <c r="R41">
        <f t="shared" si="44"/>
        <v>0.32264637035021893</v>
      </c>
      <c r="S41">
        <f t="shared" si="44"/>
        <v>4.3675402955518798</v>
      </c>
      <c r="T41">
        <f t="shared" si="44"/>
        <v>2.4225345133108922</v>
      </c>
      <c r="U41">
        <f t="shared" si="44"/>
        <v>-1.5609767087379254</v>
      </c>
      <c r="V41">
        <f t="shared" si="44"/>
        <v>2.4699773828324232</v>
      </c>
      <c r="W41">
        <f t="shared" si="44"/>
        <v>-5.0347448204137661E-2</v>
      </c>
      <c r="X41">
        <f t="shared" si="44"/>
        <v>0.67284645543338328</v>
      </c>
      <c r="Y41">
        <f t="shared" si="44"/>
        <v>0.10261356474067107</v>
      </c>
      <c r="Z41">
        <f t="shared" si="44"/>
        <v>0.99232166251011444</v>
      </c>
      <c r="AA41">
        <f t="shared" si="44"/>
        <v>0.70234111018518164</v>
      </c>
      <c r="AB41">
        <f t="shared" si="44"/>
        <v>-0.24546470926511374</v>
      </c>
      <c r="AC41">
        <f t="shared" si="44"/>
        <v>0.49888609152620689</v>
      </c>
      <c r="AD41">
        <f t="shared" si="44"/>
        <v>1.0647054650521997</v>
      </c>
      <c r="AE41">
        <f t="shared" si="44"/>
        <v>-1.5650351904253939</v>
      </c>
      <c r="AF41">
        <f t="shared" si="44"/>
        <v>-0.3684368827463938</v>
      </c>
      <c r="AG41">
        <f t="shared" si="44"/>
        <v>-0.95664831677524875</v>
      </c>
      <c r="AH41">
        <f t="shared" si="44"/>
        <v>0.64747420911692455</v>
      </c>
      <c r="AI41">
        <f t="shared" si="44"/>
        <v>2.8931484875964961</v>
      </c>
      <c r="AJ41">
        <f t="shared" si="44"/>
        <v>0.18454043096025796</v>
      </c>
      <c r="AK41">
        <f t="shared" si="44"/>
        <v>3.0691047962043108</v>
      </c>
      <c r="AL41">
        <f t="shared" si="44"/>
        <v>0.83851698503117578</v>
      </c>
      <c r="AN41" s="235" t="s">
        <v>267</v>
      </c>
      <c r="AO41">
        <f t="shared" ref="AO41:BX41" si="45">SKEW(AO5:AO34)</f>
        <v>0.38299558638181913</v>
      </c>
      <c r="AP41">
        <f t="shared" si="45"/>
        <v>0.20958653260791776</v>
      </c>
      <c r="AQ41">
        <f t="shared" si="45"/>
        <v>1.0855737632167919</v>
      </c>
      <c r="AR41">
        <f t="shared" si="45"/>
        <v>1.3062616642262586</v>
      </c>
      <c r="AS41">
        <f t="shared" si="45"/>
        <v>0.55985483351047105</v>
      </c>
      <c r="AT41">
        <f t="shared" si="45"/>
        <v>0.45458753418034387</v>
      </c>
      <c r="AU41">
        <f t="shared" si="45"/>
        <v>-0.66325417397328845</v>
      </c>
      <c r="AV41">
        <f t="shared" si="45"/>
        <v>2.2094591663300616</v>
      </c>
      <c r="AW41">
        <f t="shared" si="45"/>
        <v>-0.35879532331305902</v>
      </c>
      <c r="AX41">
        <f t="shared" si="45"/>
        <v>-0.24787938587951042</v>
      </c>
      <c r="AY41">
        <f t="shared" si="45"/>
        <v>-0.10045359279311833</v>
      </c>
      <c r="AZ41">
        <f t="shared" si="45"/>
        <v>1.0459623032034071</v>
      </c>
      <c r="BA41">
        <f t="shared" si="45"/>
        <v>-0.22548482117777316</v>
      </c>
      <c r="BB41">
        <f t="shared" si="45"/>
        <v>0.17457319490205081</v>
      </c>
      <c r="BC41">
        <f t="shared" si="45"/>
        <v>-0.353834938163329</v>
      </c>
      <c r="BD41">
        <f t="shared" si="45"/>
        <v>1.1578173053816734</v>
      </c>
      <c r="BE41">
        <f t="shared" si="45"/>
        <v>0.85146007243313615</v>
      </c>
      <c r="BF41">
        <f t="shared" si="45"/>
        <v>2.8237405252636978</v>
      </c>
      <c r="BG41">
        <f t="shared" si="45"/>
        <v>-2.9106165173314977</v>
      </c>
      <c r="BH41">
        <f t="shared" si="45"/>
        <v>3.5148020675223224</v>
      </c>
      <c r="BI41">
        <f t="shared" si="45"/>
        <v>0.2353264690642565</v>
      </c>
      <c r="BJ41">
        <f t="shared" si="45"/>
        <v>0.61708159279827079</v>
      </c>
      <c r="BK41">
        <f t="shared" si="45"/>
        <v>-4.8494677573896409E-2</v>
      </c>
      <c r="BL41">
        <f t="shared" si="45"/>
        <v>0.43662265627230107</v>
      </c>
      <c r="BM41">
        <f t="shared" si="45"/>
        <v>3.0501224949027383</v>
      </c>
      <c r="BN41">
        <f t="shared" si="45"/>
        <v>5.2893171730873087E-2</v>
      </c>
      <c r="BO41">
        <f t="shared" si="45"/>
        <v>3.1504818663707859</v>
      </c>
      <c r="BP41">
        <f t="shared" si="45"/>
        <v>1.1916710960206571</v>
      </c>
      <c r="BQ41">
        <f t="shared" si="45"/>
        <v>-2.3948820593546079</v>
      </c>
      <c r="BR41">
        <f t="shared" si="45"/>
        <v>-0.74663064421257019</v>
      </c>
      <c r="BS41">
        <f t="shared" si="45"/>
        <v>-1.8391887269792659</v>
      </c>
      <c r="BT41">
        <f t="shared" si="45"/>
        <v>3.1058783478666978</v>
      </c>
      <c r="BU41">
        <f t="shared" si="45"/>
        <v>2.9041482531128437</v>
      </c>
      <c r="BV41">
        <f t="shared" si="45"/>
        <v>1.8179763187661602</v>
      </c>
      <c r="BW41">
        <f t="shared" si="45"/>
        <v>2.6510189044773935</v>
      </c>
      <c r="BX41">
        <f t="shared" si="45"/>
        <v>0.66434873754317536</v>
      </c>
    </row>
    <row r="42" spans="1:76" x14ac:dyDescent="0.2">
      <c r="A42" s="235"/>
      <c r="B42" s="235" t="s">
        <v>259</v>
      </c>
      <c r="C42">
        <f t="shared" ref="C42:AL42" si="46">KURT(C5:C34)</f>
        <v>-7.242687577283613E-2</v>
      </c>
      <c r="D42">
        <f t="shared" si="46"/>
        <v>1.1339892405829746</v>
      </c>
      <c r="E42">
        <f t="shared" si="46"/>
        <v>-6.242533623317259E-2</v>
      </c>
      <c r="F42">
        <f t="shared" si="46"/>
        <v>1.6267891823359273</v>
      </c>
      <c r="G42">
        <f t="shared" si="46"/>
        <v>2.6458966572279872</v>
      </c>
      <c r="H42">
        <f t="shared" si="46"/>
        <v>1.381045718834546</v>
      </c>
      <c r="I42">
        <f t="shared" si="46"/>
        <v>-0.78984526882330597</v>
      </c>
      <c r="J42">
        <f t="shared" si="46"/>
        <v>1.9913228588078971</v>
      </c>
      <c r="K42">
        <f t="shared" si="46"/>
        <v>1.5712268042516389</v>
      </c>
      <c r="L42">
        <f t="shared" si="46"/>
        <v>-0.42464407810299587</v>
      </c>
      <c r="M42">
        <f t="shared" si="46"/>
        <v>-0.38505148023443869</v>
      </c>
      <c r="N42">
        <f t="shared" si="46"/>
        <v>-0.63171160394871739</v>
      </c>
      <c r="O42">
        <f t="shared" si="46"/>
        <v>0.71072531321998689</v>
      </c>
      <c r="P42">
        <f t="shared" si="46"/>
        <v>-0.94195230692106469</v>
      </c>
      <c r="Q42">
        <f t="shared" si="46"/>
        <v>-0.43423123055214896</v>
      </c>
      <c r="R42">
        <f t="shared" si="46"/>
        <v>-1.1774310932698246</v>
      </c>
      <c r="S42">
        <f t="shared" si="46"/>
        <v>21.128749332682563</v>
      </c>
      <c r="T42">
        <f t="shared" si="46"/>
        <v>6.6857687693068995</v>
      </c>
      <c r="U42">
        <f t="shared" si="46"/>
        <v>4.7914666655555278</v>
      </c>
      <c r="V42">
        <f t="shared" si="46"/>
        <v>5.8351576522900777</v>
      </c>
      <c r="W42">
        <f t="shared" si="46"/>
        <v>0.15054924085629207</v>
      </c>
      <c r="X42">
        <f t="shared" si="46"/>
        <v>1.9112827001417667</v>
      </c>
      <c r="Y42">
        <f t="shared" si="46"/>
        <v>-0.21305921725448984</v>
      </c>
      <c r="Z42">
        <f t="shared" si="46"/>
        <v>0.88292879939624047</v>
      </c>
      <c r="AA42">
        <f t="shared" si="46"/>
        <v>-0.65313576411295582</v>
      </c>
      <c r="AB42">
        <f t="shared" si="46"/>
        <v>-0.21762992259860159</v>
      </c>
      <c r="AC42">
        <f t="shared" si="46"/>
        <v>-0.11755308753761362</v>
      </c>
      <c r="AD42">
        <f t="shared" si="46"/>
        <v>1.4437896974816935</v>
      </c>
      <c r="AE42">
        <f t="shared" si="46"/>
        <v>3.4425286182329433</v>
      </c>
      <c r="AF42">
        <f t="shared" si="46"/>
        <v>-0.86550905040169335</v>
      </c>
      <c r="AG42">
        <f t="shared" si="46"/>
        <v>2.7494855566897725</v>
      </c>
      <c r="AH42">
        <f t="shared" si="46"/>
        <v>-0.38720579978844372</v>
      </c>
      <c r="AI42">
        <f t="shared" si="46"/>
        <v>9.7363064134588271</v>
      </c>
      <c r="AJ42">
        <f t="shared" si="46"/>
        <v>-1.3379095505856506</v>
      </c>
      <c r="AK42">
        <f t="shared" si="46"/>
        <v>10.408704507789869</v>
      </c>
      <c r="AL42">
        <f t="shared" si="46"/>
        <v>-9.349015745723932E-2</v>
      </c>
      <c r="AN42" s="235" t="s">
        <v>259</v>
      </c>
      <c r="AO42">
        <f t="shared" ref="AO42:BX42" si="47">KURT(AO5:AO34)</f>
        <v>7.3153486177988114E-3</v>
      </c>
      <c r="AP42">
        <f t="shared" si="47"/>
        <v>1.7574794217426981</v>
      </c>
      <c r="AQ42">
        <f t="shared" si="47"/>
        <v>0.58991427035149036</v>
      </c>
      <c r="AR42">
        <f t="shared" si="47"/>
        <v>2.0239302973118813</v>
      </c>
      <c r="AS42">
        <f t="shared" si="47"/>
        <v>0.11798728344899567</v>
      </c>
      <c r="AT42">
        <f t="shared" si="47"/>
        <v>-0.13568060917715075</v>
      </c>
      <c r="AU42">
        <f t="shared" si="47"/>
        <v>2.384794146873856</v>
      </c>
      <c r="AV42">
        <f t="shared" si="47"/>
        <v>6.4074323671616682</v>
      </c>
      <c r="AW42">
        <f t="shared" si="47"/>
        <v>-0.45363311739678869</v>
      </c>
      <c r="AX42">
        <f t="shared" si="47"/>
        <v>-1.1758508131238075</v>
      </c>
      <c r="AY42">
        <f t="shared" si="47"/>
        <v>0.30581983743337826</v>
      </c>
      <c r="AZ42">
        <f t="shared" si="47"/>
        <v>0.34109271412389663</v>
      </c>
      <c r="BA42">
        <f t="shared" si="47"/>
        <v>-0.51525211105311808</v>
      </c>
      <c r="BB42">
        <f t="shared" si="47"/>
        <v>-0.79086844619129204</v>
      </c>
      <c r="BC42">
        <f t="shared" si="47"/>
        <v>0.32017762518443682</v>
      </c>
      <c r="BD42">
        <f t="shared" si="47"/>
        <v>0.24655914070869045</v>
      </c>
      <c r="BE42">
        <f t="shared" si="47"/>
        <v>-6.0070788766690697E-3</v>
      </c>
      <c r="BF42">
        <f t="shared" si="47"/>
        <v>9.6994564151282585</v>
      </c>
      <c r="BG42">
        <f t="shared" si="47"/>
        <v>10.63915807392245</v>
      </c>
      <c r="BH42">
        <f t="shared" si="47"/>
        <v>14.482866175984528</v>
      </c>
      <c r="BI42">
        <f t="shared" si="47"/>
        <v>-0.60346041389690441</v>
      </c>
      <c r="BJ42">
        <f t="shared" si="47"/>
        <v>1.8097513160416097</v>
      </c>
      <c r="BK42">
        <f t="shared" si="47"/>
        <v>-1.0273588538287179</v>
      </c>
      <c r="BL42">
        <f t="shared" si="47"/>
        <v>-0.34890694984089121</v>
      </c>
      <c r="BM42">
        <f t="shared" si="47"/>
        <v>11.97226305011532</v>
      </c>
      <c r="BN42">
        <f t="shared" si="47"/>
        <v>-0.39290786625754803</v>
      </c>
      <c r="BO42">
        <f t="shared" si="47"/>
        <v>13.396977264091936</v>
      </c>
      <c r="BP42">
        <f t="shared" si="47"/>
        <v>0.7405886425729169</v>
      </c>
      <c r="BQ42">
        <f t="shared" si="47"/>
        <v>7.8649781080837009</v>
      </c>
      <c r="BR42">
        <f t="shared" si="47"/>
        <v>0.35205262959907779</v>
      </c>
      <c r="BS42">
        <f t="shared" si="47"/>
        <v>5.8371342262927612</v>
      </c>
      <c r="BT42">
        <f t="shared" si="47"/>
        <v>12.389655459839446</v>
      </c>
      <c r="BU42">
        <f t="shared" si="47"/>
        <v>10.747821212508262</v>
      </c>
      <c r="BV42">
        <f t="shared" si="47"/>
        <v>4.1615361300862848</v>
      </c>
      <c r="BW42">
        <f t="shared" si="47"/>
        <v>9.4108041150666821</v>
      </c>
      <c r="BX42">
        <f t="shared" si="47"/>
        <v>-0.89123575425771584</v>
      </c>
    </row>
    <row r="43" spans="1:76" x14ac:dyDescent="0.2">
      <c r="A43" s="235"/>
      <c r="B43" s="235" t="s">
        <v>258</v>
      </c>
      <c r="C43">
        <f t="shared" ref="C43:AL43" si="48">_xlfn.VAR.S(C5:C34)</f>
        <v>4.6412379288537551</v>
      </c>
      <c r="D43">
        <f t="shared" si="48"/>
        <v>2.2041486230782792</v>
      </c>
      <c r="E43">
        <f t="shared" si="48"/>
        <v>1.3892581030310649</v>
      </c>
      <c r="F43">
        <f t="shared" si="48"/>
        <v>17.388000467394932</v>
      </c>
      <c r="G43">
        <f t="shared" si="48"/>
        <v>1.2402353276353302</v>
      </c>
      <c r="H43">
        <f t="shared" si="48"/>
        <v>0.67101275446431974</v>
      </c>
      <c r="I43">
        <f t="shared" si="48"/>
        <v>0.39299405275586718</v>
      </c>
      <c r="J43">
        <f t="shared" si="48"/>
        <v>176.35537346760626</v>
      </c>
      <c r="K43">
        <f t="shared" si="48"/>
        <v>1.6301481481481483</v>
      </c>
      <c r="L43">
        <f t="shared" si="48"/>
        <v>1.2974451263547226</v>
      </c>
      <c r="M43">
        <f t="shared" si="48"/>
        <v>2.0815476087075639</v>
      </c>
      <c r="N43">
        <f t="shared" si="48"/>
        <v>9.1205422599244503</v>
      </c>
      <c r="O43">
        <f t="shared" si="48"/>
        <v>1.9666277692307699</v>
      </c>
      <c r="P43">
        <f t="shared" si="48"/>
        <v>4.3265352396543344</v>
      </c>
      <c r="Q43">
        <f t="shared" si="48"/>
        <v>1.9039604342285443</v>
      </c>
      <c r="R43">
        <f t="shared" si="48"/>
        <v>11.671995068624479</v>
      </c>
      <c r="S43">
        <f t="shared" si="48"/>
        <v>1.0093387464387463E-2</v>
      </c>
      <c r="T43">
        <f t="shared" si="48"/>
        <v>5.1969363512398004E-2</v>
      </c>
      <c r="U43">
        <f t="shared" si="48"/>
        <v>6.6400365378610174E-2</v>
      </c>
      <c r="V43">
        <f t="shared" si="48"/>
        <v>134728.25825931193</v>
      </c>
      <c r="W43">
        <f t="shared" si="48"/>
        <v>1.0127746438746441</v>
      </c>
      <c r="X43">
        <f t="shared" si="48"/>
        <v>0.31683624446649883</v>
      </c>
      <c r="Y43">
        <f t="shared" si="48"/>
        <v>1.6386736041812793</v>
      </c>
      <c r="Z43">
        <f t="shared" si="48"/>
        <v>6.1418951720974082</v>
      </c>
      <c r="AA43">
        <f t="shared" si="48"/>
        <v>4.0054146245059291E-2</v>
      </c>
      <c r="AB43">
        <f t="shared" si="48"/>
        <v>1.8301642653938913E-2</v>
      </c>
      <c r="AC43">
        <f t="shared" si="48"/>
        <v>4.4063125855095947E-2</v>
      </c>
      <c r="AD43">
        <f t="shared" si="48"/>
        <v>405.40577601932455</v>
      </c>
      <c r="AE43">
        <f t="shared" si="48"/>
        <v>1.0999766758893295</v>
      </c>
      <c r="AF43">
        <f t="shared" si="48"/>
        <v>0.56415525918211928</v>
      </c>
      <c r="AG43">
        <f t="shared" si="48"/>
        <v>1.3234350003299717</v>
      </c>
      <c r="AH43">
        <f t="shared" si="48"/>
        <v>2.3047697236294598</v>
      </c>
      <c r="AI43">
        <f t="shared" si="48"/>
        <v>0.39951296442687673</v>
      </c>
      <c r="AJ43">
        <f t="shared" si="48"/>
        <v>4.4649881532155593E-2</v>
      </c>
      <c r="AK43">
        <f t="shared" si="48"/>
        <v>0.44264786158245167</v>
      </c>
      <c r="AL43">
        <f t="shared" si="48"/>
        <v>430.80076716396997</v>
      </c>
      <c r="AN43" s="235" t="s">
        <v>258</v>
      </c>
      <c r="AO43">
        <f t="shared" ref="AO43:BX43" si="49">_xlfn.VAR.S(AO5:AO34)</f>
        <v>2.1665756157635467</v>
      </c>
      <c r="AP43">
        <f t="shared" si="49"/>
        <v>2.0276330340039554</v>
      </c>
      <c r="AQ43">
        <f t="shared" si="49"/>
        <v>1.9949898459765134</v>
      </c>
      <c r="AR43">
        <f t="shared" si="49"/>
        <v>15.279554854157416</v>
      </c>
      <c r="AS43">
        <f t="shared" si="49"/>
        <v>0.61846657881773426</v>
      </c>
      <c r="AT43">
        <f t="shared" si="49"/>
        <v>0.70869767224552405</v>
      </c>
      <c r="AU43">
        <f t="shared" si="49"/>
        <v>0.46426526280048447</v>
      </c>
      <c r="AV43">
        <f t="shared" si="49"/>
        <v>489.88983342235275</v>
      </c>
      <c r="AW43">
        <f t="shared" si="49"/>
        <v>1.9398305418719226</v>
      </c>
      <c r="AX43">
        <f t="shared" si="49"/>
        <v>1.0000705442034097</v>
      </c>
      <c r="AY43">
        <f t="shared" si="49"/>
        <v>2.8518213401296579</v>
      </c>
      <c r="AZ43">
        <f t="shared" si="49"/>
        <v>14.278978951275755</v>
      </c>
      <c r="BA43">
        <f t="shared" si="49"/>
        <v>4.05067283004926</v>
      </c>
      <c r="BB43">
        <f t="shared" si="49"/>
        <v>3.1581619501270803</v>
      </c>
      <c r="BC43">
        <f t="shared" si="49"/>
        <v>3.4368254517053138</v>
      </c>
      <c r="BD43">
        <f t="shared" si="49"/>
        <v>34.378855854825972</v>
      </c>
      <c r="BE43">
        <f t="shared" si="49"/>
        <v>9.6425862068965599E-4</v>
      </c>
      <c r="BF43">
        <f t="shared" si="49"/>
        <v>2.6782617822058343E-2</v>
      </c>
      <c r="BG43">
        <f t="shared" si="49"/>
        <v>2.713800351740836E-2</v>
      </c>
      <c r="BH43">
        <f t="shared" si="49"/>
        <v>82945.719880885517</v>
      </c>
      <c r="BI43">
        <f t="shared" si="49"/>
        <v>1.1242113300492609</v>
      </c>
      <c r="BJ43">
        <f t="shared" si="49"/>
        <v>0.41689977895510694</v>
      </c>
      <c r="BK43">
        <f t="shared" si="49"/>
        <v>1.6233095031596352</v>
      </c>
      <c r="BL43">
        <f t="shared" si="49"/>
        <v>4.041215393359268</v>
      </c>
      <c r="BM43">
        <f t="shared" si="49"/>
        <v>0.11819936206896532</v>
      </c>
      <c r="BN43">
        <f t="shared" si="49"/>
        <v>1.8286801410427728E-2</v>
      </c>
      <c r="BO43">
        <f t="shared" si="49"/>
        <v>0.12647745179722869</v>
      </c>
      <c r="BP43">
        <f t="shared" si="49"/>
        <v>428.1864289985794</v>
      </c>
      <c r="BQ43">
        <f t="shared" si="49"/>
        <v>1.6338091354679791</v>
      </c>
      <c r="BR43">
        <f t="shared" si="49"/>
        <v>0.78663936428616188</v>
      </c>
      <c r="BS43">
        <f t="shared" si="49"/>
        <v>2.4120789516142405</v>
      </c>
      <c r="BT43">
        <f t="shared" si="49"/>
        <v>3.7386432002944261</v>
      </c>
      <c r="BU43">
        <f t="shared" si="49"/>
        <v>0.59806574384236377</v>
      </c>
      <c r="BV43">
        <f t="shared" si="49"/>
        <v>8.5526996110533632E-2</v>
      </c>
      <c r="BW43">
        <f t="shared" si="49"/>
        <v>0.71883291699160679</v>
      </c>
      <c r="BX43">
        <f t="shared" si="49"/>
        <v>660.84804881915716</v>
      </c>
    </row>
    <row r="44" spans="1:76" x14ac:dyDescent="0.2">
      <c r="A44" s="235"/>
      <c r="B44" s="235" t="s">
        <v>266</v>
      </c>
      <c r="C44">
        <f t="shared" ref="C44:AL44" si="50">_xlfn.STDEV.S(C5:C34)</f>
        <v>2.1543532507120915</v>
      </c>
      <c r="D44">
        <f t="shared" si="50"/>
        <v>1.4846375392931028</v>
      </c>
      <c r="E44">
        <f t="shared" si="50"/>
        <v>1.1786679358627963</v>
      </c>
      <c r="F44">
        <f t="shared" si="50"/>
        <v>4.1698921409785807</v>
      </c>
      <c r="G44">
        <f t="shared" si="50"/>
        <v>1.1136585327807309</v>
      </c>
      <c r="H44">
        <f t="shared" si="50"/>
        <v>0.81915368183529502</v>
      </c>
      <c r="I44">
        <f t="shared" si="50"/>
        <v>0.62689237733112302</v>
      </c>
      <c r="J44">
        <f t="shared" si="50"/>
        <v>13.279886048743274</v>
      </c>
      <c r="K44">
        <f t="shared" si="50"/>
        <v>1.2767725514547015</v>
      </c>
      <c r="L44">
        <f t="shared" si="50"/>
        <v>1.1390544878778726</v>
      </c>
      <c r="M44">
        <f t="shared" si="50"/>
        <v>1.4427569472047479</v>
      </c>
      <c r="N44">
        <f t="shared" si="50"/>
        <v>3.0200235528757804</v>
      </c>
      <c r="O44">
        <f t="shared" si="50"/>
        <v>1.4023650627531941</v>
      </c>
      <c r="P44">
        <f t="shared" si="50"/>
        <v>2.0800325092782406</v>
      </c>
      <c r="Q44">
        <f t="shared" si="50"/>
        <v>1.3798407278481617</v>
      </c>
      <c r="R44">
        <f t="shared" si="50"/>
        <v>3.4164301644588728</v>
      </c>
      <c r="S44">
        <f t="shared" si="50"/>
        <v>0.10046585223043432</v>
      </c>
      <c r="T44">
        <f t="shared" si="50"/>
        <v>0.22796790017982357</v>
      </c>
      <c r="U44">
        <f t="shared" si="50"/>
        <v>0.25768268350552814</v>
      </c>
      <c r="V44">
        <f t="shared" si="50"/>
        <v>367.0534814700876</v>
      </c>
      <c r="W44">
        <f t="shared" si="50"/>
        <v>1.0063670522600807</v>
      </c>
      <c r="X44">
        <f t="shared" si="50"/>
        <v>0.56288208753388025</v>
      </c>
      <c r="Y44">
        <f t="shared" si="50"/>
        <v>1.2801068721717259</v>
      </c>
      <c r="Z44">
        <f t="shared" si="50"/>
        <v>2.4782847237751775</v>
      </c>
      <c r="AA44">
        <f t="shared" si="50"/>
        <v>0.20013531983400454</v>
      </c>
      <c r="AB44">
        <f t="shared" si="50"/>
        <v>0.13528356387210869</v>
      </c>
      <c r="AC44">
        <f t="shared" si="50"/>
        <v>0.20991218605668407</v>
      </c>
      <c r="AD44">
        <f t="shared" si="50"/>
        <v>20.134690859790336</v>
      </c>
      <c r="AE44">
        <f t="shared" si="50"/>
        <v>1.0487977287777321</v>
      </c>
      <c r="AF44">
        <f t="shared" si="50"/>
        <v>0.75110269549650754</v>
      </c>
      <c r="AG44">
        <f t="shared" si="50"/>
        <v>1.1504064500557929</v>
      </c>
      <c r="AH44">
        <f t="shared" si="50"/>
        <v>1.5181468056908922</v>
      </c>
      <c r="AI44">
        <f t="shared" si="50"/>
        <v>0.63207037933040078</v>
      </c>
      <c r="AJ44">
        <f t="shared" si="50"/>
        <v>0.21130518576730575</v>
      </c>
      <c r="AK44">
        <f t="shared" si="50"/>
        <v>0.66531786507086343</v>
      </c>
      <c r="AL44">
        <f t="shared" si="50"/>
        <v>20.755740583365604</v>
      </c>
      <c r="AN44" s="235" t="s">
        <v>266</v>
      </c>
      <c r="AO44">
        <f t="shared" ref="AO44:BX44" si="51">_xlfn.STDEV.S(AO5:AO34)</f>
        <v>1.4719292156090751</v>
      </c>
      <c r="AP44">
        <f t="shared" si="51"/>
        <v>1.4239498003806017</v>
      </c>
      <c r="AQ44">
        <f t="shared" si="51"/>
        <v>1.4124410946926294</v>
      </c>
      <c r="AR44">
        <f t="shared" si="51"/>
        <v>3.9089071176170731</v>
      </c>
      <c r="AS44">
        <f t="shared" si="51"/>
        <v>0.78642646116323822</v>
      </c>
      <c r="AT44">
        <f t="shared" si="51"/>
        <v>0.84184183327126483</v>
      </c>
      <c r="AU44">
        <f t="shared" si="51"/>
        <v>0.68137013641667954</v>
      </c>
      <c r="AV44">
        <f t="shared" si="51"/>
        <v>22.133455071957311</v>
      </c>
      <c r="AW44">
        <f t="shared" si="51"/>
        <v>1.392777994467145</v>
      </c>
      <c r="AX44">
        <f t="shared" si="51"/>
        <v>1.0000352714796663</v>
      </c>
      <c r="AY44">
        <f t="shared" si="51"/>
        <v>1.6887336498482104</v>
      </c>
      <c r="AZ44">
        <f t="shared" si="51"/>
        <v>3.7787536240506281</v>
      </c>
      <c r="BA44">
        <f t="shared" si="51"/>
        <v>2.0126283387772466</v>
      </c>
      <c r="BB44">
        <f t="shared" si="51"/>
        <v>1.7771218163443609</v>
      </c>
      <c r="BC44">
        <f t="shared" si="51"/>
        <v>1.8538677007017825</v>
      </c>
      <c r="BD44">
        <f t="shared" si="51"/>
        <v>5.863348518963031</v>
      </c>
      <c r="BE44">
        <f t="shared" si="51"/>
        <v>3.1052513918999474E-2</v>
      </c>
      <c r="BF44">
        <f t="shared" si="51"/>
        <v>0.16365395755085896</v>
      </c>
      <c r="BG44">
        <f t="shared" si="51"/>
        <v>0.16473616335646632</v>
      </c>
      <c r="BH44">
        <f t="shared" si="51"/>
        <v>288.0029858888368</v>
      </c>
      <c r="BI44">
        <f t="shared" si="51"/>
        <v>1.0602883240181704</v>
      </c>
      <c r="BJ44">
        <f t="shared" si="51"/>
        <v>0.64567776712157821</v>
      </c>
      <c r="BK44">
        <f t="shared" si="51"/>
        <v>1.2740916384466368</v>
      </c>
      <c r="BL44">
        <f t="shared" si="51"/>
        <v>2.0102774418868825</v>
      </c>
      <c r="BM44">
        <f t="shared" si="51"/>
        <v>0.34380134099355303</v>
      </c>
      <c r="BN44">
        <f t="shared" si="51"/>
        <v>0.13522870039465634</v>
      </c>
      <c r="BO44">
        <f t="shared" si="51"/>
        <v>0.35563668511168628</v>
      </c>
      <c r="BP44">
        <f t="shared" si="51"/>
        <v>20.692666067923181</v>
      </c>
      <c r="BQ44">
        <f t="shared" si="51"/>
        <v>1.2782054355493795</v>
      </c>
      <c r="BR44">
        <f t="shared" si="51"/>
        <v>0.88692692161539544</v>
      </c>
      <c r="BS44">
        <f t="shared" si="51"/>
        <v>1.5530869105153904</v>
      </c>
      <c r="BT44">
        <f t="shared" si="51"/>
        <v>1.9335571365476703</v>
      </c>
      <c r="BU44">
        <f t="shared" si="51"/>
        <v>0.77334710437316811</v>
      </c>
      <c r="BV44">
        <f t="shared" si="51"/>
        <v>0.2924499890759677</v>
      </c>
      <c r="BW44">
        <f t="shared" si="51"/>
        <v>0.84784014825414278</v>
      </c>
      <c r="BX44">
        <f t="shared" si="51"/>
        <v>25.706964986539294</v>
      </c>
    </row>
    <row r="47" spans="1:76" x14ac:dyDescent="0.2">
      <c r="C47">
        <v>95</v>
      </c>
    </row>
    <row r="48" spans="1:76" x14ac:dyDescent="0.2">
      <c r="B48" s="235" t="s">
        <v>256</v>
      </c>
      <c r="C48">
        <f>(100-C47)/100</f>
        <v>0.05</v>
      </c>
    </row>
    <row r="49" spans="2:76" x14ac:dyDescent="0.2">
      <c r="B49" s="235" t="s">
        <v>255</v>
      </c>
      <c r="E49">
        <f>E40/SQRT(C43/C37+D43/D37)</f>
        <v>-1.0628301729776606</v>
      </c>
      <c r="I49">
        <f>I40/SQRT(G43/G37+H43/H37)</f>
        <v>1.5173096688449783</v>
      </c>
      <c r="M49">
        <f>M40/SQRT(K43/K37+L43/L37)</f>
        <v>0.65554119013344403</v>
      </c>
      <c r="Q49">
        <f>Q40/SQRT(O43/O37+P43/P37)</f>
        <v>-0.98746654797673539</v>
      </c>
      <c r="U49">
        <f>U40/SQRT(S43/S37+T43/T37)</f>
        <v>-2.6011130613086122</v>
      </c>
      <c r="Y49">
        <f>Y40/SQRT(W43/W37+X43/X37)</f>
        <v>-0.83469435711383433</v>
      </c>
      <c r="AC49">
        <f>AC40/SQRT(AA43/AA37+AB43/AB37)</f>
        <v>-0.81290664445512073</v>
      </c>
      <c r="AG49">
        <f>AG40/SQRT(AE43/AE37+AF43/AF37)</f>
        <v>3.0315337910407112</v>
      </c>
      <c r="AK49">
        <f>AK40/SQRT(AI43/AI37+AJ43/AJ37)</f>
        <v>0.5794875710331282</v>
      </c>
      <c r="AQ49">
        <f>AQ40/SQRT(AO43/AO37+AP43/AP37)</f>
        <v>0.57201461940858334</v>
      </c>
      <c r="AU49">
        <f>AU40/SQRT(AS43/AS37+AT43/AT37)</f>
        <v>0.88823756562346012</v>
      </c>
      <c r="AY49">
        <f>AY40/SQRT(AW43/AW37+AX43/AX37)</f>
        <v>0.59843146267558223</v>
      </c>
      <c r="BC49">
        <f>BC40/SQRT(BA43/BA37+BB43/BB37)</f>
        <v>-0.2911443528492072</v>
      </c>
      <c r="BG49">
        <f>BG40/SQRT(BE43/BE37+BF43/BF37)</f>
        <v>-3.5126916584563701</v>
      </c>
      <c r="BK49">
        <f>BK40/SQRT(BI43/BI37+BJ43/BJ37)</f>
        <v>1.0493897406892239</v>
      </c>
      <c r="BO49">
        <f>BO40/SQRT(BM43/BM37+BN43/BN37)</f>
        <v>0.71885148794142417</v>
      </c>
      <c r="BS49">
        <f>BS40/SQRT(BQ43/BQ37+BR43/BR37)</f>
        <v>1.2294701346495722</v>
      </c>
      <c r="BW49">
        <f>BW40/SQRT(BU43/BU37+BV43/BV37)</f>
        <v>1.5404853784265211</v>
      </c>
    </row>
    <row r="51" spans="2:76" x14ac:dyDescent="0.2">
      <c r="B51" s="6" t="s">
        <v>253</v>
      </c>
      <c r="E51">
        <f>_xlfn.T.INV.2T(0.05,E37-1)</f>
        <v>2.0738730679040258</v>
      </c>
      <c r="I51">
        <f>_xlfn.T.INV.2T(0.05,I37-1)</f>
        <v>2.0555294386428731</v>
      </c>
      <c r="M51">
        <f>_xlfn.T.INV.2T(0.05,M37-1)</f>
        <v>2.0555294386428731</v>
      </c>
      <c r="Q51">
        <f>_xlfn.T.INV.2T(0.05,Q37-1)</f>
        <v>2.0555294386428731</v>
      </c>
      <c r="U51">
        <f>_xlfn.T.INV.2T(0.05,U37-1)</f>
        <v>2.0555294386428731</v>
      </c>
      <c r="Y51">
        <f>_xlfn.T.INV.2T(0.05,Y37-1)</f>
        <v>2.0555294386428731</v>
      </c>
      <c r="AC51">
        <f>_xlfn.T.INV.2T(0.05,AC37-1)</f>
        <v>2.0738730679040258</v>
      </c>
      <c r="AG51">
        <f>_xlfn.T.INV.2T(0.05,AG37-1)</f>
        <v>2.0738730679040258</v>
      </c>
      <c r="AK51">
        <f>_xlfn.T.INV.2T(0.05,AK37-1)</f>
        <v>2.0738730679040258</v>
      </c>
      <c r="AQ51">
        <f>_xlfn.T.INV.2T(0.05,AQ37-1)</f>
        <v>2.0484071417952445</v>
      </c>
      <c r="AU51">
        <f>_xlfn.T.INV.2T(0.05,AU37-1)</f>
        <v>2.0484071417952445</v>
      </c>
      <c r="AY51">
        <f>_xlfn.T.INV.2T(0.05,AY37-1)</f>
        <v>2.0484071417952445</v>
      </c>
      <c r="BC51">
        <f>_xlfn.T.INV.2T(0.05,BC37-1)</f>
        <v>2.0484071417952445</v>
      </c>
      <c r="BG51">
        <f>_xlfn.T.INV.2T(0.05,BG37-1)</f>
        <v>2.0484071417952445</v>
      </c>
      <c r="BK51">
        <f>_xlfn.T.INV.2T(0.05,BK37-1)</f>
        <v>2.0484071417952445</v>
      </c>
      <c r="BO51">
        <f>_xlfn.T.INV.2T(0.05,BO37-1)</f>
        <v>2.0484071417952445</v>
      </c>
      <c r="BS51">
        <f>_xlfn.T.INV.2T(0.05,BS37-1)</f>
        <v>2.0484071417952445</v>
      </c>
      <c r="BW51">
        <f>_xlfn.T.INV.2T(0.05,BW37-1)</f>
        <v>2.0484071417952445</v>
      </c>
    </row>
    <row r="52" spans="2:76" x14ac:dyDescent="0.2">
      <c r="B52" t="s">
        <v>245</v>
      </c>
      <c r="E52" t="str">
        <f>IF(AND(E49&gt;-E51,E49&lt;E51),"Aceptado","Rechazado")</f>
        <v>Aceptado</v>
      </c>
      <c r="I52" t="str">
        <f>IF(AND(I49&gt;-I51,I49&lt;I51),"Aceptado","Rechazado")</f>
        <v>Aceptado</v>
      </c>
      <c r="M52" t="str">
        <f>IF(AND(M49&gt;-M51,M49&lt;M51),"Aceptado","Rechazado")</f>
        <v>Aceptado</v>
      </c>
      <c r="Q52" t="str">
        <f>IF(AND(Q49&gt;-Q51,Q49&lt;Q51),"Aceptado","Rechazado")</f>
        <v>Aceptado</v>
      </c>
      <c r="U52" t="str">
        <f>IF(AND(U49&gt;-U51,U49&lt;U51),"Aceptado","Rechazado")</f>
        <v>Rechazado</v>
      </c>
      <c r="Y52" t="str">
        <f>IF(AND(Y49&gt;-Y51,Y49&lt;Y51),"Aceptado","Rechazado")</f>
        <v>Aceptado</v>
      </c>
      <c r="AC52" t="str">
        <f>IF(AND(AC49&gt;-AC51,AC49&lt;AC51),"Aceptado","Rechazado")</f>
        <v>Aceptado</v>
      </c>
      <c r="AG52" t="str">
        <f>IF(AND(AG49&gt;-AG51,AG49&lt;AG51),"Aceptado","Rechazado")</f>
        <v>Rechazado</v>
      </c>
      <c r="AK52" t="str">
        <f>IF(AND(AK49&gt;-AK51,AK49&lt;AK51),"Aceptado","Rechazado")</f>
        <v>Aceptado</v>
      </c>
      <c r="AQ52" t="str">
        <f>IF(AND(AQ49&gt;-AQ51,AQ49&lt;AQ51),"Aceptado","Rechazado")</f>
        <v>Aceptado</v>
      </c>
      <c r="AU52" t="str">
        <f>IF(AND(AU49&gt;-AU51,AU49&lt;AU51),"Aceptado","Rechazado")</f>
        <v>Aceptado</v>
      </c>
      <c r="AY52" t="str">
        <f>IF(AND(AY49&gt;-AY51,AY49&lt;AY51),"Aceptado","Rechazado")</f>
        <v>Aceptado</v>
      </c>
      <c r="BC52" t="str">
        <f>IF(AND(BC49&gt;-BC51,BC49&lt;BC51),"Aceptado","Rechazado")</f>
        <v>Aceptado</v>
      </c>
      <c r="BG52" t="str">
        <f>IF(AND(BG49&gt;-BG51,BG49&lt;BG51),"Aceptado","Rechazado")</f>
        <v>Rechazado</v>
      </c>
      <c r="BK52" t="str">
        <f>IF(AND(BK49&gt;-BK51,BK49&lt;BK51),"Aceptado","Rechazado")</f>
        <v>Aceptado</v>
      </c>
      <c r="BO52" t="str">
        <f>IF(AND(BO49&gt;-BO51,BO49&lt;BO51),"Aceptado","Rechazado")</f>
        <v>Aceptado</v>
      </c>
      <c r="BS52" t="str">
        <f>IF(AND(BS49&gt;-BS51,BS49&lt;BS51),"Aceptado","Rechazado")</f>
        <v>Aceptado</v>
      </c>
      <c r="BW52" t="str">
        <f>IF(AND(BW49&gt;-BW51,BW49&lt;BW51),"Aceptado","Rechazado")</f>
        <v>Aceptado</v>
      </c>
    </row>
    <row r="53" spans="2:76" x14ac:dyDescent="0.2">
      <c r="B53" t="s">
        <v>246</v>
      </c>
      <c r="E53">
        <f>_xlfn.T.DIST.2T(IF(E49&gt;0,E49,-E49),E37-1)</f>
        <v>0.29938687851163148</v>
      </c>
      <c r="I53">
        <f>_xlfn.T.DIST.2T(IF(I49&gt;0,I49,-I49),I37-1)</f>
        <v>0.14125466955989044</v>
      </c>
      <c r="M53">
        <f>_xlfn.T.DIST.2T(IF(M49&gt;0,M49,-M49),M37-1)</f>
        <v>0.51787840329437651</v>
      </c>
      <c r="Q53">
        <f>_xlfn.T.DIST.2T(IF(Q49&gt;0,Q49,-Q49),Q37-1)</f>
        <v>0.33251498575078731</v>
      </c>
      <c r="U53">
        <f>_xlfn.T.DIST.2T(IF(U49&gt;0,U49,-U49),U37-1)</f>
        <v>1.5130463117298432E-2</v>
      </c>
      <c r="Y53">
        <f>_xlfn.T.DIST.2T(IF(Y49&gt;0,Y49,-Y49),Y37-1)</f>
        <v>0.4114940352824763</v>
      </c>
      <c r="AC53">
        <f>_xlfn.T.DIST.2T(IF(AC49&gt;0,AC49,-AC49),AC37-1)</f>
        <v>0.42498180214836623</v>
      </c>
      <c r="AG53">
        <f>_xlfn.T.DIST.2T(IF(AG49&gt;0,AG49,-AG49),AG37-1)</f>
        <v>6.1292369849336925E-3</v>
      </c>
      <c r="AK53">
        <f>_xlfn.T.DIST.2T(IF(AK49&gt;0,AK49,-AK49),AK37-1)</f>
        <v>0.56814747787061237</v>
      </c>
      <c r="AQ53">
        <f>_xlfn.T.DIST.2T(IF(AQ49&gt;0,AQ49,-AQ49),AQ37-1)</f>
        <v>0.57187634297708867</v>
      </c>
      <c r="AU53">
        <f>_xlfn.T.DIST.2T(IF(AU49&gt;0,AU49,-AU49),AU37-1)</f>
        <v>0.38198011724707337</v>
      </c>
      <c r="AY53">
        <f>_xlfn.T.DIST.2T(IF(AY49&gt;0,AY49,-AY49),AY37-1)</f>
        <v>0.55436266317585647</v>
      </c>
      <c r="BC53">
        <f>_xlfn.T.DIST.2T(IF(BC49&gt;0,BC49,-BC49),BC37-1)</f>
        <v>0.77308680076289216</v>
      </c>
      <c r="BG53">
        <f>_xlfn.T.DIST.2T(IF(BG49&gt;0,BG49,-BG49),BG37-1)</f>
        <v>1.5252646815119499E-3</v>
      </c>
      <c r="BK53">
        <f>_xlfn.T.DIST.2T(IF(BK49&gt;0,BK49,-BK49),BK37-1)</f>
        <v>0.30297247169272234</v>
      </c>
      <c r="BO53">
        <f>_xlfn.T.DIST.2T(IF(BO49&gt;0,BO49,-BO49),BO37-1)</f>
        <v>0.47818908667373428</v>
      </c>
      <c r="BS53">
        <f>_xlfn.T.DIST.2T(IF(BS49&gt;0,BS49,-BS49),BS37-1)</f>
        <v>0.22912731034777983</v>
      </c>
      <c r="BW53">
        <f>_xlfn.T.DIST.2T(IF(BW49&gt;0,BW49,-BW49),BW37-1)</f>
        <v>0.13466865823599167</v>
      </c>
    </row>
    <row r="54" spans="2:76" x14ac:dyDescent="0.2">
      <c r="B54" t="s">
        <v>245</v>
      </c>
      <c r="E54" t="str">
        <f>IF(E53&gt;$C$48,"Aceptado","Rechazado")</f>
        <v>Aceptado</v>
      </c>
      <c r="I54" t="str">
        <f>IF(I53&gt;$C$48,"Aceptado","Rechazado")</f>
        <v>Aceptado</v>
      </c>
      <c r="M54" t="str">
        <f>IF(M53&gt;$C$48,"Aceptado","Rechazado")</f>
        <v>Aceptado</v>
      </c>
      <c r="Q54" t="str">
        <f>IF(Q53&gt;$C$48,"Aceptado","Rechazado")</f>
        <v>Aceptado</v>
      </c>
      <c r="U54" t="str">
        <f>IF(U53&gt;$C$48,"Aceptado","Rechazado")</f>
        <v>Rechazado</v>
      </c>
      <c r="Y54" t="str">
        <f>IF(Y53&gt;$C$48,"Aceptado","Rechazado")</f>
        <v>Aceptado</v>
      </c>
      <c r="AC54" t="str">
        <f>IF(AC53&gt;$C$48,"Aceptado","Rechazado")</f>
        <v>Aceptado</v>
      </c>
      <c r="AG54" t="str">
        <f>IF(AG53&gt;$C$48,"Aceptado","Rechazado")</f>
        <v>Rechazado</v>
      </c>
      <c r="AK54" t="str">
        <f>IF(AK53&gt;$C$48,"Aceptado","Rechazado")</f>
        <v>Aceptado</v>
      </c>
      <c r="AQ54" t="str">
        <f>IF(AQ53&gt;$C$48,"Aceptado","Rechazado")</f>
        <v>Aceptado</v>
      </c>
      <c r="AU54" t="str">
        <f>IF(AU53&gt;$C$48,"Aceptado","Rechazado")</f>
        <v>Aceptado</v>
      </c>
      <c r="AY54" t="str">
        <f>IF(AY53&gt;$C$48,"Aceptado","Rechazado")</f>
        <v>Aceptado</v>
      </c>
      <c r="BC54" t="str">
        <f>IF(BC53&gt;$C$48,"Aceptado","Rechazado")</f>
        <v>Aceptado</v>
      </c>
      <c r="BG54" t="str">
        <f>IF(BG53&gt;$C$48,"Aceptado","Rechazado")</f>
        <v>Rechazado</v>
      </c>
      <c r="BK54" t="str">
        <f>IF(BK53&gt;$C$48,"Aceptado","Rechazado")</f>
        <v>Aceptado</v>
      </c>
      <c r="BO54" t="str">
        <f>IF(BO53&gt;$C$48,"Aceptado","Rechazado")</f>
        <v>Aceptado</v>
      </c>
      <c r="BS54" t="str">
        <f>IF(BS53&gt;$C$48,"Aceptado","Rechazado")</f>
        <v>Aceptado</v>
      </c>
      <c r="BW54" t="str">
        <f>IF(BW53&gt;$C$48,"Aceptado","Rechazado")</f>
        <v>Aceptado</v>
      </c>
    </row>
    <row r="56" spans="2:76" x14ac:dyDescent="0.2">
      <c r="B56" t="s">
        <v>251</v>
      </c>
      <c r="E56">
        <f>IF(E37&lt;=30,-_xlfn.T.INV(0.025,28)*E44/SQRT(E37),_xlfn.CONFIDENCE.NORM(0.05,E44,E37))</f>
        <v>0.50343549515656694</v>
      </c>
      <c r="F56">
        <f>IF(F37&lt;=30,-_xlfn.T.INV(0.025,28)*F44/SQRT(F37),_xlfn.CONFIDENCE.NORM(0.05,F44,F37))</f>
        <v>1.7810544012180509</v>
      </c>
      <c r="I56">
        <f>IF(I37&lt;=30,-_xlfn.T.INV(0.025,28)*I44/SQRT(I37),_xlfn.CONFIDENCE.NORM(0.05,I44,I37))</f>
        <v>0.24713109208470421</v>
      </c>
      <c r="J56">
        <f>IF(J37&lt;=30,-_xlfn.T.INV(0.025,28)*J44/SQRT(J37),_xlfn.CONFIDENCE.NORM(0.05,J44,J37))</f>
        <v>5.2351453944268904</v>
      </c>
      <c r="M56">
        <f>IF(M37&lt;=30,-_xlfn.T.INV(0.025,28)*M44/SQRT(M37),_xlfn.CONFIDENCE.NORM(0.05,M44,M37))</f>
        <v>0.56875807214860163</v>
      </c>
      <c r="N56">
        <f>IF(N37&lt;=30,-_xlfn.T.INV(0.025,28)*N44/SQRT(N37),_xlfn.CONFIDENCE.NORM(0.05,N44,N37))</f>
        <v>1.1905420224140073</v>
      </c>
      <c r="Q56">
        <f>IF(Q37&lt;=30,-_xlfn.T.INV(0.025,28)*Q44/SQRT(Q37),_xlfn.CONFIDENCE.NORM(0.05,Q44,Q37))</f>
        <v>0.54395548312107356</v>
      </c>
      <c r="R56">
        <f>IF(R37&lt;=30,-_xlfn.T.INV(0.025,28)*R44/SQRT(R37),_xlfn.CONFIDENCE.NORM(0.05,R44,R37))</f>
        <v>1.3468119060058159</v>
      </c>
      <c r="U56">
        <f>IF(U37&lt;=30,-_xlfn.T.INV(0.025,28)*U44/SQRT(U37),_xlfn.CONFIDENCE.NORM(0.05,U44,U37))</f>
        <v>0.10158267238333639</v>
      </c>
      <c r="V56">
        <f>IF(V37&lt;=30,-_xlfn.T.INV(0.025,28)*V44/SQRT(V37),_xlfn.CONFIDENCE.NORM(0.05,V44,V37))</f>
        <v>144.69840599335046</v>
      </c>
      <c r="Y56">
        <f>IF(Y37&lt;=30,-_xlfn.T.INV(0.025,28)*Y44/SQRT(Y37),_xlfn.CONFIDENCE.NORM(0.05,Y44,Y37))</f>
        <v>0.50463878768434278</v>
      </c>
      <c r="Z56">
        <f>IF(Z37&lt;=30,-_xlfn.T.INV(0.025,28)*Z44/SQRT(Z37),_xlfn.CONFIDENCE.NORM(0.05,Z44,Z37))</f>
        <v>0.97697983327032645</v>
      </c>
      <c r="AC56">
        <f>IF(AC37&lt;=30,-_xlfn.T.INV(0.025,28)*AC44/SQRT(AC37),_xlfn.CONFIDENCE.NORM(0.05,AC44,AC37))</f>
        <v>8.9658199830037269E-2</v>
      </c>
      <c r="AD56">
        <f>IF(AD37&lt;=30,-_xlfn.T.INV(0.025,28)*AD44/SQRT(AD37),_xlfn.CONFIDENCE.NORM(0.05,AD44,AD37))</f>
        <v>8.5999777837367919</v>
      </c>
      <c r="AG56">
        <f>IF(AG37&lt;=30,-_xlfn.T.INV(0.025,28)*AG44/SQRT(AG37),_xlfn.CONFIDENCE.NORM(0.05,AG44,AG37))</f>
        <v>0.49136438108940245</v>
      </c>
      <c r="AH56">
        <f>IF(AH37&lt;=30,-_xlfn.T.INV(0.025,28)*AH44/SQRT(AH37),_xlfn.CONFIDENCE.NORM(0.05,AH44,AH37))</f>
        <v>0.64843452985245387</v>
      </c>
      <c r="AK56">
        <f>IF(AK37&lt;=30,-_xlfn.T.INV(0.025,28)*AK44/SQRT(AK37),_xlfn.CONFIDENCE.NORM(0.05,AK44,AK37))</f>
        <v>0.28417217321965871</v>
      </c>
      <c r="AL56">
        <f>IF(AL37&lt;=30,-_xlfn.T.INV(0.025,28)*AL44/SQRT(AL37),_xlfn.CONFIDENCE.NORM(0.05,AL44,AL37))</f>
        <v>8.865242041456753</v>
      </c>
      <c r="AQ56">
        <f>IF(AQ37&lt;=30,-_xlfn.T.INV(0.025,28)*AQ44/SQRT(AQ37),_xlfn.CONFIDENCE.NORM(0.05,AQ44,AQ37))</f>
        <v>0.53726385901882967</v>
      </c>
      <c r="AR56">
        <f>IF(AR37&lt;=30,-_xlfn.T.INV(0.025,28)*AR44/SQRT(AR37),_xlfn.CONFIDENCE.NORM(0.05,AR44,AR37))</f>
        <v>1.4868687483311571</v>
      </c>
      <c r="AU56">
        <f>IF(AU37&lt;=30,-_xlfn.T.INV(0.025,28)*AU44/SQRT(AU37),_xlfn.CONFIDENCE.NORM(0.05,AU44,AU37))</f>
        <v>0.25917933872568027</v>
      </c>
      <c r="AV56">
        <f>IF(AV37&lt;=30,-_xlfn.T.INV(0.025,28)*AV44/SQRT(AV37),_xlfn.CONFIDENCE.NORM(0.05,AV44,AV37))</f>
        <v>8.4191160467243868</v>
      </c>
      <c r="AY56">
        <f>IF(AY37&lt;=30,-_xlfn.T.INV(0.025,28)*AY44/SQRT(AY37),_xlfn.CONFIDENCE.NORM(0.05,AY44,AY37))</f>
        <v>0.64235992635844774</v>
      </c>
      <c r="AZ56">
        <f>IF(AZ37&lt;=30,-_xlfn.T.INV(0.025,28)*AZ44/SQRT(AZ37),_xlfn.CONFIDENCE.NORM(0.05,AZ44,AZ37))</f>
        <v>1.4373610071014189</v>
      </c>
      <c r="BC56">
        <f>IF(BC37&lt;=30,-_xlfn.T.INV(0.025,28)*BC44/SQRT(BC37),_xlfn.CONFIDENCE.NORM(0.05,BC44,BC37))</f>
        <v>0.70517355996793207</v>
      </c>
      <c r="BD56">
        <f>IF(BD37&lt;=30,-_xlfn.T.INV(0.025,28)*BD44/SQRT(BD37),_xlfn.CONFIDENCE.NORM(0.05,BD44,BD37))</f>
        <v>2.2302984980452907</v>
      </c>
      <c r="BG56">
        <f>IF(BG37&lt;=30,-_xlfn.T.INV(0.025,28)*BG44/SQRT(BG37),_xlfn.CONFIDENCE.NORM(0.05,BG44,BG37))</f>
        <v>6.266228529984251E-2</v>
      </c>
      <c r="BH56">
        <f>IF(BH37&lt;=30,-_xlfn.T.INV(0.025,28)*BH44/SQRT(BH37),_xlfn.CONFIDENCE.NORM(0.05,BH44,BH37))</f>
        <v>109.55047696431873</v>
      </c>
      <c r="BK56">
        <f>IF(BK37&lt;=30,-_xlfn.T.INV(0.025,28)*BK44/SQRT(BK37),_xlfn.CONFIDENCE.NORM(0.05,BK44,BK37))</f>
        <v>0.48463854031691656</v>
      </c>
      <c r="BL56">
        <f>IF(BL37&lt;=30,-_xlfn.T.INV(0.025,28)*BL44/SQRT(BL37),_xlfn.CONFIDENCE.NORM(0.05,BL44,BL37))</f>
        <v>0.76466864365885956</v>
      </c>
      <c r="BO56">
        <f>IF(BO37&lt;=30,-_xlfn.T.INV(0.025,28)*BO44/SQRT(BO37),_xlfn.CONFIDENCE.NORM(0.05,BO44,BO37))</f>
        <v>0.13527696027093372</v>
      </c>
      <c r="BP56">
        <f>IF(BP37&lt;=30,-_xlfn.T.INV(0.025,28)*BP44/SQRT(BP37),_xlfn.CONFIDENCE.NORM(0.05,BP44,BP37))</f>
        <v>7.8710692196758387</v>
      </c>
      <c r="BS56">
        <f>IF(BS37&lt;=30,-_xlfn.T.INV(0.025,28)*BS44/SQRT(BS37),_xlfn.CONFIDENCE.NORM(0.05,BS44,BS37))</f>
        <v>0.59076266618871887</v>
      </c>
      <c r="BT56">
        <f>IF(BT37&lt;=30,-_xlfn.T.INV(0.025,28)*BT44/SQRT(BT37),_xlfn.CONFIDENCE.NORM(0.05,BT44,BT37))</f>
        <v>0.73548580023513566</v>
      </c>
      <c r="BW56">
        <f>IF(BW37&lt;=30,-_xlfn.T.INV(0.025,28)*BW44/SQRT(BW37),_xlfn.CONFIDENCE.NORM(0.05,BW44,BW37))</f>
        <v>0.3225011447158756</v>
      </c>
      <c r="BX56">
        <f>IF(BX37&lt;=30,-_xlfn.T.INV(0.025,28)*BX44/SQRT(BX37),_xlfn.CONFIDENCE.NORM(0.05,BX44,BX37))</f>
        <v>9.7784065220331424</v>
      </c>
    </row>
    <row r="57" spans="2:76" x14ac:dyDescent="0.2">
      <c r="B57" s="235" t="s">
        <v>250</v>
      </c>
      <c r="E57">
        <f>E40-E56</f>
        <v>-1.0832631776516841</v>
      </c>
      <c r="F57">
        <f>F40-F56</f>
        <v>3.0393465370043486</v>
      </c>
      <c r="I57">
        <f>I40-I56</f>
        <v>0.15656158786798788</v>
      </c>
      <c r="J57">
        <f>J40-J56</f>
        <v>16.817755327674629</v>
      </c>
      <c r="M57">
        <f>M40-M56</f>
        <v>-0.3528974255828462</v>
      </c>
      <c r="N57">
        <f>N40-N56</f>
        <v>2.9881499759413694</v>
      </c>
      <c r="Q57">
        <f>Q40-Q56</f>
        <v>-1.0206882474711172</v>
      </c>
      <c r="R57">
        <f>R40-R56</f>
        <v>3.9039366839178973</v>
      </c>
      <c r="U57">
        <f>U40-U56</f>
        <v>-0.22629025444758527</v>
      </c>
      <c r="V57">
        <f>V40-V56</f>
        <v>86.254563477299484</v>
      </c>
      <c r="Y57">
        <f>Y40-Y56</f>
        <v>-0.68986731630757014</v>
      </c>
      <c r="Z57">
        <f>Z40-Z56</f>
        <v>2.6676798959979706</v>
      </c>
      <c r="AC57">
        <f>AC40-AC56</f>
        <v>-0.13060488295698441</v>
      </c>
      <c r="AD57">
        <f>AD40-AD56</f>
        <v>19.87742297477115</v>
      </c>
      <c r="AG57">
        <f>AG40-AG56</f>
        <v>0.32407629804612742</v>
      </c>
      <c r="AH57">
        <f>AH40-AH56</f>
        <v>1.3106103525658741</v>
      </c>
      <c r="AK57">
        <f>AK40-AK56</f>
        <v>-0.20364335585625143</v>
      </c>
      <c r="AL57">
        <f>AL40-AL56</f>
        <v>19.806544905828222</v>
      </c>
      <c r="AQ57">
        <f>AQ40-AQ56</f>
        <v>-0.31972685382452737</v>
      </c>
      <c r="AR57">
        <f>AR40-AR56</f>
        <v>2.955225833517134</v>
      </c>
      <c r="AU57">
        <f>AU40-AU56</f>
        <v>-6.9162330897921481E-2</v>
      </c>
      <c r="AV57">
        <f>AV40-AV56</f>
        <v>14.782581766271115</v>
      </c>
      <c r="AY57">
        <f>AY40-AY56</f>
        <v>-0.45182184883958976</v>
      </c>
      <c r="AZ57">
        <f>AZ40-AZ56</f>
        <v>3.1724417026324057</v>
      </c>
      <c r="BC57">
        <f>BC40-BC56</f>
        <v>-0.85033187148295064</v>
      </c>
      <c r="BD57">
        <f>BD40-BD56</f>
        <v>3.6419997868842415</v>
      </c>
      <c r="BG57">
        <f>BG40-BG56</f>
        <v>-0.17131687610589924</v>
      </c>
      <c r="BH57">
        <f>BH40-BH56</f>
        <v>83.104805858926198</v>
      </c>
      <c r="BK57">
        <f>BK40-BK56</f>
        <v>-0.24272800049252943</v>
      </c>
      <c r="BL57">
        <f>BL40-BL56</f>
        <v>3.0179080715318967</v>
      </c>
      <c r="BO57">
        <f>BO40-BO56</f>
        <v>-8.5961341098212685E-2</v>
      </c>
      <c r="BP57">
        <f>BP40-BP56</f>
        <v>18.236402839864628</v>
      </c>
      <c r="BS57">
        <f>BS40-BS56</f>
        <v>-0.2355676136142984</v>
      </c>
      <c r="BT57">
        <f>BT40-BT56</f>
        <v>1.4397226356629131</v>
      </c>
      <c r="BW57">
        <f>BW40-BW56</f>
        <v>-8.5986899995021959E-2</v>
      </c>
      <c r="BX57">
        <f>BX40-BX56</f>
        <v>20.490885060608228</v>
      </c>
    </row>
    <row r="58" spans="2:76" x14ac:dyDescent="0.2">
      <c r="B58" s="235" t="s">
        <v>249</v>
      </c>
      <c r="E58">
        <f>E40+E56</f>
        <v>-7.6392187338550244E-2</v>
      </c>
      <c r="F58">
        <f>F40+F56</f>
        <v>6.6014553394404505</v>
      </c>
      <c r="I58">
        <f>I40+I56</f>
        <v>0.65082377203739628</v>
      </c>
      <c r="J58">
        <f>J40+J56</f>
        <v>27.28804611652841</v>
      </c>
      <c r="M58">
        <f>M40+M56</f>
        <v>0.78461871871435707</v>
      </c>
      <c r="N58">
        <f>N40+N56</f>
        <v>5.3692340207693841</v>
      </c>
      <c r="Q58">
        <f>Q40+Q56</f>
        <v>6.7222718771029921E-2</v>
      </c>
      <c r="R58">
        <f>R40+R56</f>
        <v>6.5975604959295291</v>
      </c>
      <c r="U58">
        <f>U40+U56</f>
        <v>-2.3124909680912492E-2</v>
      </c>
      <c r="V58">
        <f>V40+V56</f>
        <v>375.65137546400041</v>
      </c>
      <c r="Y58">
        <f>Y40+Y56</f>
        <v>0.31941025906111542</v>
      </c>
      <c r="Z58">
        <f>Z40+Z56</f>
        <v>4.6216395625386237</v>
      </c>
      <c r="AC58">
        <f>AC40+AC56</f>
        <v>4.8711516703090117E-2</v>
      </c>
      <c r="AD58">
        <f>AD40+AD56</f>
        <v>37.077378542244738</v>
      </c>
      <c r="AG58">
        <f>AG40+AG56</f>
        <v>1.3068050602249324</v>
      </c>
      <c r="AH58">
        <f>AH40+AH56</f>
        <v>2.6074794122707816</v>
      </c>
      <c r="AK58">
        <f>AK40+AK56</f>
        <v>0.36470099058306599</v>
      </c>
      <c r="AL58">
        <f>AL40+AL56</f>
        <v>37.537028988741724</v>
      </c>
      <c r="AQ58">
        <f>AQ40+AQ56</f>
        <v>0.75480086421313197</v>
      </c>
      <c r="AR58">
        <f>AR40+AR56</f>
        <v>5.9289633301794487</v>
      </c>
      <c r="AU58">
        <f>AU40+AU56</f>
        <v>0.4491963465534391</v>
      </c>
      <c r="AV58">
        <f>AV40+AV56</f>
        <v>31.620813859719888</v>
      </c>
      <c r="AY58">
        <f>AY40+AY56</f>
        <v>0.83289800387730573</v>
      </c>
      <c r="AZ58">
        <f>AZ40+AZ56</f>
        <v>6.0471637168352439</v>
      </c>
      <c r="BC58">
        <f>BC40+BC56</f>
        <v>0.56001524845291351</v>
      </c>
      <c r="BD58">
        <f>BD40+BD56</f>
        <v>8.1025967829748229</v>
      </c>
      <c r="BG58">
        <f>BG40+BG56</f>
        <v>-4.5992305506214207E-2</v>
      </c>
      <c r="BH58">
        <f>BH40+BH56</f>
        <v>302.20575978756369</v>
      </c>
      <c r="BK58">
        <f>BK40+BK56</f>
        <v>0.7265490801413037</v>
      </c>
      <c r="BL58">
        <f>BL40+BL56</f>
        <v>4.547245358849616</v>
      </c>
      <c r="BO58">
        <f>BO40+BO56</f>
        <v>0.18459257944365476</v>
      </c>
      <c r="BP58">
        <f>BP40+BP56</f>
        <v>33.978541279216302</v>
      </c>
      <c r="BS58">
        <f>BS40+BS56</f>
        <v>0.94595771876313939</v>
      </c>
      <c r="BT58">
        <f>BT40+BT56</f>
        <v>2.9106942361331845</v>
      </c>
      <c r="BW58">
        <f>BW40+BW56</f>
        <v>0.55901538943672924</v>
      </c>
      <c r="BX58">
        <f>BX40+BX56</f>
        <v>40.047698104674517</v>
      </c>
    </row>
    <row r="62" spans="2:76" x14ac:dyDescent="0.2">
      <c r="B62" s="6" t="s">
        <v>265</v>
      </c>
      <c r="E62">
        <f>_xlfn.T.INV.2T(0.01,E37-1)</f>
        <v>2.8187560606001436</v>
      </c>
      <c r="I62">
        <f>_xlfn.T.INV.2T(0.01,I37-1)</f>
        <v>2.7787145333296839</v>
      </c>
      <c r="M62">
        <f>_xlfn.T.INV.2T(0.01,M37-1)</f>
        <v>2.7787145333296839</v>
      </c>
      <c r="Q62">
        <f>_xlfn.T.INV.2T(0.01,Q37-1)</f>
        <v>2.7787145333296839</v>
      </c>
      <c r="U62">
        <f>_xlfn.T.INV.2T(0.01,U37-1)</f>
        <v>2.7787145333296839</v>
      </c>
      <c r="Y62">
        <f>_xlfn.T.INV.2T(0.01,Y37-1)</f>
        <v>2.7787145333296839</v>
      </c>
      <c r="AC62">
        <f>_xlfn.T.INV.2T(0.01,AC37-1)</f>
        <v>2.8187560606001436</v>
      </c>
      <c r="AG62">
        <f>_xlfn.T.INV.2T(0.01,AG37-1)</f>
        <v>2.8187560606001436</v>
      </c>
      <c r="AK62">
        <f>_xlfn.T.INV.2T(0.01,AK37-1)</f>
        <v>2.8187560606001436</v>
      </c>
      <c r="AQ62">
        <f>_xlfn.T.INV.2T(0.01,AQ37-1)</f>
        <v>2.7632624554614447</v>
      </c>
      <c r="AU62">
        <f>_xlfn.T.INV.2T(0.01,AU37-1)</f>
        <v>2.7632624554614447</v>
      </c>
      <c r="AY62">
        <f>_xlfn.T.INV.2T(0.01,AY37-1)</f>
        <v>2.7632624554614447</v>
      </c>
      <c r="BC62">
        <f>_xlfn.T.INV.2T(0.01,BC37-1)</f>
        <v>2.7632624554614447</v>
      </c>
      <c r="BG62">
        <f>_xlfn.T.INV.2T(0.01,BG37-1)</f>
        <v>2.7632624554614447</v>
      </c>
      <c r="BK62">
        <f>_xlfn.T.INV.2T(0.01,BK37-1)</f>
        <v>2.7632624554614447</v>
      </c>
      <c r="BO62">
        <f>_xlfn.T.INV.2T(0.01,BO37-1)</f>
        <v>2.7632624554614447</v>
      </c>
      <c r="BS62">
        <f>_xlfn.T.INV.2T(0.01,BS37-1)</f>
        <v>2.7632624554614447</v>
      </c>
      <c r="BW62">
        <f>_xlfn.T.INV.2T(0.01,BW37-1)</f>
        <v>2.7632624554614447</v>
      </c>
    </row>
    <row r="63" spans="2:76" x14ac:dyDescent="0.2">
      <c r="B63" t="s">
        <v>245</v>
      </c>
      <c r="E63" t="str">
        <f>IF(AND(E49&gt;-E62,E49&lt;E62),"Aceptado","Rechazado")</f>
        <v>Aceptado</v>
      </c>
      <c r="I63" t="str">
        <f>IF(AND(I49&gt;-I62,I49&lt;I62),"Aceptado","Rechazado")</f>
        <v>Aceptado</v>
      </c>
      <c r="M63" t="str">
        <f>IF(AND(M49&gt;-M62,M49&lt;M62),"Aceptado","Rechazado")</f>
        <v>Aceptado</v>
      </c>
      <c r="Q63" t="str">
        <f>IF(AND(Q49&gt;-Q62,Q49&lt;Q62),"Aceptado","Rechazado")</f>
        <v>Aceptado</v>
      </c>
      <c r="U63" t="str">
        <f>IF(AND(U49&gt;-U62,U49&lt;U62),"Aceptado","Rechazado")</f>
        <v>Aceptado</v>
      </c>
      <c r="Y63" t="str">
        <f>IF(AND(Y49&gt;-Y62,Y49&lt;Y62),"Aceptado","Rechazado")</f>
        <v>Aceptado</v>
      </c>
      <c r="AC63" t="str">
        <f>IF(AND(AC49&gt;-AC62,AC49&lt;AC62),"Aceptado","Rechazado")</f>
        <v>Aceptado</v>
      </c>
      <c r="AG63" t="str">
        <f>IF(AND(AG49&gt;-AG62,AG49&lt;AG62),"Aceptado","Rechazado")</f>
        <v>Rechazado</v>
      </c>
      <c r="AK63" t="str">
        <f>IF(AND(AK49&gt;-AK62,AK49&lt;AK62),"Aceptado","Rechazado")</f>
        <v>Aceptado</v>
      </c>
      <c r="AQ63" t="str">
        <f>IF(AND(AQ49&gt;-AQ62,AQ49&lt;AQ62),"Aceptado","Rechazado")</f>
        <v>Aceptado</v>
      </c>
      <c r="AU63" t="str">
        <f>IF(AND(AU49&gt;-AU62,AU49&lt;AU62),"Aceptado","Rechazado")</f>
        <v>Aceptado</v>
      </c>
      <c r="AY63" t="str">
        <f>IF(AND(AY49&gt;-AY62,AY49&lt;AY62),"Aceptado","Rechazado")</f>
        <v>Aceptado</v>
      </c>
      <c r="BC63" t="str">
        <f>IF(AND(BC49&gt;-BC62,BC49&lt;BC62),"Aceptado","Rechazado")</f>
        <v>Aceptado</v>
      </c>
      <c r="BG63" t="str">
        <f>IF(AND(BG49&gt;-BG62,BG49&lt;BG62),"Aceptado","Rechazado")</f>
        <v>Rechazado</v>
      </c>
      <c r="BK63" t="str">
        <f>IF(AND(BK49&gt;-BK62,BK49&lt;BK62),"Aceptado","Rechazado")</f>
        <v>Aceptado</v>
      </c>
      <c r="BO63" t="str">
        <f>IF(AND(BO49&gt;-BO62,BO49&lt;BO62),"Aceptado","Rechazado")</f>
        <v>Aceptado</v>
      </c>
      <c r="BS63" t="str">
        <f>IF(AND(BS49&gt;-BS62,BS49&lt;BS62),"Aceptado","Rechazado")</f>
        <v>Aceptado</v>
      </c>
      <c r="BW63" t="str">
        <f>IF(AND(BW49&gt;-BW62,BW49&lt;BW62),"Aceptado","Rechazado")</f>
        <v>Aceptado</v>
      </c>
    </row>
    <row r="64" spans="2:76" x14ac:dyDescent="0.2">
      <c r="B64" t="s">
        <v>246</v>
      </c>
      <c r="E64">
        <f>_xlfn.T.DIST.2T(IF(E49&gt;0,E49,-E49),E37-1)</f>
        <v>0.29938687851163148</v>
      </c>
      <c r="I64">
        <f>_xlfn.T.DIST.2T(IF(I49&gt;0,I49,-I49),I37-1)</f>
        <v>0.14125466955989044</v>
      </c>
      <c r="M64">
        <f>_xlfn.T.DIST.2T(IF(M49&gt;0,M49,-M49),M37-1)</f>
        <v>0.51787840329437651</v>
      </c>
      <c r="Q64">
        <f>_xlfn.T.DIST.2T(IF(Q49&gt;0,Q49,-Q49),Q37-1)</f>
        <v>0.33251498575078731</v>
      </c>
      <c r="U64">
        <f>_xlfn.T.DIST.2T(IF(U49&gt;0,U49,-U49),U37-1)</f>
        <v>1.5130463117298432E-2</v>
      </c>
      <c r="Y64">
        <f>_xlfn.T.DIST.2T(IF(Y49&gt;0,Y49,-Y49),Y37-1)</f>
        <v>0.4114940352824763</v>
      </c>
      <c r="AC64">
        <f>_xlfn.T.DIST.2T(IF(AC49&gt;0,AC49,-AC49),AC37-1)</f>
        <v>0.42498180214836623</v>
      </c>
      <c r="AG64">
        <f>_xlfn.T.DIST.2T(IF(AG49&gt;0,AG49,-AG49),AG37-1)</f>
        <v>6.1292369849336925E-3</v>
      </c>
      <c r="AK64">
        <f>_xlfn.T.DIST.2T(IF(AK49&gt;0,AK49,-AK49),AK37-1)</f>
        <v>0.56814747787061237</v>
      </c>
      <c r="AQ64">
        <f>_xlfn.T.DIST.2T(IF(AQ49&gt;0,AQ49,-AQ49),AQ37-1)</f>
        <v>0.57187634297708867</v>
      </c>
      <c r="AU64">
        <f>_xlfn.T.DIST.2T(IF(AU49&gt;0,AU49,-AU49),AU37-1)</f>
        <v>0.38198011724707337</v>
      </c>
      <c r="AY64">
        <f>_xlfn.T.DIST.2T(IF(AY49&gt;0,AY49,-AY49),AY37-1)</f>
        <v>0.55436266317585647</v>
      </c>
      <c r="BC64">
        <f>_xlfn.T.DIST.2T(IF(BC49&gt;0,BC49,-BC49),BC37-1)</f>
        <v>0.77308680076289216</v>
      </c>
      <c r="BG64">
        <f>_xlfn.T.DIST.2T(IF(BG49&gt;0,BG49,-BG49),BG37-1)</f>
        <v>1.5252646815119499E-3</v>
      </c>
      <c r="BK64">
        <f>_xlfn.T.DIST.2T(IF(BK49&gt;0,BK49,-BK49),BK37-1)</f>
        <v>0.30297247169272234</v>
      </c>
      <c r="BO64">
        <f>_xlfn.T.DIST.2T(IF(BO49&gt;0,BO49,-BO49),BO37-1)</f>
        <v>0.47818908667373428</v>
      </c>
      <c r="BS64">
        <f>_xlfn.T.DIST.2T(IF(BS49&gt;0,BS49,-BS49),BS37-1)</f>
        <v>0.22912731034777983</v>
      </c>
      <c r="BW64">
        <f>_xlfn.T.DIST.2T(IF(BW49&gt;0,BW49,-BW49),BW37-1)</f>
        <v>0.13466865823599167</v>
      </c>
    </row>
    <row r="65" spans="2:75" x14ac:dyDescent="0.2">
      <c r="B65" t="s">
        <v>245</v>
      </c>
      <c r="E65" t="str">
        <f>IF(E64&gt;0.01,"Aceptado","Rechazado")</f>
        <v>Aceptado</v>
      </c>
      <c r="I65" t="str">
        <f>IF(I64&gt;0.01,"Aceptado","Rechazado")</f>
        <v>Aceptado</v>
      </c>
      <c r="M65" t="str">
        <f>IF(M64&gt;0.01,"Aceptado","Rechazado")</f>
        <v>Aceptado</v>
      </c>
      <c r="Q65" t="str">
        <f>IF(Q64&gt;0.01,"Aceptado","Rechazado")</f>
        <v>Aceptado</v>
      </c>
      <c r="U65" t="str">
        <f>IF(U64&gt;0.01,"Aceptado","Rechazado")</f>
        <v>Aceptado</v>
      </c>
      <c r="Y65" t="str">
        <f>IF(Y64&gt;0.01,"Aceptado","Rechazado")</f>
        <v>Aceptado</v>
      </c>
      <c r="AC65" t="str">
        <f>IF(AC64&gt;0.01,"Aceptado","Rechazado")</f>
        <v>Aceptado</v>
      </c>
      <c r="AG65" t="str">
        <f>IF(AG64&gt;0.01,"Aceptado","Rechazado")</f>
        <v>Rechazado</v>
      </c>
      <c r="AK65" t="str">
        <f>IF(AK64&gt;0.01,"Aceptado","Rechazado")</f>
        <v>Aceptado</v>
      </c>
      <c r="AQ65" t="str">
        <f>IF(AQ64&gt;0.01,"Aceptado","Rechazado")</f>
        <v>Aceptado</v>
      </c>
      <c r="AU65" t="str">
        <f>IF(AU64&gt;0.01,"Aceptado","Rechazado")</f>
        <v>Aceptado</v>
      </c>
      <c r="AY65" t="str">
        <f>IF(AY64&gt;0.01,"Aceptado","Rechazado")</f>
        <v>Aceptado</v>
      </c>
      <c r="BC65" t="str">
        <f>IF(BC64&gt;0.01,"Aceptado","Rechazado")</f>
        <v>Aceptado</v>
      </c>
      <c r="BG65" t="str">
        <f>IF(BG64&gt;0.01,"Aceptado","Rechazado")</f>
        <v>Rechazado</v>
      </c>
      <c r="BK65" t="str">
        <f>IF(BK64&gt;0.01,"Aceptado","Rechazado")</f>
        <v>Aceptado</v>
      </c>
      <c r="BO65" t="str">
        <f>IF(BO64&gt;0.01,"Aceptado","Rechazado")</f>
        <v>Aceptado</v>
      </c>
      <c r="BS65" t="str">
        <f>IF(BS64&gt;0.01,"Aceptado","Rechazado")</f>
        <v>Aceptado</v>
      </c>
      <c r="BW65" t="str">
        <f>IF(BW64&gt;0.01,"Aceptado","Rechazado")</f>
        <v>Aceptado</v>
      </c>
    </row>
    <row r="68" spans="2:75" x14ac:dyDescent="0.2">
      <c r="B68" s="6" t="s">
        <v>247</v>
      </c>
      <c r="E68">
        <f>_xlfn.T.INV.2T(0.1,E37-1)</f>
        <v>1.7171443743802424</v>
      </c>
      <c r="I68">
        <f>_xlfn.T.INV.2T(0.1,I37-1)</f>
        <v>1.7056179197592738</v>
      </c>
      <c r="M68">
        <f>_xlfn.T.INV.2T(0.1,M37-1)</f>
        <v>1.7056179197592738</v>
      </c>
      <c r="Q68">
        <f>_xlfn.T.INV.2T(0.1,Q37-1)</f>
        <v>1.7056179197592738</v>
      </c>
      <c r="U68">
        <f>_xlfn.T.INV.2T(0.1,U37-1)</f>
        <v>1.7056179197592738</v>
      </c>
      <c r="Y68">
        <f>_xlfn.T.INV.2T(0.1,Y37-1)</f>
        <v>1.7056179197592738</v>
      </c>
      <c r="AC68">
        <f>_xlfn.T.INV.2T(0.1,AC37-1)</f>
        <v>1.7171443743802424</v>
      </c>
      <c r="AG68">
        <f>_xlfn.T.INV.2T(0.1,AG37-1)</f>
        <v>1.7171443743802424</v>
      </c>
      <c r="AK68">
        <f>_xlfn.T.INV.2T(0.1,AK37-1)</f>
        <v>1.7171443743802424</v>
      </c>
      <c r="AQ68">
        <f>_xlfn.T.INV.2T(0.1,AQ37-1)</f>
        <v>1.7011309342659326</v>
      </c>
      <c r="AU68">
        <f>_xlfn.T.INV.2T(0.1,AU37-1)</f>
        <v>1.7011309342659326</v>
      </c>
      <c r="AY68">
        <f>_xlfn.T.INV.2T(0.1,AY37-1)</f>
        <v>1.7011309342659326</v>
      </c>
      <c r="BC68">
        <f>_xlfn.T.INV.2T(0.1,BC37-1)</f>
        <v>1.7011309342659326</v>
      </c>
      <c r="BG68">
        <f>_xlfn.T.INV.2T(0.1,BG37-1)</f>
        <v>1.7011309342659326</v>
      </c>
      <c r="BK68">
        <f>_xlfn.T.INV.2T(0.1,BK37-1)</f>
        <v>1.7011309342659326</v>
      </c>
      <c r="BO68">
        <f>_xlfn.T.INV.2T(0.1,BO37-1)</f>
        <v>1.7011309342659326</v>
      </c>
      <c r="BS68">
        <f>_xlfn.T.INV.2T(0.1,BS37-1)</f>
        <v>1.7011309342659326</v>
      </c>
      <c r="BW68">
        <f>_xlfn.T.INV.2T(0.1,BW37-1)</f>
        <v>1.7011309342659326</v>
      </c>
    </row>
    <row r="69" spans="2:75" x14ac:dyDescent="0.2">
      <c r="B69" t="s">
        <v>245</v>
      </c>
      <c r="E69" t="str">
        <f>IF(AND(E49&gt;-E68,E49&lt;E68),"Aceptado","Rechazado")</f>
        <v>Aceptado</v>
      </c>
      <c r="I69" t="str">
        <f>IF(AND(I49&gt;-I68,I49&lt;I68),"Aceptado","Rechazado")</f>
        <v>Aceptado</v>
      </c>
      <c r="M69" t="str">
        <f>IF(AND(M49&gt;-M68,M49&lt;M68),"Aceptado","Rechazado")</f>
        <v>Aceptado</v>
      </c>
      <c r="Q69" t="str">
        <f>IF(AND(Q49&gt;-Q68,Q49&lt;Q68),"Aceptado","Rechazado")</f>
        <v>Aceptado</v>
      </c>
      <c r="U69" t="str">
        <f>IF(AND(U49&gt;-U68,U49&lt;U68),"Aceptado","Rechazado")</f>
        <v>Rechazado</v>
      </c>
      <c r="Y69" t="str">
        <f>IF(AND(Y49&gt;-Y68,Y49&lt;Y68),"Aceptado","Rechazado")</f>
        <v>Aceptado</v>
      </c>
      <c r="AC69" t="str">
        <f>IF(AND(AC49&gt;-AC68,AC49&lt;AC68),"Aceptado","Rechazado")</f>
        <v>Aceptado</v>
      </c>
      <c r="AG69" t="str">
        <f>IF(AND(AG49&gt;-AG68,AG49&lt;AG68),"Aceptado","Rechazado")</f>
        <v>Rechazado</v>
      </c>
      <c r="AK69" t="str">
        <f>IF(AND(AK49&gt;-AK68,AK49&lt;AK68),"Aceptado","Rechazado")</f>
        <v>Aceptado</v>
      </c>
      <c r="AQ69" t="str">
        <f>IF(AND(AQ49&gt;-AQ68,AQ49&lt;AQ68),"Aceptado","Rechazado")</f>
        <v>Aceptado</v>
      </c>
      <c r="AU69" t="str">
        <f>IF(AND(AU49&gt;-AU68,AU49&lt;AU68),"Aceptado","Rechazado")</f>
        <v>Aceptado</v>
      </c>
      <c r="AY69" t="str">
        <f>IF(AND(AY49&gt;-AY68,AY49&lt;AY68),"Aceptado","Rechazado")</f>
        <v>Aceptado</v>
      </c>
      <c r="BC69" t="str">
        <f>IF(AND(BC49&gt;-BC68,BC49&lt;BC68),"Aceptado","Rechazado")</f>
        <v>Aceptado</v>
      </c>
      <c r="BG69" t="str">
        <f>IF(AND(BG49&gt;-BG68,BG49&lt;BG68),"Aceptado","Rechazado")</f>
        <v>Rechazado</v>
      </c>
      <c r="BK69" t="str">
        <f>IF(AND(BK49&gt;-BK68,BK49&lt;BK68),"Aceptado","Rechazado")</f>
        <v>Aceptado</v>
      </c>
      <c r="BO69" t="str">
        <f>IF(AND(BO49&gt;-BO68,BO49&lt;BO68),"Aceptado","Rechazado")</f>
        <v>Aceptado</v>
      </c>
      <c r="BS69" t="str">
        <f>IF(AND(BS49&gt;-BS68,BS49&lt;BS68),"Aceptado","Rechazado")</f>
        <v>Aceptado</v>
      </c>
      <c r="BW69" t="str">
        <f>IF(AND(BW49&gt;-BW68,BW49&lt;BW68),"Aceptado","Rechazado")</f>
        <v>Aceptado</v>
      </c>
    </row>
    <row r="70" spans="2:75" x14ac:dyDescent="0.2">
      <c r="B70" t="s">
        <v>246</v>
      </c>
      <c r="E70">
        <f>_xlfn.T.DIST.2T(IF(E49&gt;0,E49,-E49),E37-1)</f>
        <v>0.29938687851163148</v>
      </c>
      <c r="I70">
        <f>_xlfn.T.DIST.2T(IF(I49&gt;0,I49,-I49),I37-1)</f>
        <v>0.14125466955989044</v>
      </c>
      <c r="M70">
        <f>_xlfn.T.DIST.2T(IF(M49&gt;0,M49,-M49),M37-1)</f>
        <v>0.51787840329437651</v>
      </c>
      <c r="Q70">
        <f>_xlfn.T.DIST.2T(IF(Q49&gt;0,Q49,-Q49),Q37-1)</f>
        <v>0.33251498575078731</v>
      </c>
      <c r="U70">
        <f>_xlfn.T.DIST.2T(IF(U49&gt;0,U49,-U49),U37-1)</f>
        <v>1.5130463117298432E-2</v>
      </c>
      <c r="Y70">
        <f>_xlfn.T.DIST.2T(IF(Y49&gt;0,Y49,-Y49),Y37-1)</f>
        <v>0.4114940352824763</v>
      </c>
      <c r="AC70">
        <f>_xlfn.T.DIST.2T(IF(AC49&gt;0,AC49,-AC49),AC37-1)</f>
        <v>0.42498180214836623</v>
      </c>
      <c r="AG70">
        <f>_xlfn.T.DIST.2T(IF(AG49&gt;0,AG49,-AG49),AG37-1)</f>
        <v>6.1292369849336925E-3</v>
      </c>
      <c r="AK70">
        <f>_xlfn.T.DIST.2T(IF(AK49&gt;0,AK49,-AK49),AK37-1)</f>
        <v>0.56814747787061237</v>
      </c>
      <c r="AQ70">
        <f>_xlfn.T.DIST.2T(IF(AQ49&gt;0,AQ49,-AQ49),AQ37-1)</f>
        <v>0.57187634297708867</v>
      </c>
      <c r="AU70">
        <f>_xlfn.T.DIST.2T(IF(AU49&gt;0,AU49,-AU49),AU37-1)</f>
        <v>0.38198011724707337</v>
      </c>
      <c r="AY70">
        <f>_xlfn.T.DIST.2T(IF(AY49&gt;0,AY49,-AY49),AY37-1)</f>
        <v>0.55436266317585647</v>
      </c>
      <c r="BC70">
        <f>_xlfn.T.DIST.2T(IF(BC49&gt;0,BC49,-BC49),BC37-1)</f>
        <v>0.77308680076289216</v>
      </c>
      <c r="BG70">
        <f>_xlfn.T.DIST.2T(IF(BG49&gt;0,BG49,-BG49),BG37-1)</f>
        <v>1.5252646815119499E-3</v>
      </c>
      <c r="BK70">
        <f>_xlfn.T.DIST.2T(IF(BK49&gt;0,BK49,-BK49),BK37-1)</f>
        <v>0.30297247169272234</v>
      </c>
      <c r="BO70">
        <f>_xlfn.T.DIST.2T(IF(BO49&gt;0,BO49,-BO49),BO37-1)</f>
        <v>0.47818908667373428</v>
      </c>
      <c r="BS70">
        <f>_xlfn.T.DIST.2T(IF(BS49&gt;0,BS49,-BS49),BS37-1)</f>
        <v>0.22912731034777983</v>
      </c>
      <c r="BW70">
        <f>_xlfn.T.DIST.2T(IF(BW49&gt;0,BW49,-BW49),BW37-1)</f>
        <v>0.13466865823599167</v>
      </c>
    </row>
    <row r="71" spans="2:75" x14ac:dyDescent="0.2">
      <c r="B71" t="s">
        <v>245</v>
      </c>
      <c r="E71" t="str">
        <f>IF(E70&gt;0.1,"Aceptado","Rechazado")</f>
        <v>Aceptado</v>
      </c>
      <c r="I71" t="str">
        <f>IF(I70&gt;0.1,"Aceptado","Rechazado")</f>
        <v>Aceptado</v>
      </c>
      <c r="M71" t="str">
        <f>IF(M70&gt;0.1,"Aceptado","Rechazado")</f>
        <v>Aceptado</v>
      </c>
      <c r="Q71" t="str">
        <f>IF(Q70&gt;0.1,"Aceptado","Rechazado")</f>
        <v>Aceptado</v>
      </c>
      <c r="U71" t="str">
        <f>IF(U70&gt;0.1,"Aceptado","Rechazado")</f>
        <v>Rechazado</v>
      </c>
      <c r="Y71" t="str">
        <f>IF(Y70&gt;0.1,"Aceptado","Rechazado")</f>
        <v>Aceptado</v>
      </c>
      <c r="AC71" t="str">
        <f>IF(AC70&gt;0.1,"Aceptado","Rechazado")</f>
        <v>Aceptado</v>
      </c>
      <c r="AG71" t="str">
        <f>IF(AG70&gt;0.1,"Aceptado","Rechazado")</f>
        <v>Rechazado</v>
      </c>
      <c r="AK71" t="str">
        <f>IF(AK70&gt;0.1,"Aceptado","Rechazado")</f>
        <v>Aceptado</v>
      </c>
      <c r="AQ71" t="str">
        <f>IF(AQ70&gt;0.1,"Aceptado","Rechazado")</f>
        <v>Aceptado</v>
      </c>
      <c r="AU71" t="str">
        <f>IF(AU70&gt;0.1,"Aceptado","Rechazado")</f>
        <v>Aceptado</v>
      </c>
      <c r="AY71" t="str">
        <f>IF(AY70&gt;0.1,"Aceptado","Rechazado")</f>
        <v>Aceptado</v>
      </c>
      <c r="BC71" t="str">
        <f>IF(BC70&gt;0.1,"Aceptado","Rechazado")</f>
        <v>Aceptado</v>
      </c>
      <c r="BG71" t="str">
        <f>IF(BG70&gt;0.1,"Aceptado","Rechazado")</f>
        <v>Rechazado</v>
      </c>
      <c r="BK71" t="str">
        <f>IF(BK70&gt;0.1,"Aceptado","Rechazado")</f>
        <v>Aceptado</v>
      </c>
      <c r="BO71" t="str">
        <f>IF(BO70&gt;0.1,"Aceptado","Rechazado")</f>
        <v>Aceptado</v>
      </c>
      <c r="BS71" t="str">
        <f>IF(BS70&gt;0.1,"Aceptado","Rechazado")</f>
        <v>Aceptado</v>
      </c>
      <c r="BW71" t="str">
        <f>IF(BW70&gt;0.1,"Aceptado","Rechazado")</f>
        <v>Aceptado</v>
      </c>
    </row>
    <row r="82" spans="3:75" x14ac:dyDescent="0.2">
      <c r="C82" s="235">
        <v>18</v>
      </c>
      <c r="D82" s="235">
        <v>18</v>
      </c>
      <c r="E82">
        <v>-3</v>
      </c>
      <c r="G82" s="303">
        <v>-0.5</v>
      </c>
      <c r="H82" s="303">
        <v>-0.3</v>
      </c>
      <c r="I82" s="303">
        <v>-2.4</v>
      </c>
      <c r="K82" s="303">
        <v>20</v>
      </c>
      <c r="L82" s="303">
        <v>22</v>
      </c>
      <c r="M82" s="303">
        <v>-5</v>
      </c>
      <c r="N82" s="303"/>
      <c r="O82" s="303">
        <v>19</v>
      </c>
      <c r="P82" s="303">
        <v>19</v>
      </c>
      <c r="Q82" s="303">
        <v>-3</v>
      </c>
      <c r="R82" s="303"/>
      <c r="S82" s="303">
        <v>-0.2</v>
      </c>
      <c r="T82" s="303">
        <v>-0.2</v>
      </c>
      <c r="U82" s="303">
        <v>-0.4</v>
      </c>
      <c r="V82" s="303"/>
      <c r="W82" s="303">
        <v>25</v>
      </c>
      <c r="X82" s="303">
        <v>25</v>
      </c>
      <c r="Y82" s="303">
        <v>-3.5</v>
      </c>
      <c r="Z82" s="303"/>
      <c r="AA82" s="303">
        <v>0.1</v>
      </c>
      <c r="AB82" s="303">
        <v>0.1</v>
      </c>
      <c r="AC82" s="303">
        <v>-0.6</v>
      </c>
      <c r="AD82" s="303"/>
      <c r="AE82" s="303">
        <v>46</v>
      </c>
      <c r="AF82" s="303">
        <v>46</v>
      </c>
      <c r="AG82" s="303">
        <v>-7</v>
      </c>
      <c r="AH82" s="303"/>
      <c r="AI82" s="303">
        <v>-0.2</v>
      </c>
      <c r="AJ82" s="303">
        <v>-0.2</v>
      </c>
      <c r="AK82" s="303">
        <v>-2</v>
      </c>
      <c r="AL82" s="303"/>
      <c r="AM82" s="303"/>
      <c r="AN82" s="303"/>
      <c r="AO82" s="303">
        <v>18</v>
      </c>
      <c r="AP82" s="303">
        <v>18</v>
      </c>
      <c r="AQ82" s="303">
        <v>-3</v>
      </c>
      <c r="AR82" s="303"/>
      <c r="AS82" s="303">
        <v>-0.5</v>
      </c>
      <c r="AT82" s="303">
        <v>-0.3</v>
      </c>
      <c r="AU82" s="303">
        <v>-2.4</v>
      </c>
      <c r="AV82" s="303"/>
      <c r="AW82" s="303">
        <v>21</v>
      </c>
      <c r="AX82" s="303">
        <v>21</v>
      </c>
      <c r="AY82" s="303">
        <v>-6</v>
      </c>
      <c r="AZ82" s="303"/>
      <c r="BA82" s="303">
        <v>19</v>
      </c>
      <c r="BB82" s="303">
        <v>19</v>
      </c>
      <c r="BC82" s="303">
        <v>-3</v>
      </c>
      <c r="BD82" s="303"/>
      <c r="BE82" s="303">
        <v>-0.2</v>
      </c>
      <c r="BF82" s="303">
        <v>-0.2</v>
      </c>
      <c r="BG82" s="303">
        <v>-0.4</v>
      </c>
      <c r="BH82" s="303"/>
      <c r="BI82" s="303">
        <v>25</v>
      </c>
      <c r="BJ82" s="303">
        <v>25</v>
      </c>
      <c r="BK82" s="303">
        <v>-3.5</v>
      </c>
      <c r="BL82" s="303"/>
      <c r="BM82" s="303">
        <v>0.1</v>
      </c>
      <c r="BN82" s="303">
        <v>0.1</v>
      </c>
      <c r="BO82" s="303">
        <v>-0.7</v>
      </c>
      <c r="BP82" s="303"/>
      <c r="BQ82" s="303">
        <v>46</v>
      </c>
      <c r="BR82" s="303">
        <v>46</v>
      </c>
      <c r="BS82" s="303">
        <v>-7</v>
      </c>
      <c r="BT82" s="303"/>
      <c r="BU82" s="303">
        <v>-0.2</v>
      </c>
      <c r="BV82" s="303">
        <v>-0.2</v>
      </c>
      <c r="BW82" s="303">
        <v>-2</v>
      </c>
    </row>
    <row r="83" spans="3:75" x14ac:dyDescent="0.2">
      <c r="C83">
        <f>C82+0.5</f>
        <v>18.5</v>
      </c>
      <c r="D83">
        <f>D82+0.5</f>
        <v>18.5</v>
      </c>
      <c r="E83">
        <f t="shared" ref="E83:E111" si="52">E82+0.22</f>
        <v>-2.78</v>
      </c>
      <c r="G83" s="303">
        <f t="shared" ref="G83:G111" si="53">G82+0.2</f>
        <v>-0.3</v>
      </c>
      <c r="H83" s="303">
        <f t="shared" ref="H83:H111" si="54">H82+0.15</f>
        <v>-0.15</v>
      </c>
      <c r="I83" s="303">
        <f t="shared" ref="I83:I111" si="55">I82+0.21</f>
        <v>-2.19</v>
      </c>
      <c r="K83" s="303">
        <f t="shared" ref="K83:K111" si="56">K82+0.5</f>
        <v>20.5</v>
      </c>
      <c r="L83" s="303">
        <f t="shared" ref="L83:L111" si="57">L82+0.5</f>
        <v>22.5</v>
      </c>
      <c r="M83" s="303">
        <f t="shared" ref="M83:M111" si="58">M82+0.4</f>
        <v>-4.5999999999999996</v>
      </c>
      <c r="N83" s="303"/>
      <c r="O83" s="303">
        <f t="shared" ref="O83:O111" si="59">O82+0.45</f>
        <v>19.45</v>
      </c>
      <c r="P83" s="303">
        <f t="shared" ref="P83:P111" si="60">P82+0.45</f>
        <v>19.45</v>
      </c>
      <c r="Q83" s="303">
        <f t="shared" ref="Q83:Q111" si="61">Q82+0.21</f>
        <v>-2.79</v>
      </c>
      <c r="R83" s="303"/>
      <c r="S83" s="303">
        <f t="shared" ref="S83:S111" si="62">S82+0.02</f>
        <v>-0.18000000000000002</v>
      </c>
      <c r="T83" s="304">
        <f t="shared" ref="T83:T111" si="63">T82+0.0251</f>
        <v>-0.1749</v>
      </c>
      <c r="U83" s="303">
        <f t="shared" ref="U83:U111" si="64">U82+0.022</f>
        <v>-0.378</v>
      </c>
      <c r="V83" s="303"/>
      <c r="W83" s="303">
        <f t="shared" ref="W83:W111" si="65">W82+0.3</f>
        <v>25.3</v>
      </c>
      <c r="X83" s="303">
        <f t="shared" ref="X83:X111" si="66">X82+0.3</f>
        <v>25.3</v>
      </c>
      <c r="Y83" s="303">
        <f t="shared" ref="Y83:Y111" si="67">Y82+0.25</f>
        <v>-3.25</v>
      </c>
      <c r="Z83" s="303"/>
      <c r="AA83" s="303">
        <f t="shared" ref="AA83:AA111" si="68">AA82+0.043</f>
        <v>0.14300000000000002</v>
      </c>
      <c r="AB83" s="303">
        <f t="shared" ref="AB83:AB111" si="69">AB82+0.043</f>
        <v>0.14300000000000002</v>
      </c>
      <c r="AC83" s="303">
        <f t="shared" ref="AC83:AC111" si="70">AC82+0.045</f>
        <v>-0.55499999999999994</v>
      </c>
      <c r="AD83" s="303"/>
      <c r="AE83" s="303">
        <f t="shared" ref="AE83:AE111" si="71">AE82+0.6</f>
        <v>46.6</v>
      </c>
      <c r="AF83" s="303">
        <f t="shared" ref="AF83:AF111" si="72">AF82+0.6</f>
        <v>46.6</v>
      </c>
      <c r="AG83" s="303">
        <f t="shared" ref="AG83:AG111" si="73">AG82+0.5</f>
        <v>-6.5</v>
      </c>
      <c r="AH83" s="303"/>
      <c r="AI83" s="303">
        <f t="shared" ref="AI83:AI111" si="74">AI82+0.15</f>
        <v>-5.0000000000000017E-2</v>
      </c>
      <c r="AJ83" s="303">
        <f t="shared" ref="AJ83:AJ111" si="75">AJ82+0.15</f>
        <v>-5.0000000000000017E-2</v>
      </c>
      <c r="AK83" s="303">
        <f t="shared" ref="AK83:AK111" si="76">AK82+0.17</f>
        <v>-1.83</v>
      </c>
      <c r="AL83" s="303"/>
      <c r="AM83" s="303"/>
      <c r="AN83" s="303"/>
      <c r="AO83" s="303">
        <v>18.5</v>
      </c>
      <c r="AP83" s="303">
        <v>18.5</v>
      </c>
      <c r="AQ83" s="303">
        <v>-2.78</v>
      </c>
      <c r="AR83" s="303"/>
      <c r="AS83" s="303">
        <v>-0.3</v>
      </c>
      <c r="AT83" s="303">
        <v>-0.15</v>
      </c>
      <c r="AU83" s="303">
        <v>-2.19</v>
      </c>
      <c r="AV83" s="303"/>
      <c r="AW83" s="303">
        <f t="shared" ref="AW83:AW111" si="77">AW82+0.5</f>
        <v>21.5</v>
      </c>
      <c r="AX83" s="303">
        <f t="shared" ref="AX83:AX111" si="78">AX82+0.5</f>
        <v>21.5</v>
      </c>
      <c r="AY83" s="303">
        <f>AY82+0.41</f>
        <v>-5.59</v>
      </c>
      <c r="AZ83" s="303"/>
      <c r="BA83" s="303">
        <f t="shared" ref="BA83:BA111" si="79">BA82+0.45</f>
        <v>19.45</v>
      </c>
      <c r="BB83" s="303">
        <f t="shared" ref="BB83:BB111" si="80">BB82+0.45</f>
        <v>19.45</v>
      </c>
      <c r="BC83" s="303">
        <f t="shared" ref="BC83:BC111" si="81">BC82+0.21</f>
        <v>-2.79</v>
      </c>
      <c r="BD83" s="303"/>
      <c r="BE83" s="303">
        <f t="shared" ref="BE83:BE111" si="82">BE82+0.02</f>
        <v>-0.18000000000000002</v>
      </c>
      <c r="BF83" s="304">
        <f t="shared" ref="BF83:BF111" si="83">BF82+0.0241</f>
        <v>-0.1759</v>
      </c>
      <c r="BG83" s="303">
        <f t="shared" ref="BG83:BG111" si="84">BG82+0.022</f>
        <v>-0.378</v>
      </c>
      <c r="BH83" s="303"/>
      <c r="BI83" s="303">
        <f t="shared" ref="BI83:BI111" si="85">BI82+0.3</f>
        <v>25.3</v>
      </c>
      <c r="BJ83" s="303">
        <f t="shared" ref="BJ83:BJ111" si="86">BJ82+0.3</f>
        <v>25.3</v>
      </c>
      <c r="BK83" s="303">
        <f t="shared" ref="BK83:BK111" si="87">BK82+0.25</f>
        <v>-3.25</v>
      </c>
      <c r="BL83" s="303"/>
      <c r="BM83" s="303">
        <f t="shared" ref="BM83:BM111" si="88">BM82+0.043</f>
        <v>0.14300000000000002</v>
      </c>
      <c r="BN83" s="303">
        <f t="shared" ref="BN83:BN111" si="89">BN82+0.043</f>
        <v>0.14300000000000002</v>
      </c>
      <c r="BO83" s="303">
        <f t="shared" ref="BO83:BO111" si="90">BO82+0.045</f>
        <v>-0.65499999999999992</v>
      </c>
      <c r="BP83" s="303"/>
      <c r="BQ83" s="303">
        <f t="shared" ref="BQ83:BQ111" si="91">BQ82+0.6</f>
        <v>46.6</v>
      </c>
      <c r="BR83" s="303">
        <f t="shared" ref="BR83:BR111" si="92">BR82+0.6</f>
        <v>46.6</v>
      </c>
      <c r="BS83" s="303">
        <f t="shared" ref="BS83:BS111" si="93">BS82+0.5</f>
        <v>-6.5</v>
      </c>
      <c r="BT83" s="303"/>
      <c r="BU83" s="303">
        <f t="shared" ref="BU83:BU111" si="94">BU82+0.15</f>
        <v>-5.0000000000000017E-2</v>
      </c>
      <c r="BV83" s="303">
        <f t="shared" ref="BV83:BV111" si="95">BV82+0.15</f>
        <v>-5.0000000000000017E-2</v>
      </c>
      <c r="BW83" s="303">
        <f t="shared" ref="BW83:BW111" si="96">BW82+0.17</f>
        <v>-1.83</v>
      </c>
    </row>
    <row r="84" spans="3:75" x14ac:dyDescent="0.2">
      <c r="C84">
        <f>C83+0.5</f>
        <v>19</v>
      </c>
      <c r="D84">
        <f>D83+0.5</f>
        <v>19</v>
      </c>
      <c r="E84">
        <f t="shared" si="52"/>
        <v>-2.5599999999999996</v>
      </c>
      <c r="G84" s="303">
        <f t="shared" si="53"/>
        <v>-9.9999999999999978E-2</v>
      </c>
      <c r="H84" s="303">
        <f t="shared" si="54"/>
        <v>0</v>
      </c>
      <c r="I84" s="303">
        <f t="shared" si="55"/>
        <v>-1.98</v>
      </c>
      <c r="K84" s="303">
        <f t="shared" si="56"/>
        <v>21</v>
      </c>
      <c r="L84" s="303">
        <f t="shared" si="57"/>
        <v>23</v>
      </c>
      <c r="M84" s="303">
        <f t="shared" si="58"/>
        <v>-4.1999999999999993</v>
      </c>
      <c r="N84" s="303"/>
      <c r="O84" s="303">
        <f t="shared" si="59"/>
        <v>19.899999999999999</v>
      </c>
      <c r="P84" s="303">
        <f t="shared" si="60"/>
        <v>19.899999999999999</v>
      </c>
      <c r="Q84" s="303">
        <f t="shared" si="61"/>
        <v>-2.58</v>
      </c>
      <c r="R84" s="303"/>
      <c r="S84" s="303">
        <f t="shared" si="62"/>
        <v>-0.16000000000000003</v>
      </c>
      <c r="T84" s="304">
        <f t="shared" si="63"/>
        <v>-0.14979999999999999</v>
      </c>
      <c r="U84" s="303">
        <f t="shared" si="64"/>
        <v>-0.35599999999999998</v>
      </c>
      <c r="V84" s="303"/>
      <c r="W84" s="303">
        <f t="shared" si="65"/>
        <v>25.6</v>
      </c>
      <c r="X84" s="303">
        <f t="shared" si="66"/>
        <v>25.6</v>
      </c>
      <c r="Y84" s="303">
        <f t="shared" si="67"/>
        <v>-3</v>
      </c>
      <c r="Z84" s="303"/>
      <c r="AA84" s="303">
        <f t="shared" si="68"/>
        <v>0.186</v>
      </c>
      <c r="AB84" s="303">
        <f t="shared" si="69"/>
        <v>0.186</v>
      </c>
      <c r="AC84" s="303">
        <f t="shared" si="70"/>
        <v>-0.5099999999999999</v>
      </c>
      <c r="AD84" s="303"/>
      <c r="AE84" s="303">
        <f t="shared" si="71"/>
        <v>47.2</v>
      </c>
      <c r="AF84" s="303">
        <f t="shared" si="72"/>
        <v>47.2</v>
      </c>
      <c r="AG84" s="303">
        <f t="shared" si="73"/>
        <v>-6</v>
      </c>
      <c r="AH84" s="303"/>
      <c r="AI84" s="303">
        <f t="shared" si="74"/>
        <v>9.9999999999999978E-2</v>
      </c>
      <c r="AJ84" s="303">
        <f t="shared" si="75"/>
        <v>9.9999999999999978E-2</v>
      </c>
      <c r="AK84" s="303">
        <f t="shared" si="76"/>
        <v>-1.6600000000000001</v>
      </c>
      <c r="AL84" s="303"/>
      <c r="AM84" s="303"/>
      <c r="AN84" s="303"/>
      <c r="AO84" s="303">
        <v>19</v>
      </c>
      <c r="AP84" s="303">
        <v>19</v>
      </c>
      <c r="AQ84" s="303">
        <v>-2.5599999999999996</v>
      </c>
      <c r="AR84" s="303"/>
      <c r="AS84" s="303">
        <v>-9.9999999999999978E-2</v>
      </c>
      <c r="AT84" s="303">
        <v>0</v>
      </c>
      <c r="AU84" s="303">
        <v>-1.98</v>
      </c>
      <c r="AV84" s="303"/>
      <c r="AW84" s="303">
        <f t="shared" si="77"/>
        <v>22</v>
      </c>
      <c r="AX84" s="303">
        <f t="shared" si="78"/>
        <v>22</v>
      </c>
      <c r="AY84" s="303">
        <f t="shared" ref="AY84:AY111" si="97">AY83+0.4</f>
        <v>-5.1899999999999995</v>
      </c>
      <c r="AZ84" s="303"/>
      <c r="BA84" s="303">
        <f t="shared" si="79"/>
        <v>19.899999999999999</v>
      </c>
      <c r="BB84" s="303">
        <f t="shared" si="80"/>
        <v>19.899999999999999</v>
      </c>
      <c r="BC84" s="303">
        <f t="shared" si="81"/>
        <v>-2.58</v>
      </c>
      <c r="BD84" s="303"/>
      <c r="BE84" s="303">
        <f t="shared" si="82"/>
        <v>-0.16000000000000003</v>
      </c>
      <c r="BF84" s="304">
        <f t="shared" si="83"/>
        <v>-0.15179999999999999</v>
      </c>
      <c r="BG84" s="303">
        <f t="shared" si="84"/>
        <v>-0.35599999999999998</v>
      </c>
      <c r="BH84" s="303"/>
      <c r="BI84" s="303">
        <f t="shared" si="85"/>
        <v>25.6</v>
      </c>
      <c r="BJ84" s="303">
        <f t="shared" si="86"/>
        <v>25.6</v>
      </c>
      <c r="BK84" s="303">
        <f t="shared" si="87"/>
        <v>-3</v>
      </c>
      <c r="BL84" s="303"/>
      <c r="BM84" s="303">
        <f t="shared" si="88"/>
        <v>0.186</v>
      </c>
      <c r="BN84" s="303">
        <f t="shared" si="89"/>
        <v>0.186</v>
      </c>
      <c r="BO84" s="303">
        <f t="shared" si="90"/>
        <v>-0.60999999999999988</v>
      </c>
      <c r="BP84" s="303"/>
      <c r="BQ84" s="303">
        <f t="shared" si="91"/>
        <v>47.2</v>
      </c>
      <c r="BR84" s="303">
        <f t="shared" si="92"/>
        <v>47.2</v>
      </c>
      <c r="BS84" s="303">
        <f t="shared" si="93"/>
        <v>-6</v>
      </c>
      <c r="BT84" s="303"/>
      <c r="BU84" s="303">
        <f t="shared" si="94"/>
        <v>9.9999999999999978E-2</v>
      </c>
      <c r="BV84" s="303">
        <f t="shared" si="95"/>
        <v>9.9999999999999978E-2</v>
      </c>
      <c r="BW84" s="303">
        <f t="shared" si="96"/>
        <v>-1.6600000000000001</v>
      </c>
    </row>
    <row r="85" spans="3:75" x14ac:dyDescent="0.2">
      <c r="C85" s="235">
        <f t="shared" ref="C85:C111" si="98">C84+0.5</f>
        <v>19.5</v>
      </c>
      <c r="D85" s="235">
        <v>19</v>
      </c>
      <c r="E85">
        <f t="shared" si="52"/>
        <v>-2.3399999999999994</v>
      </c>
      <c r="G85" s="303">
        <f t="shared" si="53"/>
        <v>0.10000000000000003</v>
      </c>
      <c r="H85" s="303">
        <f t="shared" si="54"/>
        <v>0.15</v>
      </c>
      <c r="I85" s="303">
        <f t="shared" si="55"/>
        <v>-1.77</v>
      </c>
      <c r="K85" s="303">
        <f t="shared" si="56"/>
        <v>21.5</v>
      </c>
      <c r="L85" s="303">
        <f t="shared" si="57"/>
        <v>23.5</v>
      </c>
      <c r="M85" s="303">
        <f t="shared" si="58"/>
        <v>-3.7999999999999994</v>
      </c>
      <c r="N85" s="303"/>
      <c r="O85" s="303">
        <f t="shared" si="59"/>
        <v>20.349999999999998</v>
      </c>
      <c r="P85" s="303">
        <f t="shared" si="60"/>
        <v>20.349999999999998</v>
      </c>
      <c r="Q85" s="303">
        <f t="shared" si="61"/>
        <v>-2.37</v>
      </c>
      <c r="R85" s="303"/>
      <c r="S85" s="303">
        <f t="shared" si="62"/>
        <v>-0.14000000000000004</v>
      </c>
      <c r="T85" s="304">
        <f t="shared" si="63"/>
        <v>-0.12469999999999999</v>
      </c>
      <c r="U85" s="303">
        <f t="shared" si="64"/>
        <v>-0.33399999999999996</v>
      </c>
      <c r="V85" s="303"/>
      <c r="W85" s="303">
        <f t="shared" si="65"/>
        <v>25.900000000000002</v>
      </c>
      <c r="X85" s="303">
        <f t="shared" si="66"/>
        <v>25.900000000000002</v>
      </c>
      <c r="Y85" s="303">
        <f t="shared" si="67"/>
        <v>-2.75</v>
      </c>
      <c r="Z85" s="303"/>
      <c r="AA85" s="303">
        <f t="shared" si="68"/>
        <v>0.22899999999999998</v>
      </c>
      <c r="AB85" s="303">
        <f t="shared" si="69"/>
        <v>0.22899999999999998</v>
      </c>
      <c r="AC85" s="303">
        <f t="shared" si="70"/>
        <v>-0.46499999999999991</v>
      </c>
      <c r="AD85" s="303"/>
      <c r="AE85" s="303">
        <f t="shared" si="71"/>
        <v>47.800000000000004</v>
      </c>
      <c r="AF85" s="303">
        <f t="shared" si="72"/>
        <v>47.800000000000004</v>
      </c>
      <c r="AG85" s="303">
        <f t="shared" si="73"/>
        <v>-5.5</v>
      </c>
      <c r="AH85" s="303"/>
      <c r="AI85" s="303">
        <f t="shared" si="74"/>
        <v>0.24999999999999997</v>
      </c>
      <c r="AJ85" s="303">
        <f t="shared" si="75"/>
        <v>0.24999999999999997</v>
      </c>
      <c r="AK85" s="303">
        <f t="shared" si="76"/>
        <v>-1.4900000000000002</v>
      </c>
      <c r="AL85" s="303"/>
      <c r="AM85" s="303"/>
      <c r="AN85" s="303"/>
      <c r="AO85" s="303">
        <v>19.5</v>
      </c>
      <c r="AP85" s="303">
        <v>19.5</v>
      </c>
      <c r="AQ85" s="303">
        <v>-2.3399999999999994</v>
      </c>
      <c r="AR85" s="303"/>
      <c r="AS85" s="303">
        <v>0.10000000000000003</v>
      </c>
      <c r="AT85" s="303">
        <v>0.15</v>
      </c>
      <c r="AU85" s="303">
        <v>-1.77</v>
      </c>
      <c r="AV85" s="303"/>
      <c r="AW85" s="303">
        <f t="shared" si="77"/>
        <v>22.5</v>
      </c>
      <c r="AX85" s="303">
        <f t="shared" si="78"/>
        <v>22.5</v>
      </c>
      <c r="AY85" s="303">
        <f t="shared" si="97"/>
        <v>-4.7899999999999991</v>
      </c>
      <c r="AZ85" s="303"/>
      <c r="BA85" s="303">
        <f t="shared" si="79"/>
        <v>20.349999999999998</v>
      </c>
      <c r="BB85" s="303">
        <f t="shared" si="80"/>
        <v>20.349999999999998</v>
      </c>
      <c r="BC85" s="303">
        <f t="shared" si="81"/>
        <v>-2.37</v>
      </c>
      <c r="BD85" s="303"/>
      <c r="BE85" s="303">
        <f t="shared" si="82"/>
        <v>-0.14000000000000004</v>
      </c>
      <c r="BF85" s="304">
        <f t="shared" si="83"/>
        <v>-0.12769999999999998</v>
      </c>
      <c r="BG85" s="303">
        <f t="shared" si="84"/>
        <v>-0.33399999999999996</v>
      </c>
      <c r="BH85" s="303"/>
      <c r="BI85" s="303">
        <f t="shared" si="85"/>
        <v>25.900000000000002</v>
      </c>
      <c r="BJ85" s="303">
        <f t="shared" si="86"/>
        <v>25.900000000000002</v>
      </c>
      <c r="BK85" s="303">
        <f t="shared" si="87"/>
        <v>-2.75</v>
      </c>
      <c r="BL85" s="303"/>
      <c r="BM85" s="303">
        <f t="shared" si="88"/>
        <v>0.22899999999999998</v>
      </c>
      <c r="BN85" s="303">
        <f t="shared" si="89"/>
        <v>0.22899999999999998</v>
      </c>
      <c r="BO85" s="303">
        <f t="shared" si="90"/>
        <v>-0.56499999999999984</v>
      </c>
      <c r="BP85" s="303"/>
      <c r="BQ85" s="303">
        <f t="shared" si="91"/>
        <v>47.800000000000004</v>
      </c>
      <c r="BR85" s="303">
        <f t="shared" si="92"/>
        <v>47.800000000000004</v>
      </c>
      <c r="BS85" s="303">
        <f t="shared" si="93"/>
        <v>-5.5</v>
      </c>
      <c r="BT85" s="303"/>
      <c r="BU85" s="303">
        <f t="shared" si="94"/>
        <v>0.24999999999999997</v>
      </c>
      <c r="BV85" s="303">
        <f t="shared" si="95"/>
        <v>0.24999999999999997</v>
      </c>
      <c r="BW85" s="303">
        <f t="shared" si="96"/>
        <v>-1.4900000000000002</v>
      </c>
    </row>
    <row r="86" spans="3:75" x14ac:dyDescent="0.2">
      <c r="C86">
        <f t="shared" si="98"/>
        <v>20</v>
      </c>
      <c r="D86">
        <f t="shared" ref="D86:D111" si="99">D85+0.5</f>
        <v>19.5</v>
      </c>
      <c r="E86">
        <f t="shared" si="52"/>
        <v>-2.1199999999999992</v>
      </c>
      <c r="G86" s="303">
        <f t="shared" si="53"/>
        <v>0.30000000000000004</v>
      </c>
      <c r="H86" s="303">
        <f t="shared" si="54"/>
        <v>0.3</v>
      </c>
      <c r="I86" s="303">
        <f t="shared" si="55"/>
        <v>-1.56</v>
      </c>
      <c r="K86" s="303">
        <f t="shared" si="56"/>
        <v>22</v>
      </c>
      <c r="L86" s="303">
        <f t="shared" si="57"/>
        <v>24</v>
      </c>
      <c r="M86" s="303">
        <f t="shared" si="58"/>
        <v>-3.3999999999999995</v>
      </c>
      <c r="N86" s="303"/>
      <c r="O86" s="303">
        <f t="shared" si="59"/>
        <v>20.799999999999997</v>
      </c>
      <c r="P86" s="303">
        <f t="shared" si="60"/>
        <v>20.799999999999997</v>
      </c>
      <c r="Q86" s="303">
        <f t="shared" si="61"/>
        <v>-2.16</v>
      </c>
      <c r="R86" s="303"/>
      <c r="S86" s="303">
        <f t="shared" si="62"/>
        <v>-0.12000000000000004</v>
      </c>
      <c r="T86" s="304">
        <f t="shared" si="63"/>
        <v>-9.9599999999999994E-2</v>
      </c>
      <c r="U86" s="303">
        <f t="shared" si="64"/>
        <v>-0.31199999999999994</v>
      </c>
      <c r="V86" s="303"/>
      <c r="W86" s="303">
        <f t="shared" si="65"/>
        <v>26.200000000000003</v>
      </c>
      <c r="X86" s="303">
        <f t="shared" si="66"/>
        <v>26.200000000000003</v>
      </c>
      <c r="Y86" s="303">
        <f t="shared" si="67"/>
        <v>-2.5</v>
      </c>
      <c r="Z86" s="303"/>
      <c r="AA86" s="303">
        <f t="shared" si="68"/>
        <v>0.27199999999999996</v>
      </c>
      <c r="AB86" s="303">
        <f t="shared" si="69"/>
        <v>0.27199999999999996</v>
      </c>
      <c r="AC86" s="303">
        <f t="shared" si="70"/>
        <v>-0.41999999999999993</v>
      </c>
      <c r="AD86" s="303"/>
      <c r="AE86" s="303">
        <f t="shared" si="71"/>
        <v>48.400000000000006</v>
      </c>
      <c r="AF86" s="303">
        <f t="shared" si="72"/>
        <v>48.400000000000006</v>
      </c>
      <c r="AG86" s="303">
        <f t="shared" si="73"/>
        <v>-5</v>
      </c>
      <c r="AH86" s="303"/>
      <c r="AI86" s="303">
        <f t="shared" si="74"/>
        <v>0.39999999999999997</v>
      </c>
      <c r="AJ86" s="303">
        <f t="shared" si="75"/>
        <v>0.39999999999999997</v>
      </c>
      <c r="AK86" s="303">
        <f t="shared" si="76"/>
        <v>-1.3200000000000003</v>
      </c>
      <c r="AL86" s="303"/>
      <c r="AM86" s="303"/>
      <c r="AN86" s="303"/>
      <c r="AO86" s="303">
        <v>20</v>
      </c>
      <c r="AP86" s="303">
        <v>20</v>
      </c>
      <c r="AQ86" s="303">
        <v>-2.1199999999999992</v>
      </c>
      <c r="AR86" s="303"/>
      <c r="AS86" s="303">
        <v>0.30000000000000004</v>
      </c>
      <c r="AT86" s="303">
        <v>0.3</v>
      </c>
      <c r="AU86" s="303">
        <v>-1.56</v>
      </c>
      <c r="AV86" s="303"/>
      <c r="AW86" s="303">
        <f t="shared" si="77"/>
        <v>23</v>
      </c>
      <c r="AX86" s="303">
        <f t="shared" si="78"/>
        <v>23</v>
      </c>
      <c r="AY86" s="303">
        <f t="shared" si="97"/>
        <v>-4.3899999999999988</v>
      </c>
      <c r="AZ86" s="303"/>
      <c r="BA86" s="303">
        <f t="shared" si="79"/>
        <v>20.799999999999997</v>
      </c>
      <c r="BB86" s="303">
        <f t="shared" si="80"/>
        <v>20.799999999999997</v>
      </c>
      <c r="BC86" s="303">
        <f t="shared" si="81"/>
        <v>-2.16</v>
      </c>
      <c r="BD86" s="303"/>
      <c r="BE86" s="303">
        <f t="shared" si="82"/>
        <v>-0.12000000000000004</v>
      </c>
      <c r="BF86" s="304">
        <f t="shared" si="83"/>
        <v>-0.10359999999999998</v>
      </c>
      <c r="BG86" s="303">
        <f t="shared" si="84"/>
        <v>-0.31199999999999994</v>
      </c>
      <c r="BH86" s="303"/>
      <c r="BI86" s="303">
        <f t="shared" si="85"/>
        <v>26.200000000000003</v>
      </c>
      <c r="BJ86" s="303">
        <f t="shared" si="86"/>
        <v>26.200000000000003</v>
      </c>
      <c r="BK86" s="303">
        <f t="shared" si="87"/>
        <v>-2.5</v>
      </c>
      <c r="BL86" s="303"/>
      <c r="BM86" s="303">
        <f t="shared" si="88"/>
        <v>0.27199999999999996</v>
      </c>
      <c r="BN86" s="303">
        <f t="shared" si="89"/>
        <v>0.27199999999999996</v>
      </c>
      <c r="BO86" s="303">
        <f t="shared" si="90"/>
        <v>-0.5199999999999998</v>
      </c>
      <c r="BP86" s="303"/>
      <c r="BQ86" s="303">
        <f t="shared" si="91"/>
        <v>48.400000000000006</v>
      </c>
      <c r="BR86" s="303">
        <f t="shared" si="92"/>
        <v>48.400000000000006</v>
      </c>
      <c r="BS86" s="303">
        <f t="shared" si="93"/>
        <v>-5</v>
      </c>
      <c r="BT86" s="303"/>
      <c r="BU86" s="303">
        <f t="shared" si="94"/>
        <v>0.39999999999999997</v>
      </c>
      <c r="BV86" s="303">
        <f t="shared" si="95"/>
        <v>0.39999999999999997</v>
      </c>
      <c r="BW86" s="303">
        <f t="shared" si="96"/>
        <v>-1.3200000000000003</v>
      </c>
    </row>
    <row r="87" spans="3:75" x14ac:dyDescent="0.2">
      <c r="C87">
        <f t="shared" si="98"/>
        <v>20.5</v>
      </c>
      <c r="D87">
        <f t="shared" si="99"/>
        <v>20</v>
      </c>
      <c r="E87">
        <f t="shared" si="52"/>
        <v>-1.8999999999999992</v>
      </c>
      <c r="G87" s="303">
        <f t="shared" si="53"/>
        <v>0.5</v>
      </c>
      <c r="H87" s="303">
        <f t="shared" si="54"/>
        <v>0.44999999999999996</v>
      </c>
      <c r="I87" s="303">
        <f t="shared" si="55"/>
        <v>-1.35</v>
      </c>
      <c r="K87" s="303">
        <f t="shared" si="56"/>
        <v>22.5</v>
      </c>
      <c r="L87" s="303">
        <f t="shared" si="57"/>
        <v>24.5</v>
      </c>
      <c r="M87" s="303">
        <f t="shared" si="58"/>
        <v>-2.9999999999999996</v>
      </c>
      <c r="N87" s="303"/>
      <c r="O87" s="303">
        <f t="shared" si="59"/>
        <v>21.249999999999996</v>
      </c>
      <c r="P87" s="303">
        <f t="shared" si="60"/>
        <v>21.249999999999996</v>
      </c>
      <c r="Q87" s="303">
        <f t="shared" si="61"/>
        <v>-1.9500000000000002</v>
      </c>
      <c r="R87" s="303"/>
      <c r="S87" s="303">
        <f t="shared" si="62"/>
        <v>-0.10000000000000003</v>
      </c>
      <c r="T87" s="304">
        <f t="shared" si="63"/>
        <v>-7.4499999999999997E-2</v>
      </c>
      <c r="U87" s="303">
        <f t="shared" si="64"/>
        <v>-0.28999999999999992</v>
      </c>
      <c r="V87" s="303"/>
      <c r="W87" s="303">
        <f t="shared" si="65"/>
        <v>26.500000000000004</v>
      </c>
      <c r="X87" s="303">
        <f t="shared" si="66"/>
        <v>26.500000000000004</v>
      </c>
      <c r="Y87" s="303">
        <f t="shared" si="67"/>
        <v>-2.25</v>
      </c>
      <c r="Z87" s="303"/>
      <c r="AA87" s="303">
        <f t="shared" si="68"/>
        <v>0.31499999999999995</v>
      </c>
      <c r="AB87" s="303">
        <f t="shared" si="69"/>
        <v>0.31499999999999995</v>
      </c>
      <c r="AC87" s="303">
        <f t="shared" si="70"/>
        <v>-0.37499999999999994</v>
      </c>
      <c r="AD87" s="303"/>
      <c r="AE87" s="303">
        <f t="shared" si="71"/>
        <v>49.000000000000007</v>
      </c>
      <c r="AF87" s="303">
        <f t="shared" si="72"/>
        <v>49.000000000000007</v>
      </c>
      <c r="AG87" s="303">
        <f t="shared" si="73"/>
        <v>-4.5</v>
      </c>
      <c r="AH87" s="303"/>
      <c r="AI87" s="303">
        <f t="shared" si="74"/>
        <v>0.54999999999999993</v>
      </c>
      <c r="AJ87" s="303">
        <f t="shared" si="75"/>
        <v>0.54999999999999993</v>
      </c>
      <c r="AK87" s="303">
        <f t="shared" si="76"/>
        <v>-1.1500000000000004</v>
      </c>
      <c r="AL87" s="303"/>
      <c r="AM87" s="303"/>
      <c r="AN87" s="303"/>
      <c r="AO87" s="303">
        <v>20.5</v>
      </c>
      <c r="AP87" s="303">
        <v>20.5</v>
      </c>
      <c r="AQ87" s="303">
        <v>-1.8999999999999992</v>
      </c>
      <c r="AR87" s="303"/>
      <c r="AS87" s="303">
        <v>0.5</v>
      </c>
      <c r="AT87" s="303">
        <v>0.44999999999999996</v>
      </c>
      <c r="AU87" s="303">
        <v>-1.35</v>
      </c>
      <c r="AV87" s="303"/>
      <c r="AW87" s="303">
        <f t="shared" si="77"/>
        <v>23.5</v>
      </c>
      <c r="AX87" s="303">
        <f t="shared" si="78"/>
        <v>23.5</v>
      </c>
      <c r="AY87" s="303">
        <f t="shared" si="97"/>
        <v>-3.9899999999999989</v>
      </c>
      <c r="AZ87" s="303"/>
      <c r="BA87" s="303">
        <f t="shared" si="79"/>
        <v>21.249999999999996</v>
      </c>
      <c r="BB87" s="303">
        <f t="shared" si="80"/>
        <v>21.249999999999996</v>
      </c>
      <c r="BC87" s="303">
        <f t="shared" si="81"/>
        <v>-1.9500000000000002</v>
      </c>
      <c r="BD87" s="303"/>
      <c r="BE87" s="303">
        <f t="shared" si="82"/>
        <v>-0.10000000000000003</v>
      </c>
      <c r="BF87" s="304">
        <f t="shared" si="83"/>
        <v>-7.9499999999999987E-2</v>
      </c>
      <c r="BG87" s="303">
        <f t="shared" si="84"/>
        <v>-0.28999999999999992</v>
      </c>
      <c r="BH87" s="303"/>
      <c r="BI87" s="303">
        <f t="shared" si="85"/>
        <v>26.500000000000004</v>
      </c>
      <c r="BJ87" s="303">
        <f t="shared" si="86"/>
        <v>26.500000000000004</v>
      </c>
      <c r="BK87" s="303">
        <f t="shared" si="87"/>
        <v>-2.25</v>
      </c>
      <c r="BL87" s="303"/>
      <c r="BM87" s="303">
        <f t="shared" si="88"/>
        <v>0.31499999999999995</v>
      </c>
      <c r="BN87" s="303">
        <f t="shared" si="89"/>
        <v>0.31499999999999995</v>
      </c>
      <c r="BO87" s="303">
        <f t="shared" si="90"/>
        <v>-0.47499999999999981</v>
      </c>
      <c r="BP87" s="303"/>
      <c r="BQ87" s="303">
        <f t="shared" si="91"/>
        <v>49.000000000000007</v>
      </c>
      <c r="BR87" s="303">
        <f t="shared" si="92"/>
        <v>49.000000000000007</v>
      </c>
      <c r="BS87" s="303">
        <f t="shared" si="93"/>
        <v>-4.5</v>
      </c>
      <c r="BT87" s="303"/>
      <c r="BU87" s="303">
        <f t="shared" si="94"/>
        <v>0.54999999999999993</v>
      </c>
      <c r="BV87" s="303">
        <f t="shared" si="95"/>
        <v>0.54999999999999993</v>
      </c>
      <c r="BW87" s="303">
        <f t="shared" si="96"/>
        <v>-1.1500000000000004</v>
      </c>
    </row>
    <row r="88" spans="3:75" x14ac:dyDescent="0.2">
      <c r="C88" s="235">
        <f t="shared" si="98"/>
        <v>21</v>
      </c>
      <c r="D88" s="235">
        <f t="shared" si="99"/>
        <v>20.5</v>
      </c>
      <c r="E88">
        <f t="shared" si="52"/>
        <v>-1.6799999999999993</v>
      </c>
      <c r="G88" s="303">
        <f t="shared" si="53"/>
        <v>0.7</v>
      </c>
      <c r="H88" s="303">
        <f t="shared" si="54"/>
        <v>0.6</v>
      </c>
      <c r="I88" s="303">
        <f t="shared" si="55"/>
        <v>-1.1400000000000001</v>
      </c>
      <c r="K88" s="303">
        <f t="shared" si="56"/>
        <v>23</v>
      </c>
      <c r="L88" s="303">
        <f t="shared" si="57"/>
        <v>25</v>
      </c>
      <c r="M88" s="303">
        <f t="shared" si="58"/>
        <v>-2.5999999999999996</v>
      </c>
      <c r="N88" s="303"/>
      <c r="O88" s="303">
        <f t="shared" si="59"/>
        <v>21.699999999999996</v>
      </c>
      <c r="P88" s="303">
        <f t="shared" si="60"/>
        <v>21.699999999999996</v>
      </c>
      <c r="Q88" s="303">
        <f t="shared" si="61"/>
        <v>-1.7400000000000002</v>
      </c>
      <c r="R88" s="303"/>
      <c r="S88" s="303">
        <f t="shared" si="62"/>
        <v>-8.0000000000000029E-2</v>
      </c>
      <c r="T88" s="304">
        <f t="shared" si="63"/>
        <v>-4.9399999999999999E-2</v>
      </c>
      <c r="U88" s="303">
        <f t="shared" si="64"/>
        <v>-0.2679999999999999</v>
      </c>
      <c r="V88" s="303"/>
      <c r="W88" s="303">
        <f t="shared" si="65"/>
        <v>26.800000000000004</v>
      </c>
      <c r="X88" s="303">
        <f t="shared" si="66"/>
        <v>26.800000000000004</v>
      </c>
      <c r="Y88" s="303">
        <f t="shared" si="67"/>
        <v>-2</v>
      </c>
      <c r="Z88" s="303"/>
      <c r="AA88" s="303">
        <f t="shared" si="68"/>
        <v>0.35799999999999993</v>
      </c>
      <c r="AB88" s="303">
        <f t="shared" si="69"/>
        <v>0.35799999999999993</v>
      </c>
      <c r="AC88" s="303">
        <f t="shared" si="70"/>
        <v>-0.32999999999999996</v>
      </c>
      <c r="AD88" s="303"/>
      <c r="AE88" s="303">
        <f t="shared" si="71"/>
        <v>49.600000000000009</v>
      </c>
      <c r="AF88" s="303">
        <f t="shared" si="72"/>
        <v>49.600000000000009</v>
      </c>
      <c r="AG88" s="303">
        <f t="shared" si="73"/>
        <v>-4</v>
      </c>
      <c r="AH88" s="303"/>
      <c r="AI88" s="303">
        <f t="shared" si="74"/>
        <v>0.7</v>
      </c>
      <c r="AJ88" s="303">
        <f t="shared" si="75"/>
        <v>0.7</v>
      </c>
      <c r="AK88" s="303">
        <f t="shared" si="76"/>
        <v>-0.98000000000000032</v>
      </c>
      <c r="AL88" s="303"/>
      <c r="AM88" s="303"/>
      <c r="AN88" s="303"/>
      <c r="AO88" s="303">
        <v>21</v>
      </c>
      <c r="AP88" s="303">
        <v>21</v>
      </c>
      <c r="AQ88" s="303">
        <v>-1.6799999999999993</v>
      </c>
      <c r="AR88" s="303"/>
      <c r="AS88" s="303">
        <v>0.7</v>
      </c>
      <c r="AT88" s="303">
        <v>0.6</v>
      </c>
      <c r="AU88" s="303">
        <v>-1.1400000000000001</v>
      </c>
      <c r="AV88" s="303"/>
      <c r="AW88" s="303">
        <f t="shared" si="77"/>
        <v>24</v>
      </c>
      <c r="AX88" s="303">
        <f t="shared" si="78"/>
        <v>24</v>
      </c>
      <c r="AY88" s="303">
        <f t="shared" si="97"/>
        <v>-3.589999999999999</v>
      </c>
      <c r="AZ88" s="303"/>
      <c r="BA88" s="303">
        <f t="shared" si="79"/>
        <v>21.699999999999996</v>
      </c>
      <c r="BB88" s="303">
        <f t="shared" si="80"/>
        <v>21.699999999999996</v>
      </c>
      <c r="BC88" s="303">
        <f t="shared" si="81"/>
        <v>-1.7400000000000002</v>
      </c>
      <c r="BD88" s="303"/>
      <c r="BE88" s="303">
        <f t="shared" si="82"/>
        <v>-8.0000000000000029E-2</v>
      </c>
      <c r="BF88" s="304">
        <f t="shared" si="83"/>
        <v>-5.5399999999999991E-2</v>
      </c>
      <c r="BG88" s="303">
        <f t="shared" si="84"/>
        <v>-0.2679999999999999</v>
      </c>
      <c r="BH88" s="303"/>
      <c r="BI88" s="303">
        <f t="shared" si="85"/>
        <v>26.800000000000004</v>
      </c>
      <c r="BJ88" s="303">
        <f t="shared" si="86"/>
        <v>26.800000000000004</v>
      </c>
      <c r="BK88" s="303">
        <f t="shared" si="87"/>
        <v>-2</v>
      </c>
      <c r="BL88" s="303"/>
      <c r="BM88" s="303">
        <f t="shared" si="88"/>
        <v>0.35799999999999993</v>
      </c>
      <c r="BN88" s="303">
        <f t="shared" si="89"/>
        <v>0.35799999999999993</v>
      </c>
      <c r="BO88" s="303">
        <f t="shared" si="90"/>
        <v>-0.42999999999999983</v>
      </c>
      <c r="BP88" s="303"/>
      <c r="BQ88" s="303">
        <f t="shared" si="91"/>
        <v>49.600000000000009</v>
      </c>
      <c r="BR88" s="303">
        <f t="shared" si="92"/>
        <v>49.600000000000009</v>
      </c>
      <c r="BS88" s="303">
        <f t="shared" si="93"/>
        <v>-4</v>
      </c>
      <c r="BT88" s="303"/>
      <c r="BU88" s="303">
        <f t="shared" si="94"/>
        <v>0.7</v>
      </c>
      <c r="BV88" s="303">
        <f t="shared" si="95"/>
        <v>0.7</v>
      </c>
      <c r="BW88" s="303">
        <f t="shared" si="96"/>
        <v>-0.98000000000000032</v>
      </c>
    </row>
    <row r="89" spans="3:75" x14ac:dyDescent="0.2">
      <c r="C89">
        <f t="shared" si="98"/>
        <v>21.5</v>
      </c>
      <c r="D89">
        <f t="shared" si="99"/>
        <v>21</v>
      </c>
      <c r="E89">
        <f t="shared" si="52"/>
        <v>-1.4599999999999993</v>
      </c>
      <c r="G89" s="303">
        <f t="shared" si="53"/>
        <v>0.89999999999999991</v>
      </c>
      <c r="H89" s="303">
        <f t="shared" si="54"/>
        <v>0.75</v>
      </c>
      <c r="I89" s="303">
        <f t="shared" si="55"/>
        <v>-0.93000000000000016</v>
      </c>
      <c r="K89" s="303">
        <f t="shared" si="56"/>
        <v>23.5</v>
      </c>
      <c r="L89" s="303">
        <f t="shared" si="57"/>
        <v>25.5</v>
      </c>
      <c r="M89" s="303">
        <f t="shared" si="58"/>
        <v>-2.1999999999999997</v>
      </c>
      <c r="N89" s="303"/>
      <c r="O89" s="303">
        <f t="shared" si="59"/>
        <v>22.149999999999995</v>
      </c>
      <c r="P89" s="303">
        <f t="shared" si="60"/>
        <v>22.149999999999995</v>
      </c>
      <c r="Q89" s="303">
        <f t="shared" si="61"/>
        <v>-1.5300000000000002</v>
      </c>
      <c r="R89" s="303"/>
      <c r="S89" s="303">
        <f t="shared" si="62"/>
        <v>-6.0000000000000026E-2</v>
      </c>
      <c r="T89" s="304">
        <f t="shared" si="63"/>
        <v>-2.4299999999999999E-2</v>
      </c>
      <c r="U89" s="303">
        <f t="shared" si="64"/>
        <v>-0.24599999999999991</v>
      </c>
      <c r="V89" s="303"/>
      <c r="W89" s="303">
        <f t="shared" si="65"/>
        <v>27.100000000000005</v>
      </c>
      <c r="X89" s="303">
        <f t="shared" si="66"/>
        <v>27.100000000000005</v>
      </c>
      <c r="Y89" s="303">
        <f t="shared" si="67"/>
        <v>-1.75</v>
      </c>
      <c r="Z89" s="303"/>
      <c r="AA89" s="303">
        <f t="shared" si="68"/>
        <v>0.40099999999999991</v>
      </c>
      <c r="AB89" s="303">
        <f t="shared" si="69"/>
        <v>0.40099999999999991</v>
      </c>
      <c r="AC89" s="303">
        <f t="shared" si="70"/>
        <v>-0.28499999999999998</v>
      </c>
      <c r="AD89" s="303"/>
      <c r="AE89" s="303">
        <f t="shared" si="71"/>
        <v>50.20000000000001</v>
      </c>
      <c r="AF89" s="303">
        <f t="shared" si="72"/>
        <v>50.20000000000001</v>
      </c>
      <c r="AG89" s="303">
        <f t="shared" si="73"/>
        <v>-3.5</v>
      </c>
      <c r="AH89" s="303"/>
      <c r="AI89" s="303">
        <f t="shared" si="74"/>
        <v>0.85</v>
      </c>
      <c r="AJ89" s="303">
        <f t="shared" si="75"/>
        <v>0.85</v>
      </c>
      <c r="AK89" s="303">
        <f t="shared" si="76"/>
        <v>-0.81000000000000028</v>
      </c>
      <c r="AL89" s="303"/>
      <c r="AM89" s="303"/>
      <c r="AN89" s="303"/>
      <c r="AO89" s="303">
        <v>21.5</v>
      </c>
      <c r="AP89" s="303">
        <v>21.5</v>
      </c>
      <c r="AQ89" s="303">
        <v>-1.4599999999999993</v>
      </c>
      <c r="AR89" s="303"/>
      <c r="AS89" s="303">
        <v>0.89999999999999991</v>
      </c>
      <c r="AT89" s="303">
        <v>0.75</v>
      </c>
      <c r="AU89" s="303">
        <v>-0.93000000000000016</v>
      </c>
      <c r="AV89" s="303"/>
      <c r="AW89" s="303">
        <f t="shared" si="77"/>
        <v>24.5</v>
      </c>
      <c r="AX89" s="303">
        <f t="shared" si="78"/>
        <v>24.5</v>
      </c>
      <c r="AY89" s="303">
        <f t="shared" si="97"/>
        <v>-3.1899999999999991</v>
      </c>
      <c r="AZ89" s="303"/>
      <c r="BA89" s="303">
        <f t="shared" si="79"/>
        <v>22.149999999999995</v>
      </c>
      <c r="BB89" s="303">
        <f t="shared" si="80"/>
        <v>22.149999999999995</v>
      </c>
      <c r="BC89" s="303">
        <f t="shared" si="81"/>
        <v>-1.5300000000000002</v>
      </c>
      <c r="BD89" s="303"/>
      <c r="BE89" s="303">
        <f t="shared" si="82"/>
        <v>-6.0000000000000026E-2</v>
      </c>
      <c r="BF89" s="304">
        <f t="shared" si="83"/>
        <v>-3.1299999999999994E-2</v>
      </c>
      <c r="BG89" s="303">
        <f t="shared" si="84"/>
        <v>-0.24599999999999991</v>
      </c>
      <c r="BH89" s="303"/>
      <c r="BI89" s="303">
        <f t="shared" si="85"/>
        <v>27.100000000000005</v>
      </c>
      <c r="BJ89" s="303">
        <f t="shared" si="86"/>
        <v>27.100000000000005</v>
      </c>
      <c r="BK89" s="303">
        <f t="shared" si="87"/>
        <v>-1.75</v>
      </c>
      <c r="BL89" s="303"/>
      <c r="BM89" s="303">
        <f t="shared" si="88"/>
        <v>0.40099999999999991</v>
      </c>
      <c r="BN89" s="303">
        <f t="shared" si="89"/>
        <v>0.40099999999999991</v>
      </c>
      <c r="BO89" s="303">
        <f t="shared" si="90"/>
        <v>-0.38499999999999984</v>
      </c>
      <c r="BP89" s="303"/>
      <c r="BQ89" s="303">
        <f t="shared" si="91"/>
        <v>50.20000000000001</v>
      </c>
      <c r="BR89" s="303">
        <f t="shared" si="92"/>
        <v>50.20000000000001</v>
      </c>
      <c r="BS89" s="303">
        <f t="shared" si="93"/>
        <v>-3.5</v>
      </c>
      <c r="BT89" s="303"/>
      <c r="BU89" s="303">
        <f t="shared" si="94"/>
        <v>0.85</v>
      </c>
      <c r="BV89" s="303">
        <f t="shared" si="95"/>
        <v>0.85</v>
      </c>
      <c r="BW89" s="303">
        <f t="shared" si="96"/>
        <v>-0.81000000000000028</v>
      </c>
    </row>
    <row r="90" spans="3:75" x14ac:dyDescent="0.2">
      <c r="C90">
        <f t="shared" si="98"/>
        <v>22</v>
      </c>
      <c r="D90">
        <f t="shared" si="99"/>
        <v>21.5</v>
      </c>
      <c r="E90">
        <f t="shared" si="52"/>
        <v>-1.2399999999999993</v>
      </c>
      <c r="G90" s="303">
        <f t="shared" si="53"/>
        <v>1.0999999999999999</v>
      </c>
      <c r="H90" s="303">
        <f t="shared" si="54"/>
        <v>0.9</v>
      </c>
      <c r="I90" s="303">
        <f t="shared" si="55"/>
        <v>-0.7200000000000002</v>
      </c>
      <c r="K90" s="303">
        <f t="shared" si="56"/>
        <v>24</v>
      </c>
      <c r="L90" s="303">
        <f t="shared" si="57"/>
        <v>26</v>
      </c>
      <c r="M90" s="303">
        <f t="shared" si="58"/>
        <v>-1.7999999999999998</v>
      </c>
      <c r="N90" s="303"/>
      <c r="O90" s="303">
        <f t="shared" si="59"/>
        <v>22.599999999999994</v>
      </c>
      <c r="P90" s="303">
        <f t="shared" si="60"/>
        <v>22.599999999999994</v>
      </c>
      <c r="Q90" s="303">
        <f t="shared" si="61"/>
        <v>-1.3200000000000003</v>
      </c>
      <c r="R90" s="303"/>
      <c r="S90" s="303">
        <f t="shared" si="62"/>
        <v>-4.0000000000000022E-2</v>
      </c>
      <c r="T90" s="304">
        <f t="shared" si="63"/>
        <v>8.000000000000021E-4</v>
      </c>
      <c r="U90" s="303">
        <f t="shared" si="64"/>
        <v>-0.22399999999999992</v>
      </c>
      <c r="V90" s="303"/>
      <c r="W90" s="303">
        <f t="shared" si="65"/>
        <v>27.400000000000006</v>
      </c>
      <c r="X90" s="303">
        <f t="shared" si="66"/>
        <v>27.400000000000006</v>
      </c>
      <c r="Y90" s="303">
        <f t="shared" si="67"/>
        <v>-1.5</v>
      </c>
      <c r="Z90" s="303"/>
      <c r="AA90" s="303">
        <f t="shared" si="68"/>
        <v>0.44399999999999989</v>
      </c>
      <c r="AB90" s="303">
        <f t="shared" si="69"/>
        <v>0.44399999999999989</v>
      </c>
      <c r="AC90" s="303">
        <f t="shared" si="70"/>
        <v>-0.24</v>
      </c>
      <c r="AD90" s="303"/>
      <c r="AE90" s="303">
        <f t="shared" si="71"/>
        <v>50.800000000000011</v>
      </c>
      <c r="AF90" s="303">
        <f t="shared" si="72"/>
        <v>50.800000000000011</v>
      </c>
      <c r="AG90" s="303">
        <f t="shared" si="73"/>
        <v>-3</v>
      </c>
      <c r="AH90" s="303"/>
      <c r="AI90" s="303">
        <f t="shared" si="74"/>
        <v>1</v>
      </c>
      <c r="AJ90" s="303">
        <f t="shared" si="75"/>
        <v>1</v>
      </c>
      <c r="AK90" s="303">
        <f t="shared" si="76"/>
        <v>-0.64000000000000024</v>
      </c>
      <c r="AL90" s="303"/>
      <c r="AM90" s="303"/>
      <c r="AN90" s="303"/>
      <c r="AO90" s="303">
        <v>22</v>
      </c>
      <c r="AP90" s="303">
        <v>22</v>
      </c>
      <c r="AQ90" s="303">
        <v>-1.2399999999999993</v>
      </c>
      <c r="AR90" s="303"/>
      <c r="AS90" s="303">
        <v>1.0999999999999999</v>
      </c>
      <c r="AT90" s="303">
        <v>0.9</v>
      </c>
      <c r="AU90" s="303">
        <v>-0.7200000000000002</v>
      </c>
      <c r="AV90" s="303"/>
      <c r="AW90" s="303">
        <f t="shared" si="77"/>
        <v>25</v>
      </c>
      <c r="AX90" s="303">
        <f t="shared" si="78"/>
        <v>25</v>
      </c>
      <c r="AY90" s="303">
        <f t="shared" si="97"/>
        <v>-2.7899999999999991</v>
      </c>
      <c r="AZ90" s="303"/>
      <c r="BA90" s="303">
        <f t="shared" si="79"/>
        <v>22.599999999999994</v>
      </c>
      <c r="BB90" s="303">
        <f t="shared" si="80"/>
        <v>22.599999999999994</v>
      </c>
      <c r="BC90" s="303">
        <f t="shared" si="81"/>
        <v>-1.3200000000000003</v>
      </c>
      <c r="BD90" s="303"/>
      <c r="BE90" s="303">
        <f t="shared" si="82"/>
        <v>-4.0000000000000022E-2</v>
      </c>
      <c r="BF90" s="304">
        <f t="shared" si="83"/>
        <v>-7.1999999999999946E-3</v>
      </c>
      <c r="BG90" s="303">
        <f t="shared" si="84"/>
        <v>-0.22399999999999992</v>
      </c>
      <c r="BH90" s="303"/>
      <c r="BI90" s="303">
        <f t="shared" si="85"/>
        <v>27.400000000000006</v>
      </c>
      <c r="BJ90" s="303">
        <f t="shared" si="86"/>
        <v>27.400000000000006</v>
      </c>
      <c r="BK90" s="303">
        <f t="shared" si="87"/>
        <v>-1.5</v>
      </c>
      <c r="BL90" s="303"/>
      <c r="BM90" s="303">
        <f t="shared" si="88"/>
        <v>0.44399999999999989</v>
      </c>
      <c r="BN90" s="303">
        <f t="shared" si="89"/>
        <v>0.44399999999999989</v>
      </c>
      <c r="BO90" s="303">
        <f t="shared" si="90"/>
        <v>-0.33999999999999986</v>
      </c>
      <c r="BP90" s="303"/>
      <c r="BQ90" s="303">
        <f t="shared" si="91"/>
        <v>50.800000000000011</v>
      </c>
      <c r="BR90" s="303">
        <f t="shared" si="92"/>
        <v>50.800000000000011</v>
      </c>
      <c r="BS90" s="303">
        <f t="shared" si="93"/>
        <v>-3</v>
      </c>
      <c r="BT90" s="303"/>
      <c r="BU90" s="303">
        <f t="shared" si="94"/>
        <v>1</v>
      </c>
      <c r="BV90" s="303">
        <f t="shared" si="95"/>
        <v>1</v>
      </c>
      <c r="BW90" s="303">
        <f t="shared" si="96"/>
        <v>-0.64000000000000024</v>
      </c>
    </row>
    <row r="91" spans="3:75" x14ac:dyDescent="0.2">
      <c r="C91" s="235">
        <f t="shared" si="98"/>
        <v>22.5</v>
      </c>
      <c r="D91" s="235">
        <f t="shared" si="99"/>
        <v>22</v>
      </c>
      <c r="E91">
        <f t="shared" si="52"/>
        <v>-1.0199999999999994</v>
      </c>
      <c r="G91" s="303">
        <f t="shared" si="53"/>
        <v>1.2999999999999998</v>
      </c>
      <c r="H91" s="303">
        <f t="shared" si="54"/>
        <v>1.05</v>
      </c>
      <c r="I91" s="303">
        <f t="shared" si="55"/>
        <v>-0.51000000000000023</v>
      </c>
      <c r="K91" s="303">
        <f t="shared" si="56"/>
        <v>24.5</v>
      </c>
      <c r="L91" s="303">
        <f t="shared" si="57"/>
        <v>26.5</v>
      </c>
      <c r="M91" s="303">
        <f t="shared" si="58"/>
        <v>-1.4</v>
      </c>
      <c r="N91" s="303"/>
      <c r="O91" s="303">
        <f t="shared" si="59"/>
        <v>23.049999999999994</v>
      </c>
      <c r="P91" s="303">
        <f t="shared" si="60"/>
        <v>23.049999999999994</v>
      </c>
      <c r="Q91" s="303">
        <f t="shared" si="61"/>
        <v>-1.1100000000000003</v>
      </c>
      <c r="R91" s="303"/>
      <c r="S91" s="303">
        <f t="shared" si="62"/>
        <v>-2.0000000000000021E-2</v>
      </c>
      <c r="T91" s="304">
        <f t="shared" si="63"/>
        <v>2.5900000000000003E-2</v>
      </c>
      <c r="U91" s="303">
        <f t="shared" si="64"/>
        <v>-0.20199999999999993</v>
      </c>
      <c r="V91" s="303"/>
      <c r="W91" s="303">
        <f t="shared" si="65"/>
        <v>27.700000000000006</v>
      </c>
      <c r="X91" s="303">
        <f t="shared" si="66"/>
        <v>27.700000000000006</v>
      </c>
      <c r="Y91" s="303">
        <f t="shared" si="67"/>
        <v>-1.25</v>
      </c>
      <c r="Z91" s="303"/>
      <c r="AA91" s="303">
        <f t="shared" si="68"/>
        <v>0.48699999999999988</v>
      </c>
      <c r="AB91" s="303">
        <f t="shared" si="69"/>
        <v>0.48699999999999988</v>
      </c>
      <c r="AC91" s="303">
        <f t="shared" si="70"/>
        <v>-0.19500000000000001</v>
      </c>
      <c r="AD91" s="303"/>
      <c r="AE91" s="303">
        <f t="shared" si="71"/>
        <v>51.400000000000013</v>
      </c>
      <c r="AF91" s="303">
        <f t="shared" si="72"/>
        <v>51.400000000000013</v>
      </c>
      <c r="AG91" s="303">
        <f t="shared" si="73"/>
        <v>-2.5</v>
      </c>
      <c r="AH91" s="303"/>
      <c r="AI91" s="303">
        <f t="shared" si="74"/>
        <v>1.1499999999999999</v>
      </c>
      <c r="AJ91" s="303">
        <f t="shared" si="75"/>
        <v>1.1499999999999999</v>
      </c>
      <c r="AK91" s="303">
        <f t="shared" si="76"/>
        <v>-0.4700000000000002</v>
      </c>
      <c r="AL91" s="303"/>
      <c r="AM91" s="303"/>
      <c r="AN91" s="303"/>
      <c r="AO91" s="303">
        <v>22.5</v>
      </c>
      <c r="AP91" s="303">
        <v>22.5</v>
      </c>
      <c r="AQ91" s="303">
        <v>-1.0199999999999994</v>
      </c>
      <c r="AR91" s="303"/>
      <c r="AS91" s="303">
        <v>1.2999999999999998</v>
      </c>
      <c r="AT91" s="303">
        <v>1.05</v>
      </c>
      <c r="AU91" s="303">
        <v>-0.51000000000000023</v>
      </c>
      <c r="AV91" s="303"/>
      <c r="AW91" s="303">
        <f t="shared" si="77"/>
        <v>25.5</v>
      </c>
      <c r="AX91" s="303">
        <f t="shared" si="78"/>
        <v>25.5</v>
      </c>
      <c r="AY91" s="303">
        <f t="shared" si="97"/>
        <v>-2.3899999999999992</v>
      </c>
      <c r="AZ91" s="303"/>
      <c r="BA91" s="303">
        <f t="shared" si="79"/>
        <v>23.049999999999994</v>
      </c>
      <c r="BB91" s="303">
        <f t="shared" si="80"/>
        <v>23.049999999999994</v>
      </c>
      <c r="BC91" s="303">
        <f t="shared" si="81"/>
        <v>-1.1100000000000003</v>
      </c>
      <c r="BD91" s="303"/>
      <c r="BE91" s="303">
        <f t="shared" si="82"/>
        <v>-2.0000000000000021E-2</v>
      </c>
      <c r="BF91" s="304">
        <f t="shared" si="83"/>
        <v>1.6900000000000005E-2</v>
      </c>
      <c r="BG91" s="303">
        <f t="shared" si="84"/>
        <v>-0.20199999999999993</v>
      </c>
      <c r="BH91" s="303"/>
      <c r="BI91" s="303">
        <f t="shared" si="85"/>
        <v>27.700000000000006</v>
      </c>
      <c r="BJ91" s="303">
        <f t="shared" si="86"/>
        <v>27.700000000000006</v>
      </c>
      <c r="BK91" s="303">
        <f t="shared" si="87"/>
        <v>-1.25</v>
      </c>
      <c r="BL91" s="303"/>
      <c r="BM91" s="303">
        <f t="shared" si="88"/>
        <v>0.48699999999999988</v>
      </c>
      <c r="BN91" s="303">
        <f t="shared" si="89"/>
        <v>0.48699999999999988</v>
      </c>
      <c r="BO91" s="303">
        <f t="shared" si="90"/>
        <v>-0.29499999999999987</v>
      </c>
      <c r="BP91" s="303"/>
      <c r="BQ91" s="303">
        <f t="shared" si="91"/>
        <v>51.400000000000013</v>
      </c>
      <c r="BR91" s="303">
        <f t="shared" si="92"/>
        <v>51.400000000000013</v>
      </c>
      <c r="BS91" s="303">
        <f t="shared" si="93"/>
        <v>-2.5</v>
      </c>
      <c r="BT91" s="303"/>
      <c r="BU91" s="303">
        <f t="shared" si="94"/>
        <v>1.1499999999999999</v>
      </c>
      <c r="BV91" s="303">
        <f t="shared" si="95"/>
        <v>1.1499999999999999</v>
      </c>
      <c r="BW91" s="303">
        <f t="shared" si="96"/>
        <v>-0.4700000000000002</v>
      </c>
    </row>
    <row r="92" spans="3:75" x14ac:dyDescent="0.2">
      <c r="C92" s="235">
        <f t="shared" si="98"/>
        <v>23</v>
      </c>
      <c r="D92" s="235">
        <f t="shared" si="99"/>
        <v>22.5</v>
      </c>
      <c r="E92">
        <f t="shared" si="52"/>
        <v>-0.79999999999999938</v>
      </c>
      <c r="G92" s="303">
        <f t="shared" si="53"/>
        <v>1.4999999999999998</v>
      </c>
      <c r="H92" s="303">
        <f t="shared" si="54"/>
        <v>1.2</v>
      </c>
      <c r="I92" s="303">
        <f t="shared" si="55"/>
        <v>-0.30000000000000027</v>
      </c>
      <c r="K92" s="303">
        <f t="shared" si="56"/>
        <v>25</v>
      </c>
      <c r="L92" s="303">
        <f t="shared" si="57"/>
        <v>27</v>
      </c>
      <c r="M92" s="303">
        <f t="shared" si="58"/>
        <v>-0.99999999999999989</v>
      </c>
      <c r="N92" s="303"/>
      <c r="O92" s="303">
        <f t="shared" si="59"/>
        <v>23.499999999999993</v>
      </c>
      <c r="P92" s="303">
        <f t="shared" si="60"/>
        <v>23.499999999999993</v>
      </c>
      <c r="Q92" s="303">
        <f t="shared" si="61"/>
        <v>-0.90000000000000036</v>
      </c>
      <c r="R92" s="303"/>
      <c r="S92" s="303">
        <f t="shared" si="62"/>
        <v>0</v>
      </c>
      <c r="T92" s="304">
        <f t="shared" si="63"/>
        <v>5.1000000000000004E-2</v>
      </c>
      <c r="U92" s="303">
        <f t="shared" si="64"/>
        <v>-0.17999999999999994</v>
      </c>
      <c r="V92" s="303"/>
      <c r="W92" s="303">
        <f t="shared" si="65"/>
        <v>28.000000000000007</v>
      </c>
      <c r="X92" s="303">
        <f t="shared" si="66"/>
        <v>28.000000000000007</v>
      </c>
      <c r="Y92" s="303">
        <f t="shared" si="67"/>
        <v>-1</v>
      </c>
      <c r="Z92" s="303"/>
      <c r="AA92" s="303">
        <f t="shared" si="68"/>
        <v>0.52999999999999992</v>
      </c>
      <c r="AB92" s="303">
        <f t="shared" si="69"/>
        <v>0.52999999999999992</v>
      </c>
      <c r="AC92" s="303">
        <f t="shared" si="70"/>
        <v>-0.15000000000000002</v>
      </c>
      <c r="AD92" s="303"/>
      <c r="AE92" s="303">
        <f t="shared" si="71"/>
        <v>52.000000000000014</v>
      </c>
      <c r="AF92" s="303">
        <f t="shared" si="72"/>
        <v>52.000000000000014</v>
      </c>
      <c r="AG92" s="303">
        <f t="shared" si="73"/>
        <v>-2</v>
      </c>
      <c r="AH92" s="303"/>
      <c r="AI92" s="303">
        <f t="shared" si="74"/>
        <v>1.2999999999999998</v>
      </c>
      <c r="AJ92" s="303">
        <f t="shared" si="75"/>
        <v>1.2999999999999998</v>
      </c>
      <c r="AK92" s="303">
        <f t="shared" si="76"/>
        <v>-0.30000000000000016</v>
      </c>
      <c r="AL92" s="303"/>
      <c r="AM92" s="303"/>
      <c r="AN92" s="303"/>
      <c r="AO92" s="303">
        <v>23</v>
      </c>
      <c r="AP92" s="303">
        <v>23</v>
      </c>
      <c r="AQ92" s="303">
        <v>-0.79999999999999938</v>
      </c>
      <c r="AR92" s="303"/>
      <c r="AS92" s="303">
        <v>1.4999999999999998</v>
      </c>
      <c r="AT92" s="303">
        <v>1.2</v>
      </c>
      <c r="AU92" s="303">
        <v>-0.30000000000000027</v>
      </c>
      <c r="AV92" s="303"/>
      <c r="AW92" s="303">
        <f t="shared" si="77"/>
        <v>26</v>
      </c>
      <c r="AX92" s="303">
        <f t="shared" si="78"/>
        <v>26</v>
      </c>
      <c r="AY92" s="303">
        <f t="shared" si="97"/>
        <v>-1.9899999999999993</v>
      </c>
      <c r="AZ92" s="303"/>
      <c r="BA92" s="303">
        <f t="shared" si="79"/>
        <v>23.499999999999993</v>
      </c>
      <c r="BB92" s="303">
        <f t="shared" si="80"/>
        <v>23.499999999999993</v>
      </c>
      <c r="BC92" s="303">
        <f t="shared" si="81"/>
        <v>-0.90000000000000036</v>
      </c>
      <c r="BD92" s="303"/>
      <c r="BE92" s="303">
        <f t="shared" si="82"/>
        <v>0</v>
      </c>
      <c r="BF92" s="304">
        <f t="shared" si="83"/>
        <v>4.1000000000000009E-2</v>
      </c>
      <c r="BG92" s="303">
        <f t="shared" si="84"/>
        <v>-0.17999999999999994</v>
      </c>
      <c r="BH92" s="303"/>
      <c r="BI92" s="303">
        <f t="shared" si="85"/>
        <v>28.000000000000007</v>
      </c>
      <c r="BJ92" s="303">
        <f t="shared" si="86"/>
        <v>28.000000000000007</v>
      </c>
      <c r="BK92" s="303">
        <f t="shared" si="87"/>
        <v>-1</v>
      </c>
      <c r="BL92" s="303"/>
      <c r="BM92" s="303">
        <f t="shared" si="88"/>
        <v>0.52999999999999992</v>
      </c>
      <c r="BN92" s="303">
        <f t="shared" si="89"/>
        <v>0.52999999999999992</v>
      </c>
      <c r="BO92" s="303">
        <f t="shared" si="90"/>
        <v>-0.24999999999999989</v>
      </c>
      <c r="BP92" s="303"/>
      <c r="BQ92" s="303">
        <f t="shared" si="91"/>
        <v>52.000000000000014</v>
      </c>
      <c r="BR92" s="303">
        <f t="shared" si="92"/>
        <v>52.000000000000014</v>
      </c>
      <c r="BS92" s="303">
        <f t="shared" si="93"/>
        <v>-2</v>
      </c>
      <c r="BT92" s="303"/>
      <c r="BU92" s="303">
        <f t="shared" si="94"/>
        <v>1.2999999999999998</v>
      </c>
      <c r="BV92" s="303">
        <f t="shared" si="95"/>
        <v>1.2999999999999998</v>
      </c>
      <c r="BW92" s="303">
        <f t="shared" si="96"/>
        <v>-0.30000000000000016</v>
      </c>
    </row>
    <row r="93" spans="3:75" x14ac:dyDescent="0.2">
      <c r="C93" s="235">
        <f t="shared" si="98"/>
        <v>23.5</v>
      </c>
      <c r="D93" s="235">
        <f t="shared" si="99"/>
        <v>23</v>
      </c>
      <c r="E93">
        <f t="shared" si="52"/>
        <v>-0.5799999999999994</v>
      </c>
      <c r="G93" s="303">
        <f t="shared" si="53"/>
        <v>1.6999999999999997</v>
      </c>
      <c r="H93" s="303">
        <f t="shared" si="54"/>
        <v>1.3499999999999999</v>
      </c>
      <c r="I93" s="303">
        <f t="shared" si="55"/>
        <v>-9.0000000000000274E-2</v>
      </c>
      <c r="K93" s="303">
        <f t="shared" si="56"/>
        <v>25.5</v>
      </c>
      <c r="L93" s="303">
        <f t="shared" si="57"/>
        <v>27.5</v>
      </c>
      <c r="M93" s="303">
        <f t="shared" si="58"/>
        <v>-0.59999999999999987</v>
      </c>
      <c r="N93" s="303"/>
      <c r="O93" s="303">
        <f t="shared" si="59"/>
        <v>23.949999999999992</v>
      </c>
      <c r="P93" s="303">
        <f t="shared" si="60"/>
        <v>23.949999999999992</v>
      </c>
      <c r="Q93" s="303">
        <f t="shared" si="61"/>
        <v>-0.69000000000000039</v>
      </c>
      <c r="R93" s="303"/>
      <c r="S93" s="303">
        <f t="shared" si="62"/>
        <v>0.02</v>
      </c>
      <c r="T93" s="304">
        <f t="shared" si="63"/>
        <v>7.6100000000000001E-2</v>
      </c>
      <c r="U93" s="303">
        <f t="shared" si="64"/>
        <v>-0.15799999999999995</v>
      </c>
      <c r="V93" s="303"/>
      <c r="W93" s="303">
        <f t="shared" si="65"/>
        <v>28.300000000000008</v>
      </c>
      <c r="X93" s="303">
        <f t="shared" si="66"/>
        <v>28.300000000000008</v>
      </c>
      <c r="Y93" s="303">
        <f t="shared" si="67"/>
        <v>-0.75</v>
      </c>
      <c r="Z93" s="303"/>
      <c r="AA93" s="303">
        <f t="shared" si="68"/>
        <v>0.57299999999999995</v>
      </c>
      <c r="AB93" s="303">
        <f t="shared" si="69"/>
        <v>0.57299999999999995</v>
      </c>
      <c r="AC93" s="303">
        <f t="shared" si="70"/>
        <v>-0.10500000000000002</v>
      </c>
      <c r="AD93" s="303"/>
      <c r="AE93" s="303">
        <f t="shared" si="71"/>
        <v>52.600000000000016</v>
      </c>
      <c r="AF93" s="303">
        <f t="shared" si="72"/>
        <v>52.600000000000016</v>
      </c>
      <c r="AG93" s="303">
        <f t="shared" si="73"/>
        <v>-1.5</v>
      </c>
      <c r="AH93" s="303"/>
      <c r="AI93" s="303">
        <f t="shared" si="74"/>
        <v>1.4499999999999997</v>
      </c>
      <c r="AJ93" s="303">
        <f t="shared" si="75"/>
        <v>1.4499999999999997</v>
      </c>
      <c r="AK93" s="303">
        <f t="shared" si="76"/>
        <v>-0.13000000000000014</v>
      </c>
      <c r="AL93" s="303"/>
      <c r="AM93" s="303"/>
      <c r="AN93" s="303"/>
      <c r="AO93" s="303">
        <v>23.5</v>
      </c>
      <c r="AP93" s="303">
        <v>23.5</v>
      </c>
      <c r="AQ93" s="303">
        <v>-0.5799999999999994</v>
      </c>
      <c r="AR93" s="303"/>
      <c r="AS93" s="303">
        <v>1.6999999999999997</v>
      </c>
      <c r="AT93" s="303">
        <v>1.3499999999999999</v>
      </c>
      <c r="AU93" s="303">
        <v>-9.0000000000000274E-2</v>
      </c>
      <c r="AV93" s="303"/>
      <c r="AW93" s="303">
        <f t="shared" si="77"/>
        <v>26.5</v>
      </c>
      <c r="AX93" s="303">
        <f t="shared" si="78"/>
        <v>26.5</v>
      </c>
      <c r="AY93" s="303">
        <f t="shared" si="97"/>
        <v>-1.5899999999999994</v>
      </c>
      <c r="AZ93" s="303"/>
      <c r="BA93" s="303">
        <f t="shared" si="79"/>
        <v>23.949999999999992</v>
      </c>
      <c r="BB93" s="303">
        <f t="shared" si="80"/>
        <v>23.949999999999992</v>
      </c>
      <c r="BC93" s="303">
        <f t="shared" si="81"/>
        <v>-0.69000000000000039</v>
      </c>
      <c r="BD93" s="303"/>
      <c r="BE93" s="303">
        <f t="shared" si="82"/>
        <v>0.02</v>
      </c>
      <c r="BF93" s="304">
        <f t="shared" si="83"/>
        <v>6.5100000000000005E-2</v>
      </c>
      <c r="BG93" s="303">
        <f t="shared" si="84"/>
        <v>-0.15799999999999995</v>
      </c>
      <c r="BH93" s="303"/>
      <c r="BI93" s="303">
        <f t="shared" si="85"/>
        <v>28.300000000000008</v>
      </c>
      <c r="BJ93" s="303">
        <f t="shared" si="86"/>
        <v>28.300000000000008</v>
      </c>
      <c r="BK93" s="303">
        <f t="shared" si="87"/>
        <v>-0.75</v>
      </c>
      <c r="BL93" s="303"/>
      <c r="BM93" s="303">
        <f t="shared" si="88"/>
        <v>0.57299999999999995</v>
      </c>
      <c r="BN93" s="303">
        <f t="shared" si="89"/>
        <v>0.57299999999999995</v>
      </c>
      <c r="BO93" s="303">
        <f t="shared" si="90"/>
        <v>-0.2049999999999999</v>
      </c>
      <c r="BP93" s="303"/>
      <c r="BQ93" s="303">
        <f t="shared" si="91"/>
        <v>52.600000000000016</v>
      </c>
      <c r="BR93" s="303">
        <f t="shared" si="92"/>
        <v>52.600000000000016</v>
      </c>
      <c r="BS93" s="303">
        <f t="shared" si="93"/>
        <v>-1.5</v>
      </c>
      <c r="BT93" s="303"/>
      <c r="BU93" s="303">
        <f t="shared" si="94"/>
        <v>1.4499999999999997</v>
      </c>
      <c r="BV93" s="303">
        <f t="shared" si="95"/>
        <v>1.4499999999999997</v>
      </c>
      <c r="BW93" s="303">
        <f t="shared" si="96"/>
        <v>-0.13000000000000014</v>
      </c>
    </row>
    <row r="94" spans="3:75" x14ac:dyDescent="0.2">
      <c r="C94" s="235">
        <f t="shared" si="98"/>
        <v>24</v>
      </c>
      <c r="D94" s="235">
        <f t="shared" si="99"/>
        <v>23.5</v>
      </c>
      <c r="E94">
        <f t="shared" si="52"/>
        <v>-0.35999999999999943</v>
      </c>
      <c r="G94" s="303">
        <f t="shared" si="53"/>
        <v>1.8999999999999997</v>
      </c>
      <c r="H94" s="303">
        <f t="shared" si="54"/>
        <v>1.4999999999999998</v>
      </c>
      <c r="I94" s="303">
        <f t="shared" si="55"/>
        <v>0.11999999999999972</v>
      </c>
      <c r="K94" s="303">
        <f t="shared" si="56"/>
        <v>26</v>
      </c>
      <c r="L94" s="303">
        <f t="shared" si="57"/>
        <v>28</v>
      </c>
      <c r="M94" s="303">
        <f t="shared" si="58"/>
        <v>-0.19999999999999984</v>
      </c>
      <c r="N94" s="303"/>
      <c r="O94" s="303">
        <f t="shared" si="59"/>
        <v>24.399999999999991</v>
      </c>
      <c r="P94" s="303">
        <f t="shared" si="60"/>
        <v>24.399999999999991</v>
      </c>
      <c r="Q94" s="303">
        <f t="shared" si="61"/>
        <v>-0.48000000000000043</v>
      </c>
      <c r="R94" s="303"/>
      <c r="S94" s="303">
        <f t="shared" si="62"/>
        <v>0.04</v>
      </c>
      <c r="T94" s="304">
        <f t="shared" si="63"/>
        <v>0.1012</v>
      </c>
      <c r="U94" s="303">
        <f t="shared" si="64"/>
        <v>-0.13599999999999995</v>
      </c>
      <c r="V94" s="303"/>
      <c r="W94" s="303">
        <f t="shared" si="65"/>
        <v>28.600000000000009</v>
      </c>
      <c r="X94" s="303">
        <f t="shared" si="66"/>
        <v>28.600000000000009</v>
      </c>
      <c r="Y94" s="303">
        <f t="shared" si="67"/>
        <v>-0.5</v>
      </c>
      <c r="Z94" s="303"/>
      <c r="AA94" s="303">
        <f t="shared" si="68"/>
        <v>0.61599999999999999</v>
      </c>
      <c r="AB94" s="303">
        <f t="shared" si="69"/>
        <v>0.61599999999999999</v>
      </c>
      <c r="AC94" s="303">
        <f t="shared" si="70"/>
        <v>-6.0000000000000026E-2</v>
      </c>
      <c r="AD94" s="303"/>
      <c r="AE94" s="303">
        <f t="shared" si="71"/>
        <v>53.200000000000017</v>
      </c>
      <c r="AF94" s="303">
        <f t="shared" si="72"/>
        <v>53.200000000000017</v>
      </c>
      <c r="AG94" s="303">
        <f t="shared" si="73"/>
        <v>-1</v>
      </c>
      <c r="AH94" s="303"/>
      <c r="AI94" s="303">
        <f t="shared" si="74"/>
        <v>1.5999999999999996</v>
      </c>
      <c r="AJ94" s="303">
        <f t="shared" si="75"/>
        <v>1.5999999999999996</v>
      </c>
      <c r="AK94" s="303">
        <f t="shared" si="76"/>
        <v>3.9999999999999869E-2</v>
      </c>
      <c r="AL94" s="303"/>
      <c r="AM94" s="303"/>
      <c r="AN94" s="303"/>
      <c r="AO94" s="303">
        <v>24</v>
      </c>
      <c r="AP94" s="303">
        <v>24</v>
      </c>
      <c r="AQ94" s="303">
        <v>-0.35999999999999943</v>
      </c>
      <c r="AR94" s="303"/>
      <c r="AS94" s="303">
        <v>1.8999999999999997</v>
      </c>
      <c r="AT94" s="303">
        <v>1.4999999999999998</v>
      </c>
      <c r="AU94" s="303">
        <v>0.11999999999999972</v>
      </c>
      <c r="AV94" s="303"/>
      <c r="AW94" s="303">
        <f t="shared" si="77"/>
        <v>27</v>
      </c>
      <c r="AX94" s="303">
        <f t="shared" si="78"/>
        <v>27</v>
      </c>
      <c r="AY94" s="303">
        <f t="shared" si="97"/>
        <v>-1.1899999999999995</v>
      </c>
      <c r="AZ94" s="303"/>
      <c r="BA94" s="303">
        <f t="shared" si="79"/>
        <v>24.399999999999991</v>
      </c>
      <c r="BB94" s="303">
        <f t="shared" si="80"/>
        <v>24.399999999999991</v>
      </c>
      <c r="BC94" s="303">
        <f t="shared" si="81"/>
        <v>-0.48000000000000043</v>
      </c>
      <c r="BD94" s="303"/>
      <c r="BE94" s="303">
        <f t="shared" si="82"/>
        <v>0.04</v>
      </c>
      <c r="BF94" s="304">
        <f t="shared" si="83"/>
        <v>8.9200000000000002E-2</v>
      </c>
      <c r="BG94" s="303">
        <f t="shared" si="84"/>
        <v>-0.13599999999999995</v>
      </c>
      <c r="BH94" s="303"/>
      <c r="BI94" s="303">
        <f t="shared" si="85"/>
        <v>28.600000000000009</v>
      </c>
      <c r="BJ94" s="303">
        <f t="shared" si="86"/>
        <v>28.600000000000009</v>
      </c>
      <c r="BK94" s="303">
        <f t="shared" si="87"/>
        <v>-0.5</v>
      </c>
      <c r="BL94" s="303"/>
      <c r="BM94" s="303">
        <f t="shared" si="88"/>
        <v>0.61599999999999999</v>
      </c>
      <c r="BN94" s="303">
        <f t="shared" si="89"/>
        <v>0.61599999999999999</v>
      </c>
      <c r="BO94" s="303">
        <f t="shared" si="90"/>
        <v>-0.15999999999999992</v>
      </c>
      <c r="BP94" s="303"/>
      <c r="BQ94" s="303">
        <f t="shared" si="91"/>
        <v>53.200000000000017</v>
      </c>
      <c r="BR94" s="303">
        <f t="shared" si="92"/>
        <v>53.200000000000017</v>
      </c>
      <c r="BS94" s="303">
        <f t="shared" si="93"/>
        <v>-1</v>
      </c>
      <c r="BT94" s="303"/>
      <c r="BU94" s="303">
        <f t="shared" si="94"/>
        <v>1.5999999999999996</v>
      </c>
      <c r="BV94" s="303">
        <f t="shared" si="95"/>
        <v>1.5999999999999996</v>
      </c>
      <c r="BW94" s="303">
        <f t="shared" si="96"/>
        <v>3.9999999999999869E-2</v>
      </c>
    </row>
    <row r="95" spans="3:75" x14ac:dyDescent="0.2">
      <c r="C95" s="235">
        <f t="shared" si="98"/>
        <v>24.5</v>
      </c>
      <c r="D95" s="235">
        <f t="shared" si="99"/>
        <v>24</v>
      </c>
      <c r="E95">
        <f t="shared" si="52"/>
        <v>-0.13999999999999943</v>
      </c>
      <c r="G95" s="303">
        <f t="shared" si="53"/>
        <v>2.0999999999999996</v>
      </c>
      <c r="H95" s="303">
        <f t="shared" si="54"/>
        <v>1.6499999999999997</v>
      </c>
      <c r="I95" s="303">
        <f t="shared" si="55"/>
        <v>0.32999999999999974</v>
      </c>
      <c r="K95" s="303">
        <f t="shared" si="56"/>
        <v>26.5</v>
      </c>
      <c r="L95" s="303">
        <f t="shared" si="57"/>
        <v>28.5</v>
      </c>
      <c r="M95" s="303">
        <f t="shared" si="58"/>
        <v>0.20000000000000018</v>
      </c>
      <c r="N95" s="303"/>
      <c r="O95" s="303">
        <f t="shared" si="59"/>
        <v>24.849999999999991</v>
      </c>
      <c r="P95" s="303">
        <f t="shared" si="60"/>
        <v>24.849999999999991</v>
      </c>
      <c r="Q95" s="303">
        <f t="shared" si="61"/>
        <v>-0.27000000000000046</v>
      </c>
      <c r="R95" s="303"/>
      <c r="S95" s="303">
        <f t="shared" si="62"/>
        <v>0.06</v>
      </c>
      <c r="T95" s="304">
        <f t="shared" si="63"/>
        <v>0.1263</v>
      </c>
      <c r="U95" s="303">
        <f t="shared" si="64"/>
        <v>-0.11399999999999996</v>
      </c>
      <c r="V95" s="303"/>
      <c r="W95" s="303">
        <f t="shared" si="65"/>
        <v>28.900000000000009</v>
      </c>
      <c r="X95" s="303">
        <f t="shared" si="66"/>
        <v>28.900000000000009</v>
      </c>
      <c r="Y95" s="303">
        <f t="shared" si="67"/>
        <v>-0.25</v>
      </c>
      <c r="Z95" s="303"/>
      <c r="AA95" s="303">
        <f t="shared" si="68"/>
        <v>0.65900000000000003</v>
      </c>
      <c r="AB95" s="303">
        <f t="shared" si="69"/>
        <v>0.65900000000000003</v>
      </c>
      <c r="AC95" s="303">
        <f t="shared" si="70"/>
        <v>-1.5000000000000027E-2</v>
      </c>
      <c r="AD95" s="303"/>
      <c r="AE95" s="303">
        <f t="shared" si="71"/>
        <v>53.800000000000018</v>
      </c>
      <c r="AF95" s="303">
        <f t="shared" si="72"/>
        <v>53.800000000000018</v>
      </c>
      <c r="AG95" s="303">
        <f t="shared" si="73"/>
        <v>-0.5</v>
      </c>
      <c r="AH95" s="303"/>
      <c r="AI95" s="303">
        <f t="shared" si="74"/>
        <v>1.7499999999999996</v>
      </c>
      <c r="AJ95" s="303">
        <f t="shared" si="75"/>
        <v>1.7499999999999996</v>
      </c>
      <c r="AK95" s="303">
        <f t="shared" si="76"/>
        <v>0.20999999999999988</v>
      </c>
      <c r="AL95" s="303"/>
      <c r="AM95" s="303"/>
      <c r="AN95" s="303"/>
      <c r="AO95" s="303">
        <v>24.5</v>
      </c>
      <c r="AP95" s="303">
        <v>24.5</v>
      </c>
      <c r="AQ95" s="303">
        <v>-0.13999999999999943</v>
      </c>
      <c r="AR95" s="303"/>
      <c r="AS95" s="303">
        <v>2.0999999999999996</v>
      </c>
      <c r="AT95" s="303">
        <v>1.6499999999999997</v>
      </c>
      <c r="AU95" s="303">
        <v>0.32999999999999974</v>
      </c>
      <c r="AV95" s="303"/>
      <c r="AW95" s="303">
        <f t="shared" si="77"/>
        <v>27.5</v>
      </c>
      <c r="AX95" s="303">
        <f t="shared" si="78"/>
        <v>27.5</v>
      </c>
      <c r="AY95" s="303">
        <f t="shared" si="97"/>
        <v>-0.78999999999999948</v>
      </c>
      <c r="AZ95" s="303"/>
      <c r="BA95" s="303">
        <f t="shared" si="79"/>
        <v>24.849999999999991</v>
      </c>
      <c r="BB95" s="303">
        <f t="shared" si="80"/>
        <v>24.849999999999991</v>
      </c>
      <c r="BC95" s="303">
        <f t="shared" si="81"/>
        <v>-0.27000000000000046</v>
      </c>
      <c r="BD95" s="303"/>
      <c r="BE95" s="303">
        <f t="shared" si="82"/>
        <v>0.06</v>
      </c>
      <c r="BF95" s="304">
        <f t="shared" si="83"/>
        <v>0.1133</v>
      </c>
      <c r="BG95" s="303">
        <f t="shared" si="84"/>
        <v>-0.11399999999999996</v>
      </c>
      <c r="BH95" s="303"/>
      <c r="BI95" s="303">
        <f t="shared" si="85"/>
        <v>28.900000000000009</v>
      </c>
      <c r="BJ95" s="303">
        <f t="shared" si="86"/>
        <v>28.900000000000009</v>
      </c>
      <c r="BK95" s="303">
        <f t="shared" si="87"/>
        <v>-0.25</v>
      </c>
      <c r="BL95" s="303"/>
      <c r="BM95" s="303">
        <f t="shared" si="88"/>
        <v>0.65900000000000003</v>
      </c>
      <c r="BN95" s="303">
        <f t="shared" si="89"/>
        <v>0.65900000000000003</v>
      </c>
      <c r="BO95" s="303">
        <f t="shared" si="90"/>
        <v>-0.11499999999999992</v>
      </c>
      <c r="BP95" s="303"/>
      <c r="BQ95" s="303">
        <f t="shared" si="91"/>
        <v>53.800000000000018</v>
      </c>
      <c r="BR95" s="303">
        <f t="shared" si="92"/>
        <v>53.800000000000018</v>
      </c>
      <c r="BS95" s="303">
        <f t="shared" si="93"/>
        <v>-0.5</v>
      </c>
      <c r="BT95" s="303"/>
      <c r="BU95" s="303">
        <f t="shared" si="94"/>
        <v>1.7499999999999996</v>
      </c>
      <c r="BV95" s="303">
        <f t="shared" si="95"/>
        <v>1.7499999999999996</v>
      </c>
      <c r="BW95" s="303">
        <f t="shared" si="96"/>
        <v>0.20999999999999988</v>
      </c>
    </row>
    <row r="96" spans="3:75" x14ac:dyDescent="0.2">
      <c r="C96" s="235">
        <f t="shared" si="98"/>
        <v>25</v>
      </c>
      <c r="D96" s="235">
        <f t="shared" si="99"/>
        <v>24.5</v>
      </c>
      <c r="E96">
        <f t="shared" si="52"/>
        <v>8.0000000000000571E-2</v>
      </c>
      <c r="G96" s="303">
        <f t="shared" si="53"/>
        <v>2.2999999999999998</v>
      </c>
      <c r="H96" s="303">
        <f t="shared" si="54"/>
        <v>1.7999999999999996</v>
      </c>
      <c r="I96" s="303">
        <f t="shared" si="55"/>
        <v>0.5399999999999997</v>
      </c>
      <c r="K96" s="303">
        <f t="shared" si="56"/>
        <v>27</v>
      </c>
      <c r="L96" s="303">
        <f t="shared" si="57"/>
        <v>29</v>
      </c>
      <c r="M96" s="303">
        <f t="shared" si="58"/>
        <v>0.6000000000000002</v>
      </c>
      <c r="N96" s="303"/>
      <c r="O96" s="303">
        <f t="shared" si="59"/>
        <v>25.29999999999999</v>
      </c>
      <c r="P96" s="303">
        <f t="shared" si="60"/>
        <v>25.29999999999999</v>
      </c>
      <c r="Q96" s="303">
        <f t="shared" si="61"/>
        <v>-6.000000000000047E-2</v>
      </c>
      <c r="R96" s="303"/>
      <c r="S96" s="303">
        <f t="shared" si="62"/>
        <v>0.08</v>
      </c>
      <c r="T96" s="304">
        <f t="shared" si="63"/>
        <v>0.15140000000000001</v>
      </c>
      <c r="U96" s="303">
        <f t="shared" si="64"/>
        <v>-9.1999999999999971E-2</v>
      </c>
      <c r="V96" s="303"/>
      <c r="W96" s="303">
        <f t="shared" si="65"/>
        <v>29.20000000000001</v>
      </c>
      <c r="X96" s="303">
        <f t="shared" si="66"/>
        <v>29.20000000000001</v>
      </c>
      <c r="Y96" s="303">
        <f t="shared" si="67"/>
        <v>0</v>
      </c>
      <c r="Z96" s="303"/>
      <c r="AA96" s="303">
        <f t="shared" si="68"/>
        <v>0.70200000000000007</v>
      </c>
      <c r="AB96" s="303">
        <f t="shared" si="69"/>
        <v>0.70200000000000007</v>
      </c>
      <c r="AC96" s="303">
        <f t="shared" si="70"/>
        <v>2.9999999999999971E-2</v>
      </c>
      <c r="AD96" s="303"/>
      <c r="AE96" s="303">
        <f t="shared" si="71"/>
        <v>54.40000000000002</v>
      </c>
      <c r="AF96" s="303">
        <f t="shared" si="72"/>
        <v>54.40000000000002</v>
      </c>
      <c r="AG96" s="303">
        <f t="shared" si="73"/>
        <v>0</v>
      </c>
      <c r="AH96" s="303"/>
      <c r="AI96" s="303">
        <f t="shared" si="74"/>
        <v>1.8999999999999995</v>
      </c>
      <c r="AJ96" s="303">
        <f t="shared" si="75"/>
        <v>1.8999999999999995</v>
      </c>
      <c r="AK96" s="303">
        <f t="shared" si="76"/>
        <v>0.37999999999999989</v>
      </c>
      <c r="AL96" s="303"/>
      <c r="AM96" s="303"/>
      <c r="AN96" s="303"/>
      <c r="AO96" s="303">
        <v>25</v>
      </c>
      <c r="AP96" s="303">
        <v>25</v>
      </c>
      <c r="AQ96" s="303">
        <v>8.0000000000000571E-2</v>
      </c>
      <c r="AR96" s="303"/>
      <c r="AS96" s="303">
        <v>2.2999999999999998</v>
      </c>
      <c r="AT96" s="303">
        <v>1.7999999999999996</v>
      </c>
      <c r="AU96" s="303">
        <v>0.5399999999999997</v>
      </c>
      <c r="AV96" s="303"/>
      <c r="AW96" s="303">
        <f t="shared" si="77"/>
        <v>28</v>
      </c>
      <c r="AX96" s="303">
        <f t="shared" si="78"/>
        <v>28</v>
      </c>
      <c r="AY96" s="303">
        <f t="shared" si="97"/>
        <v>-0.38999999999999946</v>
      </c>
      <c r="AZ96" s="303"/>
      <c r="BA96" s="303">
        <f t="shared" si="79"/>
        <v>25.29999999999999</v>
      </c>
      <c r="BB96" s="303">
        <f t="shared" si="80"/>
        <v>25.29999999999999</v>
      </c>
      <c r="BC96" s="303">
        <f t="shared" si="81"/>
        <v>-6.000000000000047E-2</v>
      </c>
      <c r="BD96" s="303"/>
      <c r="BE96" s="303">
        <f t="shared" si="82"/>
        <v>0.08</v>
      </c>
      <c r="BF96" s="304">
        <f t="shared" si="83"/>
        <v>0.13739999999999999</v>
      </c>
      <c r="BG96" s="303">
        <f t="shared" si="84"/>
        <v>-9.1999999999999971E-2</v>
      </c>
      <c r="BH96" s="303"/>
      <c r="BI96" s="303">
        <f t="shared" si="85"/>
        <v>29.20000000000001</v>
      </c>
      <c r="BJ96" s="303">
        <f t="shared" si="86"/>
        <v>29.20000000000001</v>
      </c>
      <c r="BK96" s="303">
        <f t="shared" si="87"/>
        <v>0</v>
      </c>
      <c r="BL96" s="303"/>
      <c r="BM96" s="303">
        <f t="shared" si="88"/>
        <v>0.70200000000000007</v>
      </c>
      <c r="BN96" s="303">
        <f t="shared" si="89"/>
        <v>0.70200000000000007</v>
      </c>
      <c r="BO96" s="303">
        <f t="shared" si="90"/>
        <v>-6.9999999999999923E-2</v>
      </c>
      <c r="BP96" s="303"/>
      <c r="BQ96" s="303">
        <f t="shared" si="91"/>
        <v>54.40000000000002</v>
      </c>
      <c r="BR96" s="303">
        <f t="shared" si="92"/>
        <v>54.40000000000002</v>
      </c>
      <c r="BS96" s="303">
        <f t="shared" si="93"/>
        <v>0</v>
      </c>
      <c r="BT96" s="303"/>
      <c r="BU96" s="303">
        <f t="shared" si="94"/>
        <v>1.8999999999999995</v>
      </c>
      <c r="BV96" s="303">
        <f t="shared" si="95"/>
        <v>1.8999999999999995</v>
      </c>
      <c r="BW96" s="303">
        <f t="shared" si="96"/>
        <v>0.37999999999999989</v>
      </c>
    </row>
    <row r="97" spans="3:75" x14ac:dyDescent="0.2">
      <c r="C97" s="235">
        <f t="shared" si="98"/>
        <v>25.5</v>
      </c>
      <c r="D97" s="235">
        <f t="shared" si="99"/>
        <v>25</v>
      </c>
      <c r="E97">
        <f t="shared" si="52"/>
        <v>0.3000000000000006</v>
      </c>
      <c r="G97" s="303">
        <f t="shared" si="53"/>
        <v>2.5</v>
      </c>
      <c r="H97" s="303">
        <f t="shared" si="54"/>
        <v>1.9499999999999995</v>
      </c>
      <c r="I97" s="303">
        <f t="shared" si="55"/>
        <v>0.74999999999999967</v>
      </c>
      <c r="K97" s="303">
        <f t="shared" si="56"/>
        <v>27.5</v>
      </c>
      <c r="L97" s="303">
        <f t="shared" si="57"/>
        <v>29.5</v>
      </c>
      <c r="M97" s="303">
        <f t="shared" si="58"/>
        <v>1.0000000000000002</v>
      </c>
      <c r="N97" s="303"/>
      <c r="O97" s="303">
        <f t="shared" si="59"/>
        <v>25.749999999999989</v>
      </c>
      <c r="P97" s="303">
        <f t="shared" si="60"/>
        <v>25.749999999999989</v>
      </c>
      <c r="Q97" s="303">
        <f t="shared" si="61"/>
        <v>0.14999999999999952</v>
      </c>
      <c r="R97" s="303"/>
      <c r="S97" s="303">
        <f t="shared" si="62"/>
        <v>0.1</v>
      </c>
      <c r="T97" s="304">
        <f t="shared" si="63"/>
        <v>0.17650000000000002</v>
      </c>
      <c r="U97" s="303">
        <f t="shared" si="64"/>
        <v>-6.9999999999999979E-2</v>
      </c>
      <c r="V97" s="303"/>
      <c r="W97" s="303">
        <f t="shared" si="65"/>
        <v>29.500000000000011</v>
      </c>
      <c r="X97" s="303">
        <f t="shared" si="66"/>
        <v>29.500000000000011</v>
      </c>
      <c r="Y97" s="303">
        <f t="shared" si="67"/>
        <v>0.25</v>
      </c>
      <c r="Z97" s="303"/>
      <c r="AA97" s="303">
        <f t="shared" si="68"/>
        <v>0.74500000000000011</v>
      </c>
      <c r="AB97" s="303">
        <f t="shared" si="69"/>
        <v>0.74500000000000011</v>
      </c>
      <c r="AC97" s="303">
        <f t="shared" si="70"/>
        <v>7.4999999999999969E-2</v>
      </c>
      <c r="AD97" s="303"/>
      <c r="AE97" s="303">
        <f t="shared" si="71"/>
        <v>55.000000000000021</v>
      </c>
      <c r="AF97" s="303">
        <f t="shared" si="72"/>
        <v>55.000000000000021</v>
      </c>
      <c r="AG97" s="303">
        <f t="shared" si="73"/>
        <v>0.5</v>
      </c>
      <c r="AH97" s="303"/>
      <c r="AI97" s="303">
        <f t="shared" si="74"/>
        <v>2.0499999999999994</v>
      </c>
      <c r="AJ97" s="303">
        <f t="shared" si="75"/>
        <v>2.0499999999999994</v>
      </c>
      <c r="AK97" s="303">
        <f t="shared" si="76"/>
        <v>0.54999999999999993</v>
      </c>
      <c r="AL97" s="303"/>
      <c r="AM97" s="303"/>
      <c r="AN97" s="303"/>
      <c r="AO97" s="303">
        <v>25.5</v>
      </c>
      <c r="AP97" s="303">
        <v>25.5</v>
      </c>
      <c r="AQ97" s="303">
        <v>0.3000000000000006</v>
      </c>
      <c r="AR97" s="303"/>
      <c r="AS97" s="303">
        <v>2.5</v>
      </c>
      <c r="AT97" s="303">
        <v>1.9499999999999995</v>
      </c>
      <c r="AU97" s="303">
        <v>0.74999999999999967</v>
      </c>
      <c r="AV97" s="303"/>
      <c r="AW97" s="303">
        <f t="shared" si="77"/>
        <v>28.5</v>
      </c>
      <c r="AX97" s="303">
        <f t="shared" si="78"/>
        <v>28.5</v>
      </c>
      <c r="AY97" s="303">
        <f t="shared" si="97"/>
        <v>1.0000000000000564E-2</v>
      </c>
      <c r="AZ97" s="303"/>
      <c r="BA97" s="303">
        <f t="shared" si="79"/>
        <v>25.749999999999989</v>
      </c>
      <c r="BB97" s="303">
        <f t="shared" si="80"/>
        <v>25.749999999999989</v>
      </c>
      <c r="BC97" s="303">
        <f t="shared" si="81"/>
        <v>0.14999999999999952</v>
      </c>
      <c r="BD97" s="303"/>
      <c r="BE97" s="303">
        <f t="shared" si="82"/>
        <v>0.1</v>
      </c>
      <c r="BF97" s="304">
        <f t="shared" si="83"/>
        <v>0.1615</v>
      </c>
      <c r="BG97" s="303">
        <f t="shared" si="84"/>
        <v>-6.9999999999999979E-2</v>
      </c>
      <c r="BH97" s="303"/>
      <c r="BI97" s="303">
        <f t="shared" si="85"/>
        <v>29.500000000000011</v>
      </c>
      <c r="BJ97" s="303">
        <f t="shared" si="86"/>
        <v>29.500000000000011</v>
      </c>
      <c r="BK97" s="303">
        <f t="shared" si="87"/>
        <v>0.25</v>
      </c>
      <c r="BL97" s="303"/>
      <c r="BM97" s="303">
        <f t="shared" si="88"/>
        <v>0.74500000000000011</v>
      </c>
      <c r="BN97" s="303">
        <f t="shared" si="89"/>
        <v>0.74500000000000011</v>
      </c>
      <c r="BO97" s="303">
        <f t="shared" si="90"/>
        <v>-2.4999999999999925E-2</v>
      </c>
      <c r="BP97" s="303"/>
      <c r="BQ97" s="303">
        <f t="shared" si="91"/>
        <v>55.000000000000021</v>
      </c>
      <c r="BR97" s="303">
        <f t="shared" si="92"/>
        <v>55.000000000000021</v>
      </c>
      <c r="BS97" s="303">
        <f t="shared" si="93"/>
        <v>0.5</v>
      </c>
      <c r="BT97" s="303"/>
      <c r="BU97" s="303">
        <f t="shared" si="94"/>
        <v>2.0499999999999994</v>
      </c>
      <c r="BV97" s="303">
        <f t="shared" si="95"/>
        <v>2.0499999999999994</v>
      </c>
      <c r="BW97" s="303">
        <f t="shared" si="96"/>
        <v>0.54999999999999993</v>
      </c>
    </row>
    <row r="98" spans="3:75" x14ac:dyDescent="0.2">
      <c r="C98" s="235">
        <f t="shared" si="98"/>
        <v>26</v>
      </c>
      <c r="D98" s="235">
        <f t="shared" si="99"/>
        <v>25.5</v>
      </c>
      <c r="E98">
        <f t="shared" si="52"/>
        <v>0.52000000000000057</v>
      </c>
      <c r="G98" s="303">
        <f t="shared" si="53"/>
        <v>2.7</v>
      </c>
      <c r="H98" s="303">
        <f t="shared" si="54"/>
        <v>2.0999999999999996</v>
      </c>
      <c r="I98" s="303">
        <f t="shared" si="55"/>
        <v>0.95999999999999963</v>
      </c>
      <c r="K98" s="303">
        <f t="shared" si="56"/>
        <v>28</v>
      </c>
      <c r="L98" s="303">
        <f t="shared" si="57"/>
        <v>30</v>
      </c>
      <c r="M98" s="303">
        <f t="shared" si="58"/>
        <v>1.4000000000000004</v>
      </c>
      <c r="N98" s="303"/>
      <c r="O98" s="303">
        <f t="shared" si="59"/>
        <v>26.199999999999989</v>
      </c>
      <c r="P98" s="303">
        <f t="shared" si="60"/>
        <v>26.199999999999989</v>
      </c>
      <c r="Q98" s="303">
        <f t="shared" si="61"/>
        <v>0.35999999999999954</v>
      </c>
      <c r="R98" s="303"/>
      <c r="S98" s="303">
        <f t="shared" si="62"/>
        <v>0.12000000000000001</v>
      </c>
      <c r="T98" s="304">
        <f t="shared" si="63"/>
        <v>0.20160000000000003</v>
      </c>
      <c r="U98" s="303">
        <f t="shared" si="64"/>
        <v>-4.799999999999998E-2</v>
      </c>
      <c r="V98" s="303"/>
      <c r="W98" s="303">
        <f t="shared" si="65"/>
        <v>29.800000000000011</v>
      </c>
      <c r="X98" s="303">
        <f t="shared" si="66"/>
        <v>29.800000000000011</v>
      </c>
      <c r="Y98" s="303">
        <f t="shared" si="67"/>
        <v>0.5</v>
      </c>
      <c r="Z98" s="303"/>
      <c r="AA98" s="303">
        <f t="shared" si="68"/>
        <v>0.78800000000000014</v>
      </c>
      <c r="AB98" s="303">
        <f t="shared" si="69"/>
        <v>0.78800000000000014</v>
      </c>
      <c r="AC98" s="303">
        <f t="shared" si="70"/>
        <v>0.11999999999999997</v>
      </c>
      <c r="AD98" s="303"/>
      <c r="AE98" s="303">
        <f t="shared" si="71"/>
        <v>55.600000000000023</v>
      </c>
      <c r="AF98" s="303">
        <f t="shared" si="72"/>
        <v>55.600000000000023</v>
      </c>
      <c r="AG98" s="303">
        <f t="shared" si="73"/>
        <v>1</v>
      </c>
      <c r="AH98" s="303"/>
      <c r="AI98" s="303">
        <f t="shared" si="74"/>
        <v>2.1999999999999993</v>
      </c>
      <c r="AJ98" s="303">
        <f t="shared" si="75"/>
        <v>2.1999999999999993</v>
      </c>
      <c r="AK98" s="303">
        <f t="shared" si="76"/>
        <v>0.72</v>
      </c>
      <c r="AL98" s="303"/>
      <c r="AM98" s="303"/>
      <c r="AN98" s="303"/>
      <c r="AO98" s="303">
        <v>26</v>
      </c>
      <c r="AP98" s="303">
        <v>26</v>
      </c>
      <c r="AQ98" s="303">
        <v>0.52000000000000057</v>
      </c>
      <c r="AR98" s="303"/>
      <c r="AS98" s="303">
        <v>2.7</v>
      </c>
      <c r="AT98" s="303">
        <v>2.0999999999999996</v>
      </c>
      <c r="AU98" s="303">
        <v>0.95999999999999963</v>
      </c>
      <c r="AV98" s="303"/>
      <c r="AW98" s="303">
        <f t="shared" si="77"/>
        <v>29</v>
      </c>
      <c r="AX98" s="303">
        <f t="shared" si="78"/>
        <v>29</v>
      </c>
      <c r="AY98" s="303">
        <f t="shared" si="97"/>
        <v>0.41000000000000059</v>
      </c>
      <c r="AZ98" s="303"/>
      <c r="BA98" s="303">
        <f t="shared" si="79"/>
        <v>26.199999999999989</v>
      </c>
      <c r="BB98" s="303">
        <f t="shared" si="80"/>
        <v>26.199999999999989</v>
      </c>
      <c r="BC98" s="303">
        <f t="shared" si="81"/>
        <v>0.35999999999999954</v>
      </c>
      <c r="BD98" s="303"/>
      <c r="BE98" s="303">
        <f t="shared" si="82"/>
        <v>0.12000000000000001</v>
      </c>
      <c r="BF98" s="304">
        <f t="shared" si="83"/>
        <v>0.18560000000000001</v>
      </c>
      <c r="BG98" s="303">
        <f t="shared" si="84"/>
        <v>-4.799999999999998E-2</v>
      </c>
      <c r="BH98" s="303"/>
      <c r="BI98" s="303">
        <f t="shared" si="85"/>
        <v>29.800000000000011</v>
      </c>
      <c r="BJ98" s="303">
        <f t="shared" si="86"/>
        <v>29.800000000000011</v>
      </c>
      <c r="BK98" s="303">
        <f t="shared" si="87"/>
        <v>0.5</v>
      </c>
      <c r="BL98" s="303"/>
      <c r="BM98" s="303">
        <f t="shared" si="88"/>
        <v>0.78800000000000014</v>
      </c>
      <c r="BN98" s="303">
        <f t="shared" si="89"/>
        <v>0.78800000000000014</v>
      </c>
      <c r="BO98" s="303">
        <f t="shared" si="90"/>
        <v>2.0000000000000073E-2</v>
      </c>
      <c r="BP98" s="303"/>
      <c r="BQ98" s="303">
        <f t="shared" si="91"/>
        <v>55.600000000000023</v>
      </c>
      <c r="BR98" s="303">
        <f t="shared" si="92"/>
        <v>55.600000000000023</v>
      </c>
      <c r="BS98" s="303">
        <f t="shared" si="93"/>
        <v>1</v>
      </c>
      <c r="BT98" s="303"/>
      <c r="BU98" s="303">
        <f t="shared" si="94"/>
        <v>2.1999999999999993</v>
      </c>
      <c r="BV98" s="303">
        <f t="shared" si="95"/>
        <v>2.1999999999999993</v>
      </c>
      <c r="BW98" s="303">
        <f t="shared" si="96"/>
        <v>0.72</v>
      </c>
    </row>
    <row r="99" spans="3:75" x14ac:dyDescent="0.2">
      <c r="C99" s="235">
        <f t="shared" si="98"/>
        <v>26.5</v>
      </c>
      <c r="D99" s="235">
        <f t="shared" si="99"/>
        <v>26</v>
      </c>
      <c r="E99">
        <f t="shared" si="52"/>
        <v>0.74000000000000055</v>
      </c>
      <c r="G99" s="303">
        <f t="shared" si="53"/>
        <v>2.9000000000000004</v>
      </c>
      <c r="H99" s="303">
        <f t="shared" si="54"/>
        <v>2.2499999999999996</v>
      </c>
      <c r="I99" s="303">
        <f t="shared" si="55"/>
        <v>1.1699999999999997</v>
      </c>
      <c r="K99" s="303">
        <f t="shared" si="56"/>
        <v>28.5</v>
      </c>
      <c r="L99" s="303">
        <f t="shared" si="57"/>
        <v>30.5</v>
      </c>
      <c r="M99" s="303">
        <f t="shared" si="58"/>
        <v>1.8000000000000003</v>
      </c>
      <c r="N99" s="303"/>
      <c r="O99" s="303">
        <f t="shared" si="59"/>
        <v>26.649999999999988</v>
      </c>
      <c r="P99" s="303">
        <f t="shared" si="60"/>
        <v>26.649999999999988</v>
      </c>
      <c r="Q99" s="303">
        <f t="shared" si="61"/>
        <v>0.56999999999999951</v>
      </c>
      <c r="R99" s="303"/>
      <c r="S99" s="303">
        <f t="shared" si="62"/>
        <v>0.14000000000000001</v>
      </c>
      <c r="T99" s="304">
        <f t="shared" si="63"/>
        <v>0.22670000000000004</v>
      </c>
      <c r="U99" s="303">
        <f t="shared" si="64"/>
        <v>-2.5999999999999981E-2</v>
      </c>
      <c r="V99" s="303"/>
      <c r="W99" s="303">
        <f t="shared" si="65"/>
        <v>30.100000000000012</v>
      </c>
      <c r="X99" s="303">
        <f t="shared" si="66"/>
        <v>30.100000000000012</v>
      </c>
      <c r="Y99" s="303">
        <f t="shared" si="67"/>
        <v>0.75</v>
      </c>
      <c r="Z99" s="303"/>
      <c r="AA99" s="303">
        <f t="shared" si="68"/>
        <v>0.83100000000000018</v>
      </c>
      <c r="AB99" s="303">
        <f t="shared" si="69"/>
        <v>0.83100000000000018</v>
      </c>
      <c r="AC99" s="303">
        <f t="shared" si="70"/>
        <v>0.16499999999999998</v>
      </c>
      <c r="AD99" s="303"/>
      <c r="AE99" s="303">
        <f t="shared" si="71"/>
        <v>56.200000000000024</v>
      </c>
      <c r="AF99" s="303">
        <f t="shared" si="72"/>
        <v>56.200000000000024</v>
      </c>
      <c r="AG99" s="303">
        <f t="shared" si="73"/>
        <v>1.5</v>
      </c>
      <c r="AH99" s="303"/>
      <c r="AI99" s="303">
        <f t="shared" si="74"/>
        <v>2.3499999999999992</v>
      </c>
      <c r="AJ99" s="303">
        <f t="shared" si="75"/>
        <v>2.3499999999999992</v>
      </c>
      <c r="AK99" s="303">
        <f t="shared" si="76"/>
        <v>0.89</v>
      </c>
      <c r="AL99" s="303"/>
      <c r="AM99" s="303"/>
      <c r="AN99" s="303"/>
      <c r="AO99" s="303">
        <v>26.5</v>
      </c>
      <c r="AP99" s="303">
        <v>26.5</v>
      </c>
      <c r="AQ99" s="303">
        <v>0.74000000000000055</v>
      </c>
      <c r="AR99" s="303"/>
      <c r="AS99" s="303">
        <v>2.9000000000000004</v>
      </c>
      <c r="AT99" s="303">
        <v>2.2499999999999996</v>
      </c>
      <c r="AU99" s="303">
        <v>1.1699999999999997</v>
      </c>
      <c r="AV99" s="303"/>
      <c r="AW99" s="303">
        <f t="shared" si="77"/>
        <v>29.5</v>
      </c>
      <c r="AX99" s="303">
        <f t="shared" si="78"/>
        <v>29.5</v>
      </c>
      <c r="AY99" s="303">
        <f t="shared" si="97"/>
        <v>0.81000000000000061</v>
      </c>
      <c r="AZ99" s="303"/>
      <c r="BA99" s="303">
        <f t="shared" si="79"/>
        <v>26.649999999999988</v>
      </c>
      <c r="BB99" s="303">
        <f t="shared" si="80"/>
        <v>26.649999999999988</v>
      </c>
      <c r="BC99" s="303">
        <f t="shared" si="81"/>
        <v>0.56999999999999951</v>
      </c>
      <c r="BD99" s="303"/>
      <c r="BE99" s="303">
        <f t="shared" si="82"/>
        <v>0.14000000000000001</v>
      </c>
      <c r="BF99" s="304">
        <f t="shared" si="83"/>
        <v>0.20970000000000003</v>
      </c>
      <c r="BG99" s="303">
        <f t="shared" si="84"/>
        <v>-2.5999999999999981E-2</v>
      </c>
      <c r="BH99" s="303"/>
      <c r="BI99" s="303">
        <f t="shared" si="85"/>
        <v>30.100000000000012</v>
      </c>
      <c r="BJ99" s="303">
        <f t="shared" si="86"/>
        <v>30.100000000000012</v>
      </c>
      <c r="BK99" s="303">
        <f t="shared" si="87"/>
        <v>0.75</v>
      </c>
      <c r="BL99" s="303"/>
      <c r="BM99" s="303">
        <f t="shared" si="88"/>
        <v>0.83100000000000018</v>
      </c>
      <c r="BN99" s="303">
        <f t="shared" si="89"/>
        <v>0.83100000000000018</v>
      </c>
      <c r="BO99" s="303">
        <f t="shared" si="90"/>
        <v>6.5000000000000072E-2</v>
      </c>
      <c r="BP99" s="303"/>
      <c r="BQ99" s="303">
        <f t="shared" si="91"/>
        <v>56.200000000000024</v>
      </c>
      <c r="BR99" s="303">
        <f t="shared" si="92"/>
        <v>56.200000000000024</v>
      </c>
      <c r="BS99" s="303">
        <f t="shared" si="93"/>
        <v>1.5</v>
      </c>
      <c r="BT99" s="303"/>
      <c r="BU99" s="303">
        <f t="shared" si="94"/>
        <v>2.3499999999999992</v>
      </c>
      <c r="BV99" s="303">
        <f t="shared" si="95"/>
        <v>2.3499999999999992</v>
      </c>
      <c r="BW99" s="303">
        <f t="shared" si="96"/>
        <v>0.89</v>
      </c>
    </row>
    <row r="100" spans="3:75" x14ac:dyDescent="0.2">
      <c r="C100" s="235">
        <f t="shared" si="98"/>
        <v>27</v>
      </c>
      <c r="D100" s="235">
        <f t="shared" si="99"/>
        <v>26.5</v>
      </c>
      <c r="E100">
        <f t="shared" si="52"/>
        <v>0.96000000000000052</v>
      </c>
      <c r="G100" s="303">
        <f t="shared" si="53"/>
        <v>3.1000000000000005</v>
      </c>
      <c r="H100" s="303">
        <f t="shared" si="54"/>
        <v>2.3999999999999995</v>
      </c>
      <c r="I100" s="303">
        <f t="shared" si="55"/>
        <v>1.3799999999999997</v>
      </c>
      <c r="K100" s="303">
        <f t="shared" si="56"/>
        <v>29</v>
      </c>
      <c r="L100" s="303">
        <f t="shared" si="57"/>
        <v>31</v>
      </c>
      <c r="M100" s="303">
        <f t="shared" si="58"/>
        <v>2.2000000000000002</v>
      </c>
      <c r="N100" s="303"/>
      <c r="O100" s="303">
        <f t="shared" si="59"/>
        <v>27.099999999999987</v>
      </c>
      <c r="P100" s="303">
        <f t="shared" si="60"/>
        <v>27.099999999999987</v>
      </c>
      <c r="Q100" s="303">
        <f t="shared" si="61"/>
        <v>0.77999999999999947</v>
      </c>
      <c r="R100" s="303"/>
      <c r="S100" s="303">
        <f t="shared" si="62"/>
        <v>0.16</v>
      </c>
      <c r="T100" s="304">
        <f t="shared" si="63"/>
        <v>0.25180000000000002</v>
      </c>
      <c r="U100" s="303">
        <f t="shared" si="64"/>
        <v>-3.9999999999999827E-3</v>
      </c>
      <c r="V100" s="303"/>
      <c r="W100" s="303">
        <f t="shared" si="65"/>
        <v>30.400000000000013</v>
      </c>
      <c r="X100" s="303">
        <f t="shared" si="66"/>
        <v>30.400000000000013</v>
      </c>
      <c r="Y100" s="303">
        <f t="shared" si="67"/>
        <v>1</v>
      </c>
      <c r="Z100" s="303"/>
      <c r="AA100" s="303">
        <f t="shared" si="68"/>
        <v>0.87400000000000022</v>
      </c>
      <c r="AB100" s="303">
        <f t="shared" si="69"/>
        <v>0.87400000000000022</v>
      </c>
      <c r="AC100" s="303">
        <f t="shared" si="70"/>
        <v>0.20999999999999996</v>
      </c>
      <c r="AD100" s="303"/>
      <c r="AE100" s="303">
        <f t="shared" si="71"/>
        <v>56.800000000000026</v>
      </c>
      <c r="AF100" s="303">
        <f t="shared" si="72"/>
        <v>56.800000000000026</v>
      </c>
      <c r="AG100" s="303">
        <f t="shared" si="73"/>
        <v>2</v>
      </c>
      <c r="AH100" s="303"/>
      <c r="AI100" s="303">
        <f t="shared" si="74"/>
        <v>2.4999999999999991</v>
      </c>
      <c r="AJ100" s="303">
        <f t="shared" si="75"/>
        <v>2.4999999999999991</v>
      </c>
      <c r="AK100" s="303">
        <f t="shared" si="76"/>
        <v>1.06</v>
      </c>
      <c r="AL100" s="303"/>
      <c r="AM100" s="303"/>
      <c r="AN100" s="303"/>
      <c r="AO100" s="303">
        <v>27</v>
      </c>
      <c r="AP100" s="303">
        <v>27</v>
      </c>
      <c r="AQ100" s="303">
        <v>0.96000000000000052</v>
      </c>
      <c r="AR100" s="303"/>
      <c r="AS100" s="303">
        <v>3.1000000000000005</v>
      </c>
      <c r="AT100" s="303">
        <v>2.3999999999999995</v>
      </c>
      <c r="AU100" s="303">
        <v>1.3799999999999997</v>
      </c>
      <c r="AV100" s="303"/>
      <c r="AW100" s="303">
        <f t="shared" si="77"/>
        <v>30</v>
      </c>
      <c r="AX100" s="303">
        <f t="shared" si="78"/>
        <v>30</v>
      </c>
      <c r="AY100" s="303">
        <f t="shared" si="97"/>
        <v>1.2100000000000006</v>
      </c>
      <c r="AZ100" s="303"/>
      <c r="BA100" s="303">
        <f t="shared" si="79"/>
        <v>27.099999999999987</v>
      </c>
      <c r="BB100" s="303">
        <f t="shared" si="80"/>
        <v>27.099999999999987</v>
      </c>
      <c r="BC100" s="303">
        <f t="shared" si="81"/>
        <v>0.77999999999999947</v>
      </c>
      <c r="BD100" s="303"/>
      <c r="BE100" s="303">
        <f t="shared" si="82"/>
        <v>0.16</v>
      </c>
      <c r="BF100" s="304">
        <f t="shared" si="83"/>
        <v>0.23380000000000004</v>
      </c>
      <c r="BG100" s="303">
        <f t="shared" si="84"/>
        <v>-3.9999999999999827E-3</v>
      </c>
      <c r="BH100" s="303"/>
      <c r="BI100" s="303">
        <f t="shared" si="85"/>
        <v>30.400000000000013</v>
      </c>
      <c r="BJ100" s="303">
        <f t="shared" si="86"/>
        <v>30.400000000000013</v>
      </c>
      <c r="BK100" s="303">
        <f t="shared" si="87"/>
        <v>1</v>
      </c>
      <c r="BL100" s="303"/>
      <c r="BM100" s="303">
        <f t="shared" si="88"/>
        <v>0.87400000000000022</v>
      </c>
      <c r="BN100" s="303">
        <f t="shared" si="89"/>
        <v>0.87400000000000022</v>
      </c>
      <c r="BO100" s="303">
        <f t="shared" si="90"/>
        <v>0.11000000000000007</v>
      </c>
      <c r="BP100" s="303"/>
      <c r="BQ100" s="303">
        <f t="shared" si="91"/>
        <v>56.800000000000026</v>
      </c>
      <c r="BR100" s="303">
        <f t="shared" si="92"/>
        <v>56.800000000000026</v>
      </c>
      <c r="BS100" s="303">
        <f t="shared" si="93"/>
        <v>2</v>
      </c>
      <c r="BT100" s="303"/>
      <c r="BU100" s="303">
        <f t="shared" si="94"/>
        <v>2.4999999999999991</v>
      </c>
      <c r="BV100" s="303">
        <f t="shared" si="95"/>
        <v>2.4999999999999991</v>
      </c>
      <c r="BW100" s="303">
        <f t="shared" si="96"/>
        <v>1.06</v>
      </c>
    </row>
    <row r="101" spans="3:75" x14ac:dyDescent="0.2">
      <c r="C101" s="235">
        <f t="shared" si="98"/>
        <v>27.5</v>
      </c>
      <c r="D101" s="235">
        <f t="shared" si="99"/>
        <v>27</v>
      </c>
      <c r="E101">
        <f t="shared" si="52"/>
        <v>1.1800000000000006</v>
      </c>
      <c r="G101" s="303">
        <f t="shared" si="53"/>
        <v>3.3000000000000007</v>
      </c>
      <c r="H101" s="303">
        <f t="shared" si="54"/>
        <v>2.5499999999999994</v>
      </c>
      <c r="I101" s="303">
        <f t="shared" si="55"/>
        <v>1.5899999999999996</v>
      </c>
      <c r="K101" s="303">
        <f t="shared" si="56"/>
        <v>29.5</v>
      </c>
      <c r="L101" s="303">
        <f t="shared" si="57"/>
        <v>31.5</v>
      </c>
      <c r="M101" s="303">
        <f t="shared" si="58"/>
        <v>2.6</v>
      </c>
      <c r="N101" s="303"/>
      <c r="O101" s="303">
        <f t="shared" si="59"/>
        <v>27.549999999999986</v>
      </c>
      <c r="P101" s="303">
        <f t="shared" si="60"/>
        <v>27.549999999999986</v>
      </c>
      <c r="Q101" s="303">
        <f t="shared" si="61"/>
        <v>0.98999999999999944</v>
      </c>
      <c r="R101" s="303"/>
      <c r="S101" s="303">
        <f t="shared" si="62"/>
        <v>0.18</v>
      </c>
      <c r="T101" s="304">
        <f t="shared" si="63"/>
        <v>0.27690000000000003</v>
      </c>
      <c r="U101" s="303">
        <f t="shared" si="64"/>
        <v>1.8000000000000016E-2</v>
      </c>
      <c r="V101" s="303"/>
      <c r="W101" s="303">
        <f t="shared" si="65"/>
        <v>30.700000000000014</v>
      </c>
      <c r="X101" s="303">
        <f t="shared" si="66"/>
        <v>30.700000000000014</v>
      </c>
      <c r="Y101" s="303">
        <f t="shared" si="67"/>
        <v>1.25</v>
      </c>
      <c r="Z101" s="303"/>
      <c r="AA101" s="303">
        <f t="shared" si="68"/>
        <v>0.91700000000000026</v>
      </c>
      <c r="AB101" s="303">
        <f t="shared" si="69"/>
        <v>0.91700000000000026</v>
      </c>
      <c r="AC101" s="303">
        <f t="shared" si="70"/>
        <v>0.25499999999999995</v>
      </c>
      <c r="AD101" s="303"/>
      <c r="AE101" s="303">
        <f t="shared" si="71"/>
        <v>57.400000000000027</v>
      </c>
      <c r="AF101" s="303">
        <f t="shared" si="72"/>
        <v>57.400000000000027</v>
      </c>
      <c r="AG101" s="303">
        <f t="shared" si="73"/>
        <v>2.5</v>
      </c>
      <c r="AH101" s="303"/>
      <c r="AI101" s="303">
        <f t="shared" si="74"/>
        <v>2.649999999999999</v>
      </c>
      <c r="AJ101" s="303">
        <f t="shared" si="75"/>
        <v>2.649999999999999</v>
      </c>
      <c r="AK101" s="303">
        <f t="shared" si="76"/>
        <v>1.23</v>
      </c>
      <c r="AL101" s="303"/>
      <c r="AM101" s="303"/>
      <c r="AN101" s="303"/>
      <c r="AO101" s="303">
        <v>27.5</v>
      </c>
      <c r="AP101" s="303">
        <v>27.5</v>
      </c>
      <c r="AQ101" s="303">
        <v>1.1800000000000006</v>
      </c>
      <c r="AR101" s="303"/>
      <c r="AS101" s="303">
        <v>3.3000000000000007</v>
      </c>
      <c r="AT101" s="303">
        <v>2.5499999999999994</v>
      </c>
      <c r="AU101" s="303">
        <v>1.5899999999999996</v>
      </c>
      <c r="AV101" s="303"/>
      <c r="AW101" s="303">
        <f t="shared" si="77"/>
        <v>30.5</v>
      </c>
      <c r="AX101" s="303">
        <f t="shared" si="78"/>
        <v>30.5</v>
      </c>
      <c r="AY101" s="303">
        <f t="shared" si="97"/>
        <v>1.6100000000000008</v>
      </c>
      <c r="AZ101" s="303"/>
      <c r="BA101" s="303">
        <f t="shared" si="79"/>
        <v>27.549999999999986</v>
      </c>
      <c r="BB101" s="303">
        <f t="shared" si="80"/>
        <v>27.549999999999986</v>
      </c>
      <c r="BC101" s="303">
        <f t="shared" si="81"/>
        <v>0.98999999999999944</v>
      </c>
      <c r="BD101" s="303"/>
      <c r="BE101" s="303">
        <f t="shared" si="82"/>
        <v>0.18</v>
      </c>
      <c r="BF101" s="304">
        <f t="shared" si="83"/>
        <v>0.25790000000000002</v>
      </c>
      <c r="BG101" s="303">
        <f t="shared" si="84"/>
        <v>1.8000000000000016E-2</v>
      </c>
      <c r="BH101" s="303"/>
      <c r="BI101" s="303">
        <f t="shared" si="85"/>
        <v>30.700000000000014</v>
      </c>
      <c r="BJ101" s="303">
        <f t="shared" si="86"/>
        <v>30.700000000000014</v>
      </c>
      <c r="BK101" s="303">
        <f t="shared" si="87"/>
        <v>1.25</v>
      </c>
      <c r="BL101" s="303"/>
      <c r="BM101" s="303">
        <f t="shared" si="88"/>
        <v>0.91700000000000026</v>
      </c>
      <c r="BN101" s="303">
        <f t="shared" si="89"/>
        <v>0.91700000000000026</v>
      </c>
      <c r="BO101" s="303">
        <f t="shared" si="90"/>
        <v>0.15500000000000008</v>
      </c>
      <c r="BP101" s="303"/>
      <c r="BQ101" s="303">
        <f t="shared" si="91"/>
        <v>57.400000000000027</v>
      </c>
      <c r="BR101" s="303">
        <f t="shared" si="92"/>
        <v>57.400000000000027</v>
      </c>
      <c r="BS101" s="303">
        <f t="shared" si="93"/>
        <v>2.5</v>
      </c>
      <c r="BT101" s="303"/>
      <c r="BU101" s="303">
        <f t="shared" si="94"/>
        <v>2.649999999999999</v>
      </c>
      <c r="BV101" s="303">
        <f t="shared" si="95"/>
        <v>2.649999999999999</v>
      </c>
      <c r="BW101" s="303">
        <f t="shared" si="96"/>
        <v>1.23</v>
      </c>
    </row>
    <row r="102" spans="3:75" x14ac:dyDescent="0.2">
      <c r="C102" s="235">
        <f t="shared" si="98"/>
        <v>28</v>
      </c>
      <c r="D102" s="235">
        <f t="shared" si="99"/>
        <v>27.5</v>
      </c>
      <c r="E102">
        <f t="shared" si="52"/>
        <v>1.4000000000000006</v>
      </c>
      <c r="G102" s="303">
        <f t="shared" si="53"/>
        <v>3.5000000000000009</v>
      </c>
      <c r="H102" s="303">
        <f t="shared" si="54"/>
        <v>2.6999999999999993</v>
      </c>
      <c r="I102" s="303">
        <f t="shared" si="55"/>
        <v>1.7999999999999996</v>
      </c>
      <c r="K102" s="303">
        <f t="shared" si="56"/>
        <v>30</v>
      </c>
      <c r="L102" s="303">
        <f t="shared" si="57"/>
        <v>32</v>
      </c>
      <c r="M102" s="303">
        <f t="shared" si="58"/>
        <v>3</v>
      </c>
      <c r="N102" s="303"/>
      <c r="O102" s="303">
        <f t="shared" si="59"/>
        <v>27.999999999999986</v>
      </c>
      <c r="P102" s="303">
        <f t="shared" si="60"/>
        <v>27.999999999999986</v>
      </c>
      <c r="Q102" s="303">
        <f t="shared" si="61"/>
        <v>1.1999999999999995</v>
      </c>
      <c r="R102" s="303"/>
      <c r="S102" s="303">
        <f t="shared" si="62"/>
        <v>0.19999999999999998</v>
      </c>
      <c r="T102" s="304">
        <f t="shared" si="63"/>
        <v>0.30200000000000005</v>
      </c>
      <c r="U102" s="303">
        <f t="shared" si="64"/>
        <v>4.0000000000000015E-2</v>
      </c>
      <c r="V102" s="303"/>
      <c r="W102" s="303">
        <f t="shared" si="65"/>
        <v>31.000000000000014</v>
      </c>
      <c r="X102" s="303">
        <f t="shared" si="66"/>
        <v>31.000000000000014</v>
      </c>
      <c r="Y102" s="303">
        <f t="shared" si="67"/>
        <v>1.5</v>
      </c>
      <c r="Z102" s="303"/>
      <c r="AA102" s="303">
        <f t="shared" si="68"/>
        <v>0.9600000000000003</v>
      </c>
      <c r="AB102" s="303">
        <f t="shared" si="69"/>
        <v>0.9600000000000003</v>
      </c>
      <c r="AC102" s="303">
        <f t="shared" si="70"/>
        <v>0.29999999999999993</v>
      </c>
      <c r="AD102" s="303"/>
      <c r="AE102" s="303">
        <f t="shared" si="71"/>
        <v>58.000000000000028</v>
      </c>
      <c r="AF102" s="303">
        <f t="shared" si="72"/>
        <v>58.000000000000028</v>
      </c>
      <c r="AG102" s="303">
        <f t="shared" si="73"/>
        <v>3</v>
      </c>
      <c r="AH102" s="303"/>
      <c r="AI102" s="303">
        <f t="shared" si="74"/>
        <v>2.7999999999999989</v>
      </c>
      <c r="AJ102" s="303">
        <f t="shared" si="75"/>
        <v>2.7999999999999989</v>
      </c>
      <c r="AK102" s="303">
        <f t="shared" si="76"/>
        <v>1.4</v>
      </c>
      <c r="AL102" s="303"/>
      <c r="AM102" s="303"/>
      <c r="AN102" s="303"/>
      <c r="AO102" s="303">
        <v>28</v>
      </c>
      <c r="AP102" s="303">
        <v>28</v>
      </c>
      <c r="AQ102" s="303">
        <v>1.4000000000000006</v>
      </c>
      <c r="AR102" s="303"/>
      <c r="AS102" s="303">
        <v>3.5000000000000009</v>
      </c>
      <c r="AT102" s="303">
        <v>2.6999999999999993</v>
      </c>
      <c r="AU102" s="303">
        <v>1.7999999999999996</v>
      </c>
      <c r="AV102" s="303"/>
      <c r="AW102" s="303">
        <f t="shared" si="77"/>
        <v>31</v>
      </c>
      <c r="AX102" s="303">
        <f t="shared" si="78"/>
        <v>31</v>
      </c>
      <c r="AY102" s="303">
        <f t="shared" si="97"/>
        <v>2.0100000000000007</v>
      </c>
      <c r="AZ102" s="303"/>
      <c r="BA102" s="303">
        <f t="shared" si="79"/>
        <v>27.999999999999986</v>
      </c>
      <c r="BB102" s="303">
        <f t="shared" si="80"/>
        <v>27.999999999999986</v>
      </c>
      <c r="BC102" s="303">
        <f t="shared" si="81"/>
        <v>1.1999999999999995</v>
      </c>
      <c r="BD102" s="303"/>
      <c r="BE102" s="303">
        <f t="shared" si="82"/>
        <v>0.19999999999999998</v>
      </c>
      <c r="BF102" s="304">
        <f t="shared" si="83"/>
        <v>0.28200000000000003</v>
      </c>
      <c r="BG102" s="303">
        <f t="shared" si="84"/>
        <v>4.0000000000000015E-2</v>
      </c>
      <c r="BH102" s="303"/>
      <c r="BI102" s="303">
        <f t="shared" si="85"/>
        <v>31.000000000000014</v>
      </c>
      <c r="BJ102" s="303">
        <f t="shared" si="86"/>
        <v>31.000000000000014</v>
      </c>
      <c r="BK102" s="303">
        <f t="shared" si="87"/>
        <v>1.5</v>
      </c>
      <c r="BL102" s="303"/>
      <c r="BM102" s="303">
        <f t="shared" si="88"/>
        <v>0.9600000000000003</v>
      </c>
      <c r="BN102" s="303">
        <f t="shared" si="89"/>
        <v>0.9600000000000003</v>
      </c>
      <c r="BO102" s="303">
        <f t="shared" si="90"/>
        <v>0.20000000000000007</v>
      </c>
      <c r="BP102" s="303"/>
      <c r="BQ102" s="303">
        <f t="shared" si="91"/>
        <v>58.000000000000028</v>
      </c>
      <c r="BR102" s="303">
        <f t="shared" si="92"/>
        <v>58.000000000000028</v>
      </c>
      <c r="BS102" s="303">
        <f t="shared" si="93"/>
        <v>3</v>
      </c>
      <c r="BT102" s="303"/>
      <c r="BU102" s="303">
        <f t="shared" si="94"/>
        <v>2.7999999999999989</v>
      </c>
      <c r="BV102" s="303">
        <f t="shared" si="95"/>
        <v>2.7999999999999989</v>
      </c>
      <c r="BW102" s="303">
        <f t="shared" si="96"/>
        <v>1.4</v>
      </c>
    </row>
    <row r="103" spans="3:75" x14ac:dyDescent="0.2">
      <c r="C103" s="235">
        <f t="shared" si="98"/>
        <v>28.5</v>
      </c>
      <c r="D103" s="235">
        <f t="shared" si="99"/>
        <v>28</v>
      </c>
      <c r="E103">
        <f t="shared" si="52"/>
        <v>1.6200000000000006</v>
      </c>
      <c r="G103" s="303">
        <f t="shared" si="53"/>
        <v>3.7000000000000011</v>
      </c>
      <c r="H103" s="303">
        <f t="shared" si="54"/>
        <v>2.8499999999999992</v>
      </c>
      <c r="I103" s="303">
        <f t="shared" si="55"/>
        <v>2.0099999999999998</v>
      </c>
      <c r="K103" s="303">
        <f t="shared" si="56"/>
        <v>30.5</v>
      </c>
      <c r="L103" s="303">
        <f t="shared" si="57"/>
        <v>32.5</v>
      </c>
      <c r="M103" s="303">
        <f t="shared" si="58"/>
        <v>3.4</v>
      </c>
      <c r="N103" s="303"/>
      <c r="O103" s="303">
        <f t="shared" si="59"/>
        <v>28.449999999999985</v>
      </c>
      <c r="P103" s="303">
        <f t="shared" si="60"/>
        <v>28.449999999999985</v>
      </c>
      <c r="Q103" s="303">
        <f t="shared" si="61"/>
        <v>1.4099999999999995</v>
      </c>
      <c r="R103" s="303"/>
      <c r="S103" s="303">
        <f t="shared" si="62"/>
        <v>0.21999999999999997</v>
      </c>
      <c r="T103" s="304">
        <f t="shared" si="63"/>
        <v>0.32710000000000006</v>
      </c>
      <c r="U103" s="303">
        <f t="shared" si="64"/>
        <v>6.2000000000000013E-2</v>
      </c>
      <c r="V103" s="303"/>
      <c r="W103" s="303">
        <f t="shared" si="65"/>
        <v>31.300000000000015</v>
      </c>
      <c r="X103" s="303">
        <f t="shared" si="66"/>
        <v>31.300000000000015</v>
      </c>
      <c r="Y103" s="303">
        <f t="shared" si="67"/>
        <v>1.75</v>
      </c>
      <c r="Z103" s="303"/>
      <c r="AA103" s="303">
        <f t="shared" si="68"/>
        <v>1.0030000000000003</v>
      </c>
      <c r="AB103" s="303">
        <f t="shared" si="69"/>
        <v>1.0030000000000003</v>
      </c>
      <c r="AC103" s="303">
        <f t="shared" si="70"/>
        <v>0.34499999999999992</v>
      </c>
      <c r="AD103" s="303"/>
      <c r="AE103" s="303">
        <f t="shared" si="71"/>
        <v>58.60000000000003</v>
      </c>
      <c r="AF103" s="303">
        <f t="shared" si="72"/>
        <v>58.60000000000003</v>
      </c>
      <c r="AG103" s="303">
        <f t="shared" si="73"/>
        <v>3.5</v>
      </c>
      <c r="AH103" s="303"/>
      <c r="AI103" s="303">
        <f t="shared" si="74"/>
        <v>2.9499999999999988</v>
      </c>
      <c r="AJ103" s="303">
        <f t="shared" si="75"/>
        <v>2.9499999999999988</v>
      </c>
      <c r="AK103" s="303">
        <f t="shared" si="76"/>
        <v>1.5699999999999998</v>
      </c>
      <c r="AL103" s="303"/>
      <c r="AM103" s="303"/>
      <c r="AN103" s="303"/>
      <c r="AO103" s="303">
        <v>28.5</v>
      </c>
      <c r="AP103" s="303">
        <v>28.5</v>
      </c>
      <c r="AQ103" s="303">
        <v>1.6200000000000006</v>
      </c>
      <c r="AR103" s="303"/>
      <c r="AS103" s="303">
        <v>3.7000000000000011</v>
      </c>
      <c r="AT103" s="303">
        <v>2.8499999999999992</v>
      </c>
      <c r="AU103" s="303">
        <v>2.0099999999999998</v>
      </c>
      <c r="AV103" s="303"/>
      <c r="AW103" s="303">
        <f t="shared" si="77"/>
        <v>31.5</v>
      </c>
      <c r="AX103" s="303">
        <f t="shared" si="78"/>
        <v>31.5</v>
      </c>
      <c r="AY103" s="303">
        <f t="shared" si="97"/>
        <v>2.4100000000000006</v>
      </c>
      <c r="AZ103" s="303"/>
      <c r="BA103" s="303">
        <f t="shared" si="79"/>
        <v>28.449999999999985</v>
      </c>
      <c r="BB103" s="303">
        <f t="shared" si="80"/>
        <v>28.449999999999985</v>
      </c>
      <c r="BC103" s="303">
        <f t="shared" si="81"/>
        <v>1.4099999999999995</v>
      </c>
      <c r="BD103" s="303"/>
      <c r="BE103" s="303">
        <f t="shared" si="82"/>
        <v>0.21999999999999997</v>
      </c>
      <c r="BF103" s="304">
        <f t="shared" si="83"/>
        <v>0.30610000000000004</v>
      </c>
      <c r="BG103" s="303">
        <f t="shared" si="84"/>
        <v>6.2000000000000013E-2</v>
      </c>
      <c r="BH103" s="303"/>
      <c r="BI103" s="303">
        <f t="shared" si="85"/>
        <v>31.300000000000015</v>
      </c>
      <c r="BJ103" s="303">
        <f t="shared" si="86"/>
        <v>31.300000000000015</v>
      </c>
      <c r="BK103" s="303">
        <f t="shared" si="87"/>
        <v>1.75</v>
      </c>
      <c r="BL103" s="303"/>
      <c r="BM103" s="303">
        <f t="shared" si="88"/>
        <v>1.0030000000000003</v>
      </c>
      <c r="BN103" s="303">
        <f t="shared" si="89"/>
        <v>1.0030000000000003</v>
      </c>
      <c r="BO103" s="303">
        <f t="shared" si="90"/>
        <v>0.24500000000000005</v>
      </c>
      <c r="BP103" s="303"/>
      <c r="BQ103" s="303">
        <f t="shared" si="91"/>
        <v>58.60000000000003</v>
      </c>
      <c r="BR103" s="303">
        <f t="shared" si="92"/>
        <v>58.60000000000003</v>
      </c>
      <c r="BS103" s="303">
        <f t="shared" si="93"/>
        <v>3.5</v>
      </c>
      <c r="BT103" s="303"/>
      <c r="BU103" s="303">
        <f t="shared" si="94"/>
        <v>2.9499999999999988</v>
      </c>
      <c r="BV103" s="303">
        <f t="shared" si="95"/>
        <v>2.9499999999999988</v>
      </c>
      <c r="BW103" s="303">
        <f t="shared" si="96"/>
        <v>1.5699999999999998</v>
      </c>
    </row>
    <row r="104" spans="3:75" x14ac:dyDescent="0.2">
      <c r="C104" s="235">
        <f t="shared" si="98"/>
        <v>29</v>
      </c>
      <c r="D104" s="235">
        <f t="shared" si="99"/>
        <v>28.5</v>
      </c>
      <c r="E104">
        <f t="shared" si="52"/>
        <v>1.8400000000000005</v>
      </c>
      <c r="G104" s="303">
        <f t="shared" si="53"/>
        <v>3.9000000000000012</v>
      </c>
      <c r="H104" s="303">
        <f t="shared" si="54"/>
        <v>2.9999999999999991</v>
      </c>
      <c r="I104" s="303">
        <f t="shared" si="55"/>
        <v>2.2199999999999998</v>
      </c>
      <c r="K104" s="303">
        <f t="shared" si="56"/>
        <v>31</v>
      </c>
      <c r="L104" s="303">
        <f t="shared" si="57"/>
        <v>33</v>
      </c>
      <c r="M104" s="303">
        <f t="shared" si="58"/>
        <v>3.8</v>
      </c>
      <c r="N104" s="303"/>
      <c r="O104" s="303">
        <f t="shared" si="59"/>
        <v>28.899999999999984</v>
      </c>
      <c r="P104" s="303">
        <f t="shared" si="60"/>
        <v>28.899999999999984</v>
      </c>
      <c r="Q104" s="303">
        <f t="shared" si="61"/>
        <v>1.6199999999999994</v>
      </c>
      <c r="R104" s="303"/>
      <c r="S104" s="303">
        <f t="shared" si="62"/>
        <v>0.23999999999999996</v>
      </c>
      <c r="T104" s="304">
        <f t="shared" si="63"/>
        <v>0.35220000000000007</v>
      </c>
      <c r="U104" s="303">
        <f t="shared" si="64"/>
        <v>8.4000000000000019E-2</v>
      </c>
      <c r="V104" s="303"/>
      <c r="W104" s="303">
        <f t="shared" si="65"/>
        <v>31.600000000000016</v>
      </c>
      <c r="X104" s="303">
        <f t="shared" si="66"/>
        <v>31.600000000000016</v>
      </c>
      <c r="Y104" s="303">
        <f t="shared" si="67"/>
        <v>2</v>
      </c>
      <c r="Z104" s="303"/>
      <c r="AA104" s="303">
        <f t="shared" si="68"/>
        <v>1.0460000000000003</v>
      </c>
      <c r="AB104" s="303">
        <f t="shared" si="69"/>
        <v>1.0460000000000003</v>
      </c>
      <c r="AC104" s="303">
        <f t="shared" si="70"/>
        <v>0.3899999999999999</v>
      </c>
      <c r="AD104" s="303"/>
      <c r="AE104" s="303">
        <f t="shared" si="71"/>
        <v>59.200000000000031</v>
      </c>
      <c r="AF104" s="303">
        <f t="shared" si="72"/>
        <v>59.200000000000031</v>
      </c>
      <c r="AG104" s="303">
        <f t="shared" si="73"/>
        <v>4</v>
      </c>
      <c r="AH104" s="303"/>
      <c r="AI104" s="303">
        <f t="shared" si="74"/>
        <v>3.0999999999999988</v>
      </c>
      <c r="AJ104" s="303">
        <f t="shared" si="75"/>
        <v>3.0999999999999988</v>
      </c>
      <c r="AK104" s="303">
        <f t="shared" si="76"/>
        <v>1.7399999999999998</v>
      </c>
      <c r="AL104" s="303"/>
      <c r="AM104" s="303"/>
      <c r="AN104" s="303"/>
      <c r="AO104" s="303">
        <v>29</v>
      </c>
      <c r="AP104" s="303">
        <v>29</v>
      </c>
      <c r="AQ104" s="303">
        <v>1.8400000000000005</v>
      </c>
      <c r="AR104" s="303"/>
      <c r="AS104" s="303">
        <v>3.9000000000000012</v>
      </c>
      <c r="AT104" s="303">
        <v>2.9999999999999991</v>
      </c>
      <c r="AU104" s="303">
        <v>2.2199999999999998</v>
      </c>
      <c r="AV104" s="303"/>
      <c r="AW104" s="303">
        <f t="shared" si="77"/>
        <v>32</v>
      </c>
      <c r="AX104" s="303">
        <f t="shared" si="78"/>
        <v>32</v>
      </c>
      <c r="AY104" s="303">
        <f t="shared" si="97"/>
        <v>2.8100000000000005</v>
      </c>
      <c r="AZ104" s="303"/>
      <c r="BA104" s="303">
        <f t="shared" si="79"/>
        <v>28.899999999999984</v>
      </c>
      <c r="BB104" s="303">
        <f t="shared" si="80"/>
        <v>28.899999999999984</v>
      </c>
      <c r="BC104" s="303">
        <f t="shared" si="81"/>
        <v>1.6199999999999994</v>
      </c>
      <c r="BD104" s="303"/>
      <c r="BE104" s="303">
        <f t="shared" si="82"/>
        <v>0.23999999999999996</v>
      </c>
      <c r="BF104" s="304">
        <f t="shared" si="83"/>
        <v>0.33020000000000005</v>
      </c>
      <c r="BG104" s="303">
        <f t="shared" si="84"/>
        <v>8.4000000000000019E-2</v>
      </c>
      <c r="BH104" s="303"/>
      <c r="BI104" s="303">
        <f t="shared" si="85"/>
        <v>31.600000000000016</v>
      </c>
      <c r="BJ104" s="303">
        <f t="shared" si="86"/>
        <v>31.600000000000016</v>
      </c>
      <c r="BK104" s="303">
        <f t="shared" si="87"/>
        <v>2</v>
      </c>
      <c r="BL104" s="303"/>
      <c r="BM104" s="303">
        <f t="shared" si="88"/>
        <v>1.0460000000000003</v>
      </c>
      <c r="BN104" s="303">
        <f t="shared" si="89"/>
        <v>1.0460000000000003</v>
      </c>
      <c r="BO104" s="303">
        <f t="shared" si="90"/>
        <v>0.29000000000000004</v>
      </c>
      <c r="BP104" s="303"/>
      <c r="BQ104" s="303">
        <f t="shared" si="91"/>
        <v>59.200000000000031</v>
      </c>
      <c r="BR104" s="303">
        <f t="shared" si="92"/>
        <v>59.200000000000031</v>
      </c>
      <c r="BS104" s="303">
        <f t="shared" si="93"/>
        <v>4</v>
      </c>
      <c r="BT104" s="303"/>
      <c r="BU104" s="303">
        <f t="shared" si="94"/>
        <v>3.0999999999999988</v>
      </c>
      <c r="BV104" s="303">
        <f t="shared" si="95"/>
        <v>3.0999999999999988</v>
      </c>
      <c r="BW104" s="303">
        <f t="shared" si="96"/>
        <v>1.7399999999999998</v>
      </c>
    </row>
    <row r="105" spans="3:75" x14ac:dyDescent="0.2">
      <c r="C105" s="235">
        <f t="shared" si="98"/>
        <v>29.5</v>
      </c>
      <c r="D105" s="235">
        <f t="shared" si="99"/>
        <v>29</v>
      </c>
      <c r="E105">
        <f t="shared" si="52"/>
        <v>2.0600000000000005</v>
      </c>
      <c r="G105" s="303">
        <f t="shared" si="53"/>
        <v>4.1000000000000014</v>
      </c>
      <c r="H105" s="303">
        <f t="shared" si="54"/>
        <v>3.149999999999999</v>
      </c>
      <c r="I105" s="303">
        <f t="shared" si="55"/>
        <v>2.4299999999999997</v>
      </c>
      <c r="K105" s="303">
        <f t="shared" si="56"/>
        <v>31.5</v>
      </c>
      <c r="L105" s="303">
        <f t="shared" si="57"/>
        <v>33.5</v>
      </c>
      <c r="M105" s="303">
        <f t="shared" si="58"/>
        <v>4.2</v>
      </c>
      <c r="N105" s="303"/>
      <c r="O105" s="303">
        <f t="shared" si="59"/>
        <v>29.349999999999984</v>
      </c>
      <c r="P105" s="303">
        <f t="shared" si="60"/>
        <v>29.349999999999984</v>
      </c>
      <c r="Q105" s="303">
        <f t="shared" si="61"/>
        <v>1.8299999999999994</v>
      </c>
      <c r="R105" s="303"/>
      <c r="S105" s="303">
        <f t="shared" si="62"/>
        <v>0.25999999999999995</v>
      </c>
      <c r="T105" s="304">
        <f t="shared" si="63"/>
        <v>0.37730000000000008</v>
      </c>
      <c r="U105" s="303">
        <f t="shared" si="64"/>
        <v>0.10600000000000001</v>
      </c>
      <c r="V105" s="303"/>
      <c r="W105" s="303">
        <f t="shared" si="65"/>
        <v>31.900000000000016</v>
      </c>
      <c r="X105" s="303">
        <f t="shared" si="66"/>
        <v>31.900000000000016</v>
      </c>
      <c r="Y105" s="303">
        <f t="shared" si="67"/>
        <v>2.25</v>
      </c>
      <c r="Z105" s="303"/>
      <c r="AA105" s="303">
        <f t="shared" si="68"/>
        <v>1.0890000000000002</v>
      </c>
      <c r="AB105" s="303">
        <f t="shared" si="69"/>
        <v>1.0890000000000002</v>
      </c>
      <c r="AC105" s="303">
        <f t="shared" si="70"/>
        <v>0.43499999999999989</v>
      </c>
      <c r="AD105" s="303"/>
      <c r="AE105" s="303">
        <f t="shared" si="71"/>
        <v>59.800000000000033</v>
      </c>
      <c r="AF105" s="303">
        <f t="shared" si="72"/>
        <v>59.800000000000033</v>
      </c>
      <c r="AG105" s="303">
        <f t="shared" si="73"/>
        <v>4.5</v>
      </c>
      <c r="AH105" s="303"/>
      <c r="AI105" s="303">
        <f t="shared" si="74"/>
        <v>3.2499999999999987</v>
      </c>
      <c r="AJ105" s="303">
        <f t="shared" si="75"/>
        <v>3.2499999999999987</v>
      </c>
      <c r="AK105" s="303">
        <f t="shared" si="76"/>
        <v>1.9099999999999997</v>
      </c>
      <c r="AL105" s="303"/>
      <c r="AM105" s="303"/>
      <c r="AN105" s="303"/>
      <c r="AO105" s="303">
        <v>29.5</v>
      </c>
      <c r="AP105" s="303">
        <v>29.5</v>
      </c>
      <c r="AQ105" s="303">
        <v>2.0600000000000005</v>
      </c>
      <c r="AR105" s="303"/>
      <c r="AS105" s="303">
        <v>4.1000000000000014</v>
      </c>
      <c r="AT105" s="303">
        <v>3.149999999999999</v>
      </c>
      <c r="AU105" s="303">
        <v>2.4299999999999997</v>
      </c>
      <c r="AV105" s="303"/>
      <c r="AW105" s="303">
        <f t="shared" si="77"/>
        <v>32.5</v>
      </c>
      <c r="AX105" s="303">
        <f t="shared" si="78"/>
        <v>32.5</v>
      </c>
      <c r="AY105" s="303">
        <f t="shared" si="97"/>
        <v>3.2100000000000004</v>
      </c>
      <c r="AZ105" s="303"/>
      <c r="BA105" s="303">
        <f t="shared" si="79"/>
        <v>29.349999999999984</v>
      </c>
      <c r="BB105" s="303">
        <f t="shared" si="80"/>
        <v>29.349999999999984</v>
      </c>
      <c r="BC105" s="303">
        <f t="shared" si="81"/>
        <v>1.8299999999999994</v>
      </c>
      <c r="BD105" s="303"/>
      <c r="BE105" s="303">
        <f t="shared" si="82"/>
        <v>0.25999999999999995</v>
      </c>
      <c r="BF105" s="304">
        <f t="shared" si="83"/>
        <v>0.35430000000000006</v>
      </c>
      <c r="BG105" s="303">
        <f t="shared" si="84"/>
        <v>0.10600000000000001</v>
      </c>
      <c r="BH105" s="303"/>
      <c r="BI105" s="303">
        <f t="shared" si="85"/>
        <v>31.900000000000016</v>
      </c>
      <c r="BJ105" s="303">
        <f t="shared" si="86"/>
        <v>31.900000000000016</v>
      </c>
      <c r="BK105" s="303">
        <f t="shared" si="87"/>
        <v>2.25</v>
      </c>
      <c r="BL105" s="303"/>
      <c r="BM105" s="303">
        <f t="shared" si="88"/>
        <v>1.0890000000000002</v>
      </c>
      <c r="BN105" s="303">
        <f t="shared" si="89"/>
        <v>1.0890000000000002</v>
      </c>
      <c r="BO105" s="303">
        <f t="shared" si="90"/>
        <v>0.33500000000000002</v>
      </c>
      <c r="BP105" s="303"/>
      <c r="BQ105" s="303">
        <f t="shared" si="91"/>
        <v>59.800000000000033</v>
      </c>
      <c r="BR105" s="303">
        <f t="shared" si="92"/>
        <v>59.800000000000033</v>
      </c>
      <c r="BS105" s="303">
        <f t="shared" si="93"/>
        <v>4.5</v>
      </c>
      <c r="BT105" s="303"/>
      <c r="BU105" s="303">
        <f t="shared" si="94"/>
        <v>3.2499999999999987</v>
      </c>
      <c r="BV105" s="303">
        <f t="shared" si="95"/>
        <v>3.2499999999999987</v>
      </c>
      <c r="BW105" s="303">
        <f t="shared" si="96"/>
        <v>1.9099999999999997</v>
      </c>
    </row>
    <row r="106" spans="3:75" x14ac:dyDescent="0.2">
      <c r="C106" s="235">
        <f t="shared" si="98"/>
        <v>30</v>
      </c>
      <c r="D106" s="235">
        <f t="shared" si="99"/>
        <v>29.5</v>
      </c>
      <c r="E106">
        <f t="shared" si="52"/>
        <v>2.2800000000000007</v>
      </c>
      <c r="G106" s="303">
        <f t="shared" si="53"/>
        <v>4.3000000000000016</v>
      </c>
      <c r="H106" s="303">
        <f t="shared" si="54"/>
        <v>3.2999999999999989</v>
      </c>
      <c r="I106" s="303">
        <f t="shared" si="55"/>
        <v>2.6399999999999997</v>
      </c>
      <c r="K106" s="303">
        <f t="shared" si="56"/>
        <v>32</v>
      </c>
      <c r="L106" s="303">
        <f t="shared" si="57"/>
        <v>34</v>
      </c>
      <c r="M106" s="303">
        <f t="shared" si="58"/>
        <v>4.6000000000000005</v>
      </c>
      <c r="N106" s="303"/>
      <c r="O106" s="303">
        <f t="shared" si="59"/>
        <v>29.799999999999983</v>
      </c>
      <c r="P106" s="303">
        <f t="shared" si="60"/>
        <v>29.799999999999983</v>
      </c>
      <c r="Q106" s="303">
        <f t="shared" si="61"/>
        <v>2.0399999999999996</v>
      </c>
      <c r="R106" s="303"/>
      <c r="S106" s="303">
        <f t="shared" si="62"/>
        <v>0.27999999999999997</v>
      </c>
      <c r="T106" s="304">
        <f t="shared" si="63"/>
        <v>0.40240000000000009</v>
      </c>
      <c r="U106" s="303">
        <f t="shared" si="64"/>
        <v>0.128</v>
      </c>
      <c r="V106" s="303"/>
      <c r="W106" s="303">
        <f t="shared" si="65"/>
        <v>32.200000000000017</v>
      </c>
      <c r="X106" s="303">
        <f t="shared" si="66"/>
        <v>32.200000000000017</v>
      </c>
      <c r="Y106" s="303">
        <f t="shared" si="67"/>
        <v>2.5</v>
      </c>
      <c r="Z106" s="303"/>
      <c r="AA106" s="303">
        <f t="shared" si="68"/>
        <v>1.1320000000000001</v>
      </c>
      <c r="AB106" s="303">
        <f t="shared" si="69"/>
        <v>1.1320000000000001</v>
      </c>
      <c r="AC106" s="303">
        <f t="shared" si="70"/>
        <v>0.47999999999999987</v>
      </c>
      <c r="AD106" s="303"/>
      <c r="AE106" s="303">
        <f t="shared" si="71"/>
        <v>60.400000000000034</v>
      </c>
      <c r="AF106" s="303">
        <f t="shared" si="72"/>
        <v>60.400000000000034</v>
      </c>
      <c r="AG106" s="303">
        <f t="shared" si="73"/>
        <v>5</v>
      </c>
      <c r="AH106" s="303"/>
      <c r="AI106" s="303">
        <f t="shared" si="74"/>
        <v>3.3999999999999986</v>
      </c>
      <c r="AJ106" s="303">
        <f t="shared" si="75"/>
        <v>3.3999999999999986</v>
      </c>
      <c r="AK106" s="303">
        <f t="shared" si="76"/>
        <v>2.0799999999999996</v>
      </c>
      <c r="AL106" s="303"/>
      <c r="AM106" s="303"/>
      <c r="AN106" s="303"/>
      <c r="AO106" s="303">
        <v>30</v>
      </c>
      <c r="AP106" s="303">
        <v>30</v>
      </c>
      <c r="AQ106" s="303">
        <v>2.2800000000000007</v>
      </c>
      <c r="AR106" s="303"/>
      <c r="AS106" s="303">
        <v>4.3000000000000016</v>
      </c>
      <c r="AT106" s="303">
        <v>3.2999999999999989</v>
      </c>
      <c r="AU106" s="303">
        <v>2.6399999999999997</v>
      </c>
      <c r="AV106" s="303"/>
      <c r="AW106" s="303">
        <f t="shared" si="77"/>
        <v>33</v>
      </c>
      <c r="AX106" s="303">
        <f t="shared" si="78"/>
        <v>33</v>
      </c>
      <c r="AY106" s="303">
        <f t="shared" si="97"/>
        <v>3.6100000000000003</v>
      </c>
      <c r="AZ106" s="303"/>
      <c r="BA106" s="303">
        <f t="shared" si="79"/>
        <v>29.799999999999983</v>
      </c>
      <c r="BB106" s="303">
        <f t="shared" si="80"/>
        <v>29.799999999999983</v>
      </c>
      <c r="BC106" s="303">
        <f t="shared" si="81"/>
        <v>2.0399999999999996</v>
      </c>
      <c r="BD106" s="303"/>
      <c r="BE106" s="303">
        <f t="shared" si="82"/>
        <v>0.27999999999999997</v>
      </c>
      <c r="BF106" s="304">
        <f t="shared" si="83"/>
        <v>0.37840000000000007</v>
      </c>
      <c r="BG106" s="303">
        <f t="shared" si="84"/>
        <v>0.128</v>
      </c>
      <c r="BH106" s="303"/>
      <c r="BI106" s="303">
        <f t="shared" si="85"/>
        <v>32.200000000000017</v>
      </c>
      <c r="BJ106" s="303">
        <f t="shared" si="86"/>
        <v>32.200000000000017</v>
      </c>
      <c r="BK106" s="303">
        <f t="shared" si="87"/>
        <v>2.5</v>
      </c>
      <c r="BL106" s="303"/>
      <c r="BM106" s="303">
        <f t="shared" si="88"/>
        <v>1.1320000000000001</v>
      </c>
      <c r="BN106" s="303">
        <f t="shared" si="89"/>
        <v>1.1320000000000001</v>
      </c>
      <c r="BO106" s="303">
        <f t="shared" si="90"/>
        <v>0.38</v>
      </c>
      <c r="BP106" s="303"/>
      <c r="BQ106" s="303">
        <f t="shared" si="91"/>
        <v>60.400000000000034</v>
      </c>
      <c r="BR106" s="303">
        <f t="shared" si="92"/>
        <v>60.400000000000034</v>
      </c>
      <c r="BS106" s="303">
        <f t="shared" si="93"/>
        <v>5</v>
      </c>
      <c r="BT106" s="303"/>
      <c r="BU106" s="303">
        <f t="shared" si="94"/>
        <v>3.3999999999999986</v>
      </c>
      <c r="BV106" s="303">
        <f t="shared" si="95"/>
        <v>3.3999999999999986</v>
      </c>
      <c r="BW106" s="303">
        <f t="shared" si="96"/>
        <v>2.0799999999999996</v>
      </c>
    </row>
    <row r="107" spans="3:75" x14ac:dyDescent="0.2">
      <c r="C107" s="235">
        <f t="shared" si="98"/>
        <v>30.5</v>
      </c>
      <c r="D107" s="235">
        <f t="shared" si="99"/>
        <v>30</v>
      </c>
      <c r="E107">
        <f t="shared" si="52"/>
        <v>2.5000000000000009</v>
      </c>
      <c r="G107" s="303">
        <f t="shared" si="53"/>
        <v>4.5000000000000018</v>
      </c>
      <c r="H107" s="303">
        <f t="shared" si="54"/>
        <v>3.4499999999999988</v>
      </c>
      <c r="I107" s="303">
        <f t="shared" si="55"/>
        <v>2.8499999999999996</v>
      </c>
      <c r="K107" s="303">
        <f t="shared" si="56"/>
        <v>32.5</v>
      </c>
      <c r="L107" s="303">
        <f t="shared" si="57"/>
        <v>34.5</v>
      </c>
      <c r="M107" s="303">
        <f t="shared" si="58"/>
        <v>5.0000000000000009</v>
      </c>
      <c r="N107" s="303"/>
      <c r="O107" s="303">
        <f t="shared" si="59"/>
        <v>30.249999999999982</v>
      </c>
      <c r="P107" s="303">
        <f t="shared" si="60"/>
        <v>30.249999999999982</v>
      </c>
      <c r="Q107" s="303">
        <f t="shared" si="61"/>
        <v>2.2499999999999996</v>
      </c>
      <c r="R107" s="303"/>
      <c r="S107" s="303">
        <f t="shared" si="62"/>
        <v>0.3</v>
      </c>
      <c r="T107" s="304">
        <f t="shared" si="63"/>
        <v>0.4275000000000001</v>
      </c>
      <c r="U107" s="303">
        <f t="shared" si="64"/>
        <v>0.15</v>
      </c>
      <c r="V107" s="303"/>
      <c r="W107" s="303">
        <f t="shared" si="65"/>
        <v>32.500000000000014</v>
      </c>
      <c r="X107" s="303">
        <f t="shared" si="66"/>
        <v>32.500000000000014</v>
      </c>
      <c r="Y107" s="303">
        <f t="shared" si="67"/>
        <v>2.75</v>
      </c>
      <c r="Z107" s="303"/>
      <c r="AA107" s="303">
        <f t="shared" si="68"/>
        <v>1.175</v>
      </c>
      <c r="AB107" s="303">
        <f t="shared" si="69"/>
        <v>1.175</v>
      </c>
      <c r="AC107" s="303">
        <f t="shared" si="70"/>
        <v>0.52499999999999991</v>
      </c>
      <c r="AD107" s="303"/>
      <c r="AE107" s="303">
        <f t="shared" si="71"/>
        <v>61.000000000000036</v>
      </c>
      <c r="AF107" s="303">
        <f t="shared" si="72"/>
        <v>61.000000000000036</v>
      </c>
      <c r="AG107" s="303">
        <f t="shared" si="73"/>
        <v>5.5</v>
      </c>
      <c r="AH107" s="303"/>
      <c r="AI107" s="303">
        <f t="shared" si="74"/>
        <v>3.5499999999999985</v>
      </c>
      <c r="AJ107" s="303">
        <f t="shared" si="75"/>
        <v>3.5499999999999985</v>
      </c>
      <c r="AK107" s="303">
        <f t="shared" si="76"/>
        <v>2.2499999999999996</v>
      </c>
      <c r="AL107" s="303"/>
      <c r="AM107" s="303"/>
      <c r="AN107" s="303"/>
      <c r="AO107" s="303">
        <v>30.5</v>
      </c>
      <c r="AP107" s="303">
        <v>30.5</v>
      </c>
      <c r="AQ107" s="303">
        <v>2.5000000000000009</v>
      </c>
      <c r="AR107" s="303"/>
      <c r="AS107" s="303">
        <v>4.5000000000000018</v>
      </c>
      <c r="AT107" s="303">
        <v>3.4499999999999988</v>
      </c>
      <c r="AU107" s="303">
        <v>2.8499999999999996</v>
      </c>
      <c r="AV107" s="303"/>
      <c r="AW107" s="303">
        <f t="shared" si="77"/>
        <v>33.5</v>
      </c>
      <c r="AX107" s="303">
        <f t="shared" si="78"/>
        <v>33.5</v>
      </c>
      <c r="AY107" s="303">
        <f t="shared" si="97"/>
        <v>4.0100000000000007</v>
      </c>
      <c r="AZ107" s="303"/>
      <c r="BA107" s="303">
        <f t="shared" si="79"/>
        <v>30.249999999999982</v>
      </c>
      <c r="BB107" s="303">
        <f t="shared" si="80"/>
        <v>30.249999999999982</v>
      </c>
      <c r="BC107" s="303">
        <f t="shared" si="81"/>
        <v>2.2499999999999996</v>
      </c>
      <c r="BD107" s="303"/>
      <c r="BE107" s="303">
        <f t="shared" si="82"/>
        <v>0.3</v>
      </c>
      <c r="BF107" s="304">
        <f t="shared" si="83"/>
        <v>0.40250000000000008</v>
      </c>
      <c r="BG107" s="303">
        <f t="shared" si="84"/>
        <v>0.15</v>
      </c>
      <c r="BH107" s="303"/>
      <c r="BI107" s="303">
        <f t="shared" si="85"/>
        <v>32.500000000000014</v>
      </c>
      <c r="BJ107" s="303">
        <f t="shared" si="86"/>
        <v>32.500000000000014</v>
      </c>
      <c r="BK107" s="303">
        <f t="shared" si="87"/>
        <v>2.75</v>
      </c>
      <c r="BL107" s="303"/>
      <c r="BM107" s="303">
        <f t="shared" si="88"/>
        <v>1.175</v>
      </c>
      <c r="BN107" s="303">
        <f t="shared" si="89"/>
        <v>1.175</v>
      </c>
      <c r="BO107" s="303">
        <f t="shared" si="90"/>
        <v>0.42499999999999999</v>
      </c>
      <c r="BP107" s="303"/>
      <c r="BQ107" s="303">
        <f t="shared" si="91"/>
        <v>61.000000000000036</v>
      </c>
      <c r="BR107" s="303">
        <f t="shared" si="92"/>
        <v>61.000000000000036</v>
      </c>
      <c r="BS107" s="303">
        <f t="shared" si="93"/>
        <v>5.5</v>
      </c>
      <c r="BT107" s="303"/>
      <c r="BU107" s="303">
        <f t="shared" si="94"/>
        <v>3.5499999999999985</v>
      </c>
      <c r="BV107" s="303">
        <f t="shared" si="95"/>
        <v>3.5499999999999985</v>
      </c>
      <c r="BW107" s="303">
        <f t="shared" si="96"/>
        <v>2.2499999999999996</v>
      </c>
    </row>
    <row r="108" spans="3:75" x14ac:dyDescent="0.2">
      <c r="C108" s="235">
        <f t="shared" si="98"/>
        <v>31</v>
      </c>
      <c r="D108" s="235">
        <f t="shared" si="99"/>
        <v>30.5</v>
      </c>
      <c r="E108">
        <f t="shared" si="52"/>
        <v>2.7200000000000011</v>
      </c>
      <c r="G108" s="303">
        <f t="shared" si="53"/>
        <v>4.700000000000002</v>
      </c>
      <c r="H108" s="303">
        <f t="shared" si="54"/>
        <v>3.5999999999999988</v>
      </c>
      <c r="I108" s="303">
        <f t="shared" si="55"/>
        <v>3.0599999999999996</v>
      </c>
      <c r="K108" s="303">
        <f t="shared" si="56"/>
        <v>33</v>
      </c>
      <c r="L108" s="303">
        <f t="shared" si="57"/>
        <v>35</v>
      </c>
      <c r="M108" s="303">
        <f t="shared" si="58"/>
        <v>5.4000000000000012</v>
      </c>
      <c r="N108" s="303"/>
      <c r="O108" s="303">
        <f t="shared" si="59"/>
        <v>30.699999999999982</v>
      </c>
      <c r="P108" s="303">
        <f t="shared" si="60"/>
        <v>30.699999999999982</v>
      </c>
      <c r="Q108" s="303">
        <f t="shared" si="61"/>
        <v>2.4599999999999995</v>
      </c>
      <c r="R108" s="303"/>
      <c r="S108" s="303">
        <f t="shared" si="62"/>
        <v>0.32</v>
      </c>
      <c r="T108" s="304">
        <f t="shared" si="63"/>
        <v>0.45260000000000011</v>
      </c>
      <c r="U108" s="303">
        <f t="shared" si="64"/>
        <v>0.17199999999999999</v>
      </c>
      <c r="V108" s="303"/>
      <c r="W108" s="303">
        <f t="shared" si="65"/>
        <v>32.800000000000011</v>
      </c>
      <c r="X108" s="303">
        <f t="shared" si="66"/>
        <v>32.800000000000011</v>
      </c>
      <c r="Y108" s="303">
        <f t="shared" si="67"/>
        <v>3</v>
      </c>
      <c r="Z108" s="303"/>
      <c r="AA108" s="303">
        <f t="shared" si="68"/>
        <v>1.218</v>
      </c>
      <c r="AB108" s="303">
        <f t="shared" si="69"/>
        <v>1.218</v>
      </c>
      <c r="AC108" s="303">
        <f t="shared" si="70"/>
        <v>0.56999999999999995</v>
      </c>
      <c r="AD108" s="303"/>
      <c r="AE108" s="303">
        <f t="shared" si="71"/>
        <v>61.600000000000037</v>
      </c>
      <c r="AF108" s="303">
        <f t="shared" si="72"/>
        <v>61.600000000000037</v>
      </c>
      <c r="AG108" s="303">
        <f t="shared" si="73"/>
        <v>6</v>
      </c>
      <c r="AH108" s="303"/>
      <c r="AI108" s="303">
        <f t="shared" si="74"/>
        <v>3.6999999999999984</v>
      </c>
      <c r="AJ108" s="303">
        <f t="shared" si="75"/>
        <v>3.6999999999999984</v>
      </c>
      <c r="AK108" s="303">
        <f t="shared" si="76"/>
        <v>2.4199999999999995</v>
      </c>
      <c r="AL108" s="303"/>
      <c r="AM108" s="303"/>
      <c r="AN108" s="303"/>
      <c r="AO108" s="303">
        <v>31</v>
      </c>
      <c r="AP108" s="303">
        <v>31</v>
      </c>
      <c r="AQ108" s="303">
        <v>2.7200000000000011</v>
      </c>
      <c r="AR108" s="303"/>
      <c r="AS108" s="303">
        <v>4.700000000000002</v>
      </c>
      <c r="AT108" s="303">
        <v>3.5999999999999988</v>
      </c>
      <c r="AU108" s="303">
        <v>3.0599999999999996</v>
      </c>
      <c r="AV108" s="303"/>
      <c r="AW108" s="303">
        <f t="shared" si="77"/>
        <v>34</v>
      </c>
      <c r="AX108" s="303">
        <f t="shared" si="78"/>
        <v>34</v>
      </c>
      <c r="AY108" s="303">
        <f t="shared" si="97"/>
        <v>4.410000000000001</v>
      </c>
      <c r="AZ108" s="303"/>
      <c r="BA108" s="303">
        <f t="shared" si="79"/>
        <v>30.699999999999982</v>
      </c>
      <c r="BB108" s="303">
        <f t="shared" si="80"/>
        <v>30.699999999999982</v>
      </c>
      <c r="BC108" s="303">
        <f t="shared" si="81"/>
        <v>2.4599999999999995</v>
      </c>
      <c r="BD108" s="303"/>
      <c r="BE108" s="303">
        <f t="shared" si="82"/>
        <v>0.32</v>
      </c>
      <c r="BF108" s="304">
        <f t="shared" si="83"/>
        <v>0.42660000000000009</v>
      </c>
      <c r="BG108" s="303">
        <f t="shared" si="84"/>
        <v>0.17199999999999999</v>
      </c>
      <c r="BH108" s="303"/>
      <c r="BI108" s="303">
        <f t="shared" si="85"/>
        <v>32.800000000000011</v>
      </c>
      <c r="BJ108" s="303">
        <f t="shared" si="86"/>
        <v>32.800000000000011</v>
      </c>
      <c r="BK108" s="303">
        <f t="shared" si="87"/>
        <v>3</v>
      </c>
      <c r="BL108" s="303"/>
      <c r="BM108" s="303">
        <f t="shared" si="88"/>
        <v>1.218</v>
      </c>
      <c r="BN108" s="303">
        <f t="shared" si="89"/>
        <v>1.218</v>
      </c>
      <c r="BO108" s="303">
        <f t="shared" si="90"/>
        <v>0.47</v>
      </c>
      <c r="BP108" s="303"/>
      <c r="BQ108" s="303">
        <f t="shared" si="91"/>
        <v>61.600000000000037</v>
      </c>
      <c r="BR108" s="303">
        <f t="shared" si="92"/>
        <v>61.600000000000037</v>
      </c>
      <c r="BS108" s="303">
        <f t="shared" si="93"/>
        <v>6</v>
      </c>
      <c r="BT108" s="303"/>
      <c r="BU108" s="303">
        <f t="shared" si="94"/>
        <v>3.6999999999999984</v>
      </c>
      <c r="BV108" s="303">
        <f t="shared" si="95"/>
        <v>3.6999999999999984</v>
      </c>
      <c r="BW108" s="303">
        <f t="shared" si="96"/>
        <v>2.4199999999999995</v>
      </c>
    </row>
    <row r="109" spans="3:75" x14ac:dyDescent="0.2">
      <c r="C109" s="235">
        <f t="shared" si="98"/>
        <v>31.5</v>
      </c>
      <c r="D109" s="235">
        <f t="shared" si="99"/>
        <v>31</v>
      </c>
      <c r="E109">
        <f t="shared" si="52"/>
        <v>2.9400000000000013</v>
      </c>
      <c r="G109" s="303">
        <f t="shared" si="53"/>
        <v>4.9000000000000021</v>
      </c>
      <c r="H109" s="303">
        <f t="shared" si="54"/>
        <v>3.7499999999999987</v>
      </c>
      <c r="I109" s="303">
        <f t="shared" si="55"/>
        <v>3.2699999999999996</v>
      </c>
      <c r="K109" s="303">
        <f t="shared" si="56"/>
        <v>33.5</v>
      </c>
      <c r="L109" s="303">
        <f t="shared" si="57"/>
        <v>35.5</v>
      </c>
      <c r="M109" s="303">
        <f t="shared" si="58"/>
        <v>5.8000000000000016</v>
      </c>
      <c r="N109" s="303"/>
      <c r="O109" s="303">
        <f t="shared" si="59"/>
        <v>31.149999999999981</v>
      </c>
      <c r="P109" s="303">
        <f t="shared" si="60"/>
        <v>31.149999999999981</v>
      </c>
      <c r="Q109" s="303">
        <f t="shared" si="61"/>
        <v>2.6699999999999995</v>
      </c>
      <c r="R109" s="303"/>
      <c r="S109" s="303">
        <f t="shared" si="62"/>
        <v>0.34</v>
      </c>
      <c r="T109" s="304">
        <f t="shared" si="63"/>
        <v>0.47770000000000012</v>
      </c>
      <c r="U109" s="303">
        <f t="shared" si="64"/>
        <v>0.19399999999999998</v>
      </c>
      <c r="V109" s="303"/>
      <c r="W109" s="303">
        <f t="shared" si="65"/>
        <v>33.100000000000009</v>
      </c>
      <c r="X109" s="303">
        <f t="shared" si="66"/>
        <v>33.100000000000009</v>
      </c>
      <c r="Y109" s="303">
        <f t="shared" si="67"/>
        <v>3.25</v>
      </c>
      <c r="Z109" s="303"/>
      <c r="AA109" s="303">
        <f t="shared" si="68"/>
        <v>1.2609999999999999</v>
      </c>
      <c r="AB109" s="303">
        <f t="shared" si="69"/>
        <v>1.2609999999999999</v>
      </c>
      <c r="AC109" s="303">
        <f t="shared" si="70"/>
        <v>0.61499999999999999</v>
      </c>
      <c r="AD109" s="303"/>
      <c r="AE109" s="303">
        <f t="shared" si="71"/>
        <v>62.200000000000038</v>
      </c>
      <c r="AF109" s="303">
        <f t="shared" si="72"/>
        <v>62.200000000000038</v>
      </c>
      <c r="AG109" s="303">
        <f t="shared" si="73"/>
        <v>6.5</v>
      </c>
      <c r="AH109" s="303"/>
      <c r="AI109" s="303">
        <f t="shared" si="74"/>
        <v>3.8499999999999983</v>
      </c>
      <c r="AJ109" s="303">
        <f t="shared" si="75"/>
        <v>3.8499999999999983</v>
      </c>
      <c r="AK109" s="303">
        <f t="shared" si="76"/>
        <v>2.5899999999999994</v>
      </c>
      <c r="AL109" s="303"/>
      <c r="AM109" s="303"/>
      <c r="AN109" s="303"/>
      <c r="AO109" s="303">
        <v>31.5</v>
      </c>
      <c r="AP109" s="303">
        <v>31.5</v>
      </c>
      <c r="AQ109" s="303">
        <v>2.9400000000000013</v>
      </c>
      <c r="AR109" s="303"/>
      <c r="AS109" s="303">
        <v>4.9000000000000021</v>
      </c>
      <c r="AT109" s="303">
        <v>3.7499999999999987</v>
      </c>
      <c r="AU109" s="303">
        <v>3.2699999999999996</v>
      </c>
      <c r="AV109" s="303"/>
      <c r="AW109" s="303">
        <f t="shared" si="77"/>
        <v>34.5</v>
      </c>
      <c r="AX109" s="303">
        <f t="shared" si="78"/>
        <v>34.5</v>
      </c>
      <c r="AY109" s="303">
        <f t="shared" si="97"/>
        <v>4.8100000000000014</v>
      </c>
      <c r="AZ109" s="303"/>
      <c r="BA109" s="303">
        <f t="shared" si="79"/>
        <v>31.149999999999981</v>
      </c>
      <c r="BB109" s="303">
        <f t="shared" si="80"/>
        <v>31.149999999999981</v>
      </c>
      <c r="BC109" s="303">
        <f t="shared" si="81"/>
        <v>2.6699999999999995</v>
      </c>
      <c r="BD109" s="303"/>
      <c r="BE109" s="303">
        <f t="shared" si="82"/>
        <v>0.34</v>
      </c>
      <c r="BF109" s="304">
        <f t="shared" si="83"/>
        <v>0.4507000000000001</v>
      </c>
      <c r="BG109" s="303">
        <f t="shared" si="84"/>
        <v>0.19399999999999998</v>
      </c>
      <c r="BH109" s="303"/>
      <c r="BI109" s="303">
        <f t="shared" si="85"/>
        <v>33.100000000000009</v>
      </c>
      <c r="BJ109" s="303">
        <f t="shared" si="86"/>
        <v>33.100000000000009</v>
      </c>
      <c r="BK109" s="303">
        <f t="shared" si="87"/>
        <v>3.25</v>
      </c>
      <c r="BL109" s="303"/>
      <c r="BM109" s="303">
        <f t="shared" si="88"/>
        <v>1.2609999999999999</v>
      </c>
      <c r="BN109" s="303">
        <f t="shared" si="89"/>
        <v>1.2609999999999999</v>
      </c>
      <c r="BO109" s="303">
        <f t="shared" si="90"/>
        <v>0.51500000000000001</v>
      </c>
      <c r="BP109" s="303"/>
      <c r="BQ109" s="303">
        <f t="shared" si="91"/>
        <v>62.200000000000038</v>
      </c>
      <c r="BR109" s="303">
        <f t="shared" si="92"/>
        <v>62.200000000000038</v>
      </c>
      <c r="BS109" s="303">
        <f t="shared" si="93"/>
        <v>6.5</v>
      </c>
      <c r="BT109" s="303"/>
      <c r="BU109" s="303">
        <f t="shared" si="94"/>
        <v>3.8499999999999983</v>
      </c>
      <c r="BV109" s="303">
        <f t="shared" si="95"/>
        <v>3.8499999999999983</v>
      </c>
      <c r="BW109" s="303">
        <f t="shared" si="96"/>
        <v>2.5899999999999994</v>
      </c>
    </row>
    <row r="110" spans="3:75" x14ac:dyDescent="0.2">
      <c r="C110" s="235">
        <f t="shared" si="98"/>
        <v>32</v>
      </c>
      <c r="D110" s="235">
        <f t="shared" si="99"/>
        <v>31.5</v>
      </c>
      <c r="E110">
        <f t="shared" si="52"/>
        <v>3.1600000000000015</v>
      </c>
      <c r="G110" s="303">
        <f t="shared" si="53"/>
        <v>5.1000000000000023</v>
      </c>
      <c r="H110" s="303">
        <f t="shared" si="54"/>
        <v>3.8999999999999986</v>
      </c>
      <c r="I110" s="303">
        <f t="shared" si="55"/>
        <v>3.4799999999999995</v>
      </c>
      <c r="K110" s="303">
        <f t="shared" si="56"/>
        <v>34</v>
      </c>
      <c r="L110" s="303">
        <f t="shared" si="57"/>
        <v>36</v>
      </c>
      <c r="M110" s="303">
        <f t="shared" si="58"/>
        <v>6.200000000000002</v>
      </c>
      <c r="N110" s="303"/>
      <c r="O110" s="303">
        <f t="shared" si="59"/>
        <v>31.59999999999998</v>
      </c>
      <c r="P110" s="303">
        <f t="shared" si="60"/>
        <v>31.59999999999998</v>
      </c>
      <c r="Q110" s="303">
        <f t="shared" si="61"/>
        <v>2.8799999999999994</v>
      </c>
      <c r="R110" s="303"/>
      <c r="S110" s="303">
        <f t="shared" si="62"/>
        <v>0.36000000000000004</v>
      </c>
      <c r="T110" s="304">
        <f t="shared" si="63"/>
        <v>0.50280000000000014</v>
      </c>
      <c r="U110" s="303">
        <f t="shared" si="64"/>
        <v>0.21599999999999997</v>
      </c>
      <c r="V110" s="303"/>
      <c r="W110" s="303">
        <f t="shared" si="65"/>
        <v>33.400000000000006</v>
      </c>
      <c r="X110" s="303">
        <f t="shared" si="66"/>
        <v>33.400000000000006</v>
      </c>
      <c r="Y110" s="303">
        <f t="shared" si="67"/>
        <v>3.5</v>
      </c>
      <c r="Z110" s="303"/>
      <c r="AA110" s="303">
        <f t="shared" si="68"/>
        <v>1.3039999999999998</v>
      </c>
      <c r="AB110" s="303">
        <f t="shared" si="69"/>
        <v>1.3039999999999998</v>
      </c>
      <c r="AC110" s="303">
        <f t="shared" si="70"/>
        <v>0.66</v>
      </c>
      <c r="AD110" s="303"/>
      <c r="AE110" s="303">
        <f t="shared" si="71"/>
        <v>62.80000000000004</v>
      </c>
      <c r="AF110" s="303">
        <f t="shared" si="72"/>
        <v>62.80000000000004</v>
      </c>
      <c r="AG110" s="303">
        <f t="shared" si="73"/>
        <v>7</v>
      </c>
      <c r="AH110" s="303"/>
      <c r="AI110" s="303">
        <f t="shared" si="74"/>
        <v>3.9999999999999982</v>
      </c>
      <c r="AJ110" s="303">
        <f t="shared" si="75"/>
        <v>3.9999999999999982</v>
      </c>
      <c r="AK110" s="303">
        <f t="shared" si="76"/>
        <v>2.7599999999999993</v>
      </c>
      <c r="AL110" s="303"/>
      <c r="AM110" s="303"/>
      <c r="AN110" s="303"/>
      <c r="AO110" s="303">
        <v>32</v>
      </c>
      <c r="AP110" s="303">
        <v>32</v>
      </c>
      <c r="AQ110" s="303">
        <v>3.1600000000000015</v>
      </c>
      <c r="AR110" s="303"/>
      <c r="AS110" s="303">
        <v>5.1000000000000023</v>
      </c>
      <c r="AT110" s="303">
        <v>3.8999999999999986</v>
      </c>
      <c r="AU110" s="303">
        <v>3.4799999999999995</v>
      </c>
      <c r="AV110" s="303"/>
      <c r="AW110" s="303">
        <f t="shared" si="77"/>
        <v>35</v>
      </c>
      <c r="AX110" s="303">
        <f t="shared" si="78"/>
        <v>35</v>
      </c>
      <c r="AY110" s="303">
        <f t="shared" si="97"/>
        <v>5.2100000000000017</v>
      </c>
      <c r="AZ110" s="303"/>
      <c r="BA110" s="303">
        <f t="shared" si="79"/>
        <v>31.59999999999998</v>
      </c>
      <c r="BB110" s="303">
        <f t="shared" si="80"/>
        <v>31.59999999999998</v>
      </c>
      <c r="BC110" s="303">
        <f t="shared" si="81"/>
        <v>2.8799999999999994</v>
      </c>
      <c r="BD110" s="303"/>
      <c r="BE110" s="303">
        <f t="shared" si="82"/>
        <v>0.36000000000000004</v>
      </c>
      <c r="BF110" s="304">
        <f t="shared" si="83"/>
        <v>0.47480000000000011</v>
      </c>
      <c r="BG110" s="303">
        <f t="shared" si="84"/>
        <v>0.21599999999999997</v>
      </c>
      <c r="BH110" s="303"/>
      <c r="BI110" s="303">
        <f t="shared" si="85"/>
        <v>33.400000000000006</v>
      </c>
      <c r="BJ110" s="303">
        <f t="shared" si="86"/>
        <v>33.400000000000006</v>
      </c>
      <c r="BK110" s="303">
        <f t="shared" si="87"/>
        <v>3.5</v>
      </c>
      <c r="BL110" s="303"/>
      <c r="BM110" s="303">
        <f t="shared" si="88"/>
        <v>1.3039999999999998</v>
      </c>
      <c r="BN110" s="303">
        <f t="shared" si="89"/>
        <v>1.3039999999999998</v>
      </c>
      <c r="BO110" s="303">
        <f t="shared" si="90"/>
        <v>0.56000000000000005</v>
      </c>
      <c r="BP110" s="303"/>
      <c r="BQ110" s="303">
        <f t="shared" si="91"/>
        <v>62.80000000000004</v>
      </c>
      <c r="BR110" s="303">
        <f t="shared" si="92"/>
        <v>62.80000000000004</v>
      </c>
      <c r="BS110" s="303">
        <f t="shared" si="93"/>
        <v>7</v>
      </c>
      <c r="BT110" s="303"/>
      <c r="BU110" s="303">
        <f t="shared" si="94"/>
        <v>3.9999999999999982</v>
      </c>
      <c r="BV110" s="303">
        <f t="shared" si="95"/>
        <v>3.9999999999999982</v>
      </c>
      <c r="BW110" s="303">
        <f t="shared" si="96"/>
        <v>2.7599999999999993</v>
      </c>
    </row>
    <row r="111" spans="3:75" x14ac:dyDescent="0.2">
      <c r="C111" s="235">
        <f t="shared" si="98"/>
        <v>32.5</v>
      </c>
      <c r="D111" s="235">
        <f t="shared" si="99"/>
        <v>32</v>
      </c>
      <c r="E111">
        <f t="shared" si="52"/>
        <v>3.3800000000000017</v>
      </c>
      <c r="G111" s="303">
        <f t="shared" si="53"/>
        <v>5.3000000000000025</v>
      </c>
      <c r="H111" s="303">
        <f t="shared" si="54"/>
        <v>4.0499999999999989</v>
      </c>
      <c r="I111" s="303">
        <f t="shared" si="55"/>
        <v>3.6899999999999995</v>
      </c>
      <c r="K111" s="303">
        <f t="shared" si="56"/>
        <v>34.5</v>
      </c>
      <c r="L111" s="303">
        <f t="shared" si="57"/>
        <v>36.5</v>
      </c>
      <c r="M111" s="303">
        <f t="shared" si="58"/>
        <v>6.6000000000000023</v>
      </c>
      <c r="N111" s="303"/>
      <c r="O111" s="303">
        <f t="shared" si="59"/>
        <v>32.049999999999983</v>
      </c>
      <c r="P111" s="303">
        <f t="shared" si="60"/>
        <v>32.049999999999983</v>
      </c>
      <c r="Q111" s="303">
        <f t="shared" si="61"/>
        <v>3.0899999999999994</v>
      </c>
      <c r="R111" s="303"/>
      <c r="S111" s="303">
        <f t="shared" si="62"/>
        <v>0.38000000000000006</v>
      </c>
      <c r="T111" s="304">
        <f t="shared" si="63"/>
        <v>0.52790000000000015</v>
      </c>
      <c r="U111" s="303">
        <f t="shared" si="64"/>
        <v>0.23799999999999996</v>
      </c>
      <c r="V111" s="303"/>
      <c r="W111" s="303">
        <f t="shared" si="65"/>
        <v>33.700000000000003</v>
      </c>
      <c r="X111" s="303">
        <f t="shared" si="66"/>
        <v>33.700000000000003</v>
      </c>
      <c r="Y111" s="303">
        <f t="shared" si="67"/>
        <v>3.75</v>
      </c>
      <c r="Z111" s="303"/>
      <c r="AA111" s="303">
        <f t="shared" si="68"/>
        <v>1.3469999999999998</v>
      </c>
      <c r="AB111" s="303">
        <f t="shared" si="69"/>
        <v>1.3469999999999998</v>
      </c>
      <c r="AC111" s="303">
        <f t="shared" si="70"/>
        <v>0.70500000000000007</v>
      </c>
      <c r="AD111" s="303"/>
      <c r="AE111" s="303">
        <f t="shared" si="71"/>
        <v>63.400000000000041</v>
      </c>
      <c r="AF111" s="303">
        <f t="shared" si="72"/>
        <v>63.400000000000041</v>
      </c>
      <c r="AG111" s="303">
        <f t="shared" si="73"/>
        <v>7.5</v>
      </c>
      <c r="AH111" s="303"/>
      <c r="AI111" s="303">
        <f t="shared" si="74"/>
        <v>4.1499999999999986</v>
      </c>
      <c r="AJ111" s="303">
        <f t="shared" si="75"/>
        <v>4.1499999999999986</v>
      </c>
      <c r="AK111" s="303">
        <f t="shared" si="76"/>
        <v>2.9299999999999993</v>
      </c>
      <c r="AL111" s="303"/>
      <c r="AM111" s="303"/>
      <c r="AN111" s="303"/>
      <c r="AO111" s="303">
        <v>32.5</v>
      </c>
      <c r="AP111" s="303">
        <v>32.5</v>
      </c>
      <c r="AQ111" s="303">
        <v>3.3800000000000017</v>
      </c>
      <c r="AR111" s="303"/>
      <c r="AS111" s="303">
        <v>5.3000000000000025</v>
      </c>
      <c r="AT111" s="303">
        <v>4.0499999999999989</v>
      </c>
      <c r="AU111" s="303">
        <v>3.6899999999999995</v>
      </c>
      <c r="AV111" s="303"/>
      <c r="AW111" s="303">
        <f t="shared" si="77"/>
        <v>35.5</v>
      </c>
      <c r="AX111" s="303">
        <f t="shared" si="78"/>
        <v>35.5</v>
      </c>
      <c r="AY111" s="303">
        <f t="shared" si="97"/>
        <v>5.6100000000000021</v>
      </c>
      <c r="AZ111" s="303"/>
      <c r="BA111" s="303">
        <f t="shared" si="79"/>
        <v>32.049999999999983</v>
      </c>
      <c r="BB111" s="303">
        <f t="shared" si="80"/>
        <v>32.049999999999983</v>
      </c>
      <c r="BC111" s="303">
        <f t="shared" si="81"/>
        <v>3.0899999999999994</v>
      </c>
      <c r="BD111" s="303"/>
      <c r="BE111" s="303">
        <f t="shared" si="82"/>
        <v>0.38000000000000006</v>
      </c>
      <c r="BF111" s="304">
        <f t="shared" si="83"/>
        <v>0.49890000000000012</v>
      </c>
      <c r="BG111" s="303">
        <f t="shared" si="84"/>
        <v>0.23799999999999996</v>
      </c>
      <c r="BH111" s="303"/>
      <c r="BI111" s="303">
        <f t="shared" si="85"/>
        <v>33.700000000000003</v>
      </c>
      <c r="BJ111" s="303">
        <f t="shared" si="86"/>
        <v>33.700000000000003</v>
      </c>
      <c r="BK111" s="303">
        <f t="shared" si="87"/>
        <v>3.75</v>
      </c>
      <c r="BL111" s="303"/>
      <c r="BM111" s="303">
        <f t="shared" si="88"/>
        <v>1.3469999999999998</v>
      </c>
      <c r="BN111" s="303">
        <f t="shared" si="89"/>
        <v>1.3469999999999998</v>
      </c>
      <c r="BO111" s="303">
        <f t="shared" si="90"/>
        <v>0.60500000000000009</v>
      </c>
      <c r="BP111" s="303"/>
      <c r="BQ111" s="303">
        <f t="shared" si="91"/>
        <v>63.400000000000041</v>
      </c>
      <c r="BR111" s="303">
        <f t="shared" si="92"/>
        <v>63.400000000000041</v>
      </c>
      <c r="BS111" s="303">
        <f t="shared" si="93"/>
        <v>7.5</v>
      </c>
      <c r="BT111" s="303"/>
      <c r="BU111" s="303">
        <f t="shared" si="94"/>
        <v>4.1499999999999986</v>
      </c>
      <c r="BV111" s="303">
        <f t="shared" si="95"/>
        <v>4.1499999999999986</v>
      </c>
      <c r="BW111" s="303">
        <f t="shared" si="96"/>
        <v>2.9299999999999993</v>
      </c>
    </row>
    <row r="112" spans="3:75" x14ac:dyDescent="0.2">
      <c r="C112" s="235"/>
      <c r="D112" s="235"/>
    </row>
    <row r="114" spans="3:75" x14ac:dyDescent="0.2">
      <c r="C114" s="334">
        <f t="shared" ref="C114:C143" si="100">_xlfn.NORM.DIST(C82,$C$40,$C$44,0)</f>
        <v>2.2900998303411822E-2</v>
      </c>
      <c r="D114" s="334">
        <f t="shared" ref="D114:D143" si="101">_xlfn.NORM.DIST(D82,$D$40,$D$44,0)</f>
        <v>9.5836893193645652E-4</v>
      </c>
      <c r="E114" s="334">
        <f t="shared" ref="E114:E143" si="102">_xlfn.NORM.DIST(E82,$E$40,$E$44,0)</f>
        <v>4.1115613763084154E-2</v>
      </c>
      <c r="G114" s="334">
        <f t="shared" ref="G114:G143" si="103">_xlfn.NORM.DIST(G82,$G$40,$G$44,0)</f>
        <v>1.1343579631726974E-2</v>
      </c>
      <c r="H114" s="334">
        <f t="shared" ref="H114:H143" si="104">_xlfn.NORM.DIST(H82,$H$40,$H$44,0)</f>
        <v>8.7430118927887875E-3</v>
      </c>
      <c r="I114" s="334">
        <f t="shared" ref="I114:I143" si="105">_xlfn.NORM.DIST(I82,$I$40,$I$44,0)</f>
        <v>2.8861826910909972E-5</v>
      </c>
      <c r="J114" s="334"/>
      <c r="K114" s="334">
        <f t="shared" ref="K114:K143" si="106">_xlfn.NORM.DIST(K82,$K$40,$K$44,0)</f>
        <v>1.6253199953095473E-9</v>
      </c>
      <c r="L114" s="334">
        <f t="shared" ref="L114:L143" si="107">_xlfn.NORM.DIST(L82,$L$40,$L$44,0)</f>
        <v>1.4575808780248944E-6</v>
      </c>
      <c r="M114" s="334">
        <f t="shared" ref="M114:M143" si="108">_xlfn.NORM.DIST(M82,$M$40,$M$44,0)</f>
        <v>4.014834508874797E-4</v>
      </c>
      <c r="N114" s="334"/>
      <c r="O114" s="334">
        <f t="shared" ref="O114:O143" si="109">_xlfn.NORM.DIST(O82,$O$40,$O$44,0)</f>
        <v>3.1451682728677426E-3</v>
      </c>
      <c r="P114" s="334">
        <f t="shared" ref="P114:P143" si="110">_xlfn.NORM.DIST(P82,$P$40,$P$44,0)</f>
        <v>1.5160546267986187E-2</v>
      </c>
      <c r="Q114" s="334">
        <f t="shared" ref="Q114:Q143" si="111">_xlfn.NORM.DIST(Q82,$Q$40,$Q$44,0)</f>
        <v>5.4317137147415484E-2</v>
      </c>
      <c r="R114" s="334"/>
      <c r="S114" s="334">
        <f t="shared" ref="S114:S143" si="112">_xlfn.NORM.DIST(S82,$S$40,$S$44,0)</f>
        <v>4.4886563853739327E-2</v>
      </c>
      <c r="T114" s="334">
        <f t="shared" ref="T114:T143" si="113">_xlfn.NORM.DIST(T82,$T$40,$T$44,0)</f>
        <v>0.30652207217181748</v>
      </c>
      <c r="U114" s="334">
        <f t="shared" ref="U114:U143" si="114">_xlfn.NORM.DIST(U82,$U$40,$U$44,0)</f>
        <v>0.87495212654466048</v>
      </c>
      <c r="W114" s="334">
        <f t="shared" ref="W114:W143" si="115">_xlfn.NORM.DIST(W82,$W$40,$W$44,0)</f>
        <v>7.3651297316388513E-5</v>
      </c>
      <c r="X114" s="334">
        <f t="shared" ref="X114:X143" si="116">_xlfn.NORM.DIST(X82,$X$40,$X$44,0)</f>
        <v>6.9455516380616212E-14</v>
      </c>
      <c r="Y114" s="334">
        <f t="shared" ref="Y114:Y143" si="117">_xlfn.NORM.DIST(Y82,$Y$40,$Y$44,0)</f>
        <v>1.09053129022758E-2</v>
      </c>
      <c r="Z114" s="334"/>
      <c r="AA114" s="334">
        <f t="shared" ref="AA114:AA143" si="118">_xlfn.NORM.DIST(AA82,$AA$40,$AA$44,0)</f>
        <v>3.7937168512094603E-2</v>
      </c>
      <c r="AB114" s="334">
        <f t="shared" ref="AB114:AB143" si="119">_xlfn.NORM.DIST(AB82,$AB$40,$AB$44,0)</f>
        <v>1.3706793958761859E-4</v>
      </c>
      <c r="AC114" s="334">
        <f t="shared" ref="AC114:AC143" si="120">_xlfn.NORM.DIST(AC82,$AC$40,$AC$44,0)</f>
        <v>5.4782620036110508E-2</v>
      </c>
      <c r="AD114" s="334"/>
      <c r="AE114" s="334">
        <f t="shared" ref="AE114:AE143" si="121">_xlfn.NORM.DIST(AE82,$AE$40,$AE$44,0)</f>
        <v>1.052374041791823E-23</v>
      </c>
      <c r="AF114" s="334">
        <f t="shared" ref="AF114:AF143" si="122">_xlfn.NORM.DIST(AF82,$AF$40,$AF$44,0)</f>
        <v>1.5719514824467038E-38</v>
      </c>
      <c r="AG114" s="334">
        <f t="shared" ref="AG114:AG143" si="123">_xlfn.NORM.DIST(AG82,$AG$40,$AG$44,0)</f>
        <v>3.2957999111882825E-11</v>
      </c>
      <c r="AH114" s="334"/>
      <c r="AI114" s="334">
        <f t="shared" ref="AI114:AI143" si="124">_xlfn.NORM.DIST(AI82,$AI$40,$AI$44,0)</f>
        <v>8.6638896210906702E-2</v>
      </c>
      <c r="AJ114" s="334">
        <f t="shared" ref="AJ114:AJ143" si="125">_xlfn.NORM.DIST(AJ82,$AJ$40,$AJ$44,0)</f>
        <v>3.2685338798624625E-7</v>
      </c>
      <c r="AK114" s="334">
        <f t="shared" ref="AK114:AK143" si="126">_xlfn.NORM.DIST(AK82,$AK$40,$AK$44,0)</f>
        <v>4.512572036699216E-3</v>
      </c>
      <c r="AL114" s="334"/>
      <c r="AM114" s="334"/>
      <c r="AN114" s="334"/>
      <c r="AO114" s="334">
        <f t="shared" ref="AO114:AO143" si="127">_xlfn.NORM.DIST(AO82,$AO$40,$AO$44,0)</f>
        <v>2.4587963104814523E-4</v>
      </c>
      <c r="AP114" s="334">
        <f t="shared" ref="AP114:AP143" si="128">_xlfn.NORM.DIST(AP82,$AP$40,$AP$44,0)</f>
        <v>2.8072584044185745E-4</v>
      </c>
      <c r="AQ114" s="334">
        <f t="shared" ref="AQ114:AQ143" si="129">_xlfn.NORM.DIST(AQ82,$AQ$40,$AQ$44,0)</f>
        <v>2.1091316339705561E-2</v>
      </c>
      <c r="AR114" s="334"/>
      <c r="AS114" s="334">
        <f t="shared" ref="AS114:AS143" si="130">_xlfn.NORM.DIST(AS82,$AS$40,$AS$44,0)</f>
        <v>1.2351883978492706E-3</v>
      </c>
      <c r="AT114" s="334">
        <f t="shared" ref="AT114:AT143" si="131">_xlfn.NORM.DIST(AT82,$AT$40,$AT$44,0)</f>
        <v>1.0008858690583594E-2</v>
      </c>
      <c r="AU114" s="334">
        <f t="shared" ref="AU114:AU143" si="132">_xlfn.NORM.DIST(AU82,$AU$40,$AU$44,0)</f>
        <v>4.2653772719213496E-4</v>
      </c>
      <c r="AV114" s="334"/>
      <c r="AW114" s="334">
        <f t="shared" ref="AW114:AW143" si="133">_xlfn.NORM.DIST(AW82,$AW$40,$AW$44,0)</f>
        <v>2.5351358186661753E-7</v>
      </c>
      <c r="AX114" s="334">
        <f t="shared" ref="AX114:AX143" si="134">_xlfn.NORM.DIST(AX82,$AX$40,$AX$44,0)</f>
        <v>2.8869934882395988E-12</v>
      </c>
      <c r="AY114" s="334">
        <f t="shared" ref="AY114:AY143" si="135">_xlfn.NORM.DIST(AY82,$AY$40,$AY$44,0)</f>
        <v>2.8531546408067495E-4</v>
      </c>
      <c r="AZ114" s="334"/>
      <c r="BA114" s="334">
        <f t="shared" ref="BA114:BA143" si="136">_xlfn.NORM.DIST(BA82,$BA$40,$BA$44,0)</f>
        <v>1.0128548547003745E-2</v>
      </c>
      <c r="BB114" s="334">
        <f t="shared" ref="BB114:BB143" si="137">_xlfn.NORM.DIST(BB82,$BB$40,$BB$44,0)</f>
        <v>3.936877902451329E-3</v>
      </c>
      <c r="BC114" s="334">
        <f t="shared" ref="BC114:BC143" si="138">_xlfn.NORM.DIST(BC82,$BC$40,$BC$44,0)</f>
        <v>6.5748562744571873E-2</v>
      </c>
      <c r="BD114" s="334"/>
      <c r="BE114" s="334">
        <f t="shared" ref="BE114:BE143" si="139">_xlfn.NORM.DIST(BE82,$BE$40,$BE$44,0)</f>
        <v>3.2136365225116141E-16</v>
      </c>
      <c r="BF114" s="334">
        <f t="shared" ref="BF114:BF143" si="140">_xlfn.NORM.DIST(BF82,$BF$40,$BF$44,0)</f>
        <v>0.16412051079952078</v>
      </c>
      <c r="BG114" s="334">
        <f t="shared" ref="BG114:BG143" si="141">_xlfn.NORM.DIST(BG82,$BG$40,$BG$44,0)</f>
        <v>0.50690757137530185</v>
      </c>
      <c r="BH114" s="334"/>
      <c r="BI114" s="334">
        <f t="shared" ref="BI114:BI143" si="142">_xlfn.NORM.DIST(BI82,$BI$40,$BI$44,0)</f>
        <v>4.0171617920231081E-5</v>
      </c>
      <c r="BJ114" s="334">
        <f t="shared" ref="BJ114:BJ143" si="143">_xlfn.NORM.DIST(BJ82,$BJ$40,$BJ$44,0)</f>
        <v>1.5609886142446563E-10</v>
      </c>
      <c r="BK114" s="334">
        <f t="shared" ref="BK114:BK143" si="144">_xlfn.NORM.DIST(BK82,$BK$40,$BK$44,0)</f>
        <v>4.1946984053918644E-3</v>
      </c>
      <c r="BL114" s="334"/>
      <c r="BM114" s="334">
        <f t="shared" ref="BM114:BM143" si="145">_xlfn.NORM.DIST(BM82,$BM$40,$BM$44,0)</f>
        <v>0.22369927481793039</v>
      </c>
      <c r="BN114" s="334">
        <f t="shared" ref="BN114:BN143" si="146">_xlfn.NORM.DIST(BN82,$BN$40,$BN$44,0)</f>
        <v>3.5520990951008578E-4</v>
      </c>
      <c r="BO114" s="334">
        <f t="shared" ref="BO114:BO143" si="147">_xlfn.NORM.DIST(BO82,$BO$40,$BO$44,0)</f>
        <v>0.12187577641767115</v>
      </c>
      <c r="BP114" s="334"/>
      <c r="BQ114" s="334">
        <f t="shared" ref="BQ114:BQ143" si="148">_xlfn.NORM.DIST(BQ82,$BQ$40,$BQ$44,0)</f>
        <v>1.105134613435917E-15</v>
      </c>
      <c r="BR114" s="334">
        <f t="shared" ref="BR114:BR143" si="149">_xlfn.NORM.DIST(BR82,$BR$40,$BR$44,0)</f>
        <v>4.458793066437166E-29</v>
      </c>
      <c r="BS114" s="334">
        <f t="shared" ref="BS114:BS143" si="150">_xlfn.NORM.DIST(BS82,$BS$40,$BS$44,0)</f>
        <v>3.4631004480365506E-6</v>
      </c>
      <c r="BT114" s="334"/>
      <c r="BU114" s="334">
        <f>_xlfn.NORM.DIST(BU82,$BU$40,$BU$44,0)</f>
        <v>9.8022673985816294E-2</v>
      </c>
      <c r="BV114" s="334">
        <f t="shared" ref="BV114:BV143" si="151">_xlfn.NORM.DIST(BV82,$BV$40,$BV$44,0)</f>
        <v>4.3880517103654659E-4</v>
      </c>
      <c r="BW114" s="334">
        <f t="shared" ref="BW114:BW143" si="152">_xlfn.NORM.DIST(BW82,$BW$40,$BW$44,0)</f>
        <v>1.4507009096625305E-2</v>
      </c>
    </row>
    <row r="115" spans="3:75" x14ac:dyDescent="0.2">
      <c r="C115" s="334">
        <f t="shared" si="100"/>
        <v>3.5829445201545886E-2</v>
      </c>
      <c r="D115" s="334">
        <f t="shared" si="101"/>
        <v>2.8052429184294587E-3</v>
      </c>
      <c r="E115" s="334">
        <f t="shared" si="102"/>
        <v>5.927703661841912E-2</v>
      </c>
      <c r="G115" s="334">
        <f t="shared" si="103"/>
        <v>1.7893501030227275E-2</v>
      </c>
      <c r="H115" s="334">
        <f t="shared" si="104"/>
        <v>1.4450296738181661E-2</v>
      </c>
      <c r="I115" s="334">
        <f t="shared" si="105"/>
        <v>1.2206957881041183E-4</v>
      </c>
      <c r="J115" s="334"/>
      <c r="K115" s="334">
        <f t="shared" si="106"/>
        <v>1.6908228778710431E-8</v>
      </c>
      <c r="L115" s="334">
        <f t="shared" si="107"/>
        <v>1.1769643193473321E-5</v>
      </c>
      <c r="M115" s="334">
        <f t="shared" si="108"/>
        <v>1.0526201741521259E-3</v>
      </c>
      <c r="N115" s="334"/>
      <c r="O115" s="334">
        <f t="shared" si="109"/>
        <v>7.8268091956548904E-3</v>
      </c>
      <c r="P115" s="334">
        <f t="shared" si="110"/>
        <v>2.4111499310301418E-2</v>
      </c>
      <c r="Q115" s="334">
        <f t="shared" si="111"/>
        <v>7.0920956776556632E-2</v>
      </c>
      <c r="R115" s="334"/>
      <c r="S115" s="334">
        <f t="shared" si="112"/>
        <v>7.986891256761601E-2</v>
      </c>
      <c r="T115" s="334">
        <f t="shared" si="113"/>
        <v>0.37418333500845014</v>
      </c>
      <c r="U115" s="334">
        <f t="shared" si="114"/>
        <v>0.95502303009153122</v>
      </c>
      <c r="W115" s="334">
        <f t="shared" si="115"/>
        <v>2.4239501815632235E-4</v>
      </c>
      <c r="X115" s="334">
        <f t="shared" si="116"/>
        <v>3.7288594644674701E-12</v>
      </c>
      <c r="Y115" s="334">
        <f t="shared" si="117"/>
        <v>1.7741194829770993E-2</v>
      </c>
      <c r="Z115" s="334"/>
      <c r="AA115" s="334">
        <f t="shared" si="118"/>
        <v>6.7872457818571971E-2</v>
      </c>
      <c r="AB115" s="334">
        <f t="shared" si="119"/>
        <v>5.3902484530376365E-4</v>
      </c>
      <c r="AC115" s="334">
        <f t="shared" si="120"/>
        <v>9.475878456745733E-2</v>
      </c>
      <c r="AD115" s="334"/>
      <c r="AE115" s="334">
        <f t="shared" si="121"/>
        <v>3.0437956446442297E-21</v>
      </c>
      <c r="AF115" s="334">
        <f t="shared" si="122"/>
        <v>4.1559955685324971E-34</v>
      </c>
      <c r="AG115" s="334">
        <f t="shared" si="123"/>
        <v>5.7449606783320338E-10</v>
      </c>
      <c r="AH115" s="334"/>
      <c r="AI115" s="334">
        <f t="shared" si="124"/>
        <v>0.13517023642022888</v>
      </c>
      <c r="AJ115" s="334">
        <f t="shared" si="125"/>
        <v>1.3343471973222472E-5</v>
      </c>
      <c r="AK115" s="334">
        <f t="shared" si="126"/>
        <v>9.7109589647384406E-3</v>
      </c>
      <c r="AL115" s="334"/>
      <c r="AM115" s="334"/>
      <c r="AN115" s="334"/>
      <c r="AO115" s="334">
        <f t="shared" si="127"/>
        <v>8.276744569469766E-4</v>
      </c>
      <c r="AP115" s="334">
        <f t="shared" si="128"/>
        <v>9.7329457449660663E-4</v>
      </c>
      <c r="AQ115" s="334">
        <f t="shared" si="129"/>
        <v>2.9711938570633898E-2</v>
      </c>
      <c r="AR115" s="334"/>
      <c r="AS115" s="334">
        <f t="shared" si="130"/>
        <v>2.8897433355364976E-3</v>
      </c>
      <c r="AT115" s="334">
        <f t="shared" si="131"/>
        <v>1.615952757940229E-2</v>
      </c>
      <c r="AU115" s="334">
        <f t="shared" si="132"/>
        <v>1.3125704144751307E-3</v>
      </c>
      <c r="AV115" s="334"/>
      <c r="AW115" s="334">
        <f t="shared" si="133"/>
        <v>1.5818699982159435E-6</v>
      </c>
      <c r="AX115" s="334">
        <f t="shared" si="134"/>
        <v>9.15080483600536E-11</v>
      </c>
      <c r="AY115" s="334">
        <f t="shared" si="135"/>
        <v>6.7460203067019441E-4</v>
      </c>
      <c r="AZ115" s="334"/>
      <c r="BA115" s="334">
        <f t="shared" si="136"/>
        <v>1.7041684827157639E-2</v>
      </c>
      <c r="BB115" s="334">
        <f t="shared" si="137"/>
        <v>7.8335519898303212E-3</v>
      </c>
      <c r="BC115" s="334">
        <f t="shared" si="138"/>
        <v>7.7778194193829822E-2</v>
      </c>
      <c r="BD115" s="334"/>
      <c r="BE115" s="334">
        <f t="shared" si="139"/>
        <v>7.2895855324709896E-14</v>
      </c>
      <c r="BF115" s="334">
        <f t="shared" si="140"/>
        <v>0.22857188498408507</v>
      </c>
      <c r="BG115" s="334">
        <f t="shared" si="141"/>
        <v>0.63625323555813362</v>
      </c>
      <c r="BH115" s="334"/>
      <c r="BI115" s="334">
        <f t="shared" si="142"/>
        <v>1.2943468026563819E-4</v>
      </c>
      <c r="BJ115" s="334">
        <f t="shared" si="143"/>
        <v>3.0762720251212461E-9</v>
      </c>
      <c r="BK115" s="334">
        <f t="shared" si="144"/>
        <v>7.3217450730489932E-3</v>
      </c>
      <c r="BL115" s="334"/>
      <c r="BM115" s="334">
        <f t="shared" si="145"/>
        <v>0.27850184219129326</v>
      </c>
      <c r="BN115" s="334">
        <f t="shared" si="146"/>
        <v>1.3038462164826402E-3</v>
      </c>
      <c r="BO115" s="334">
        <f t="shared" si="147"/>
        <v>0.15784276901671115</v>
      </c>
      <c r="BP115" s="334"/>
      <c r="BQ115" s="334">
        <f t="shared" si="148"/>
        <v>4.5563525748250706E-14</v>
      </c>
      <c r="BR115" s="334">
        <f t="shared" si="149"/>
        <v>7.6957135847062985E-26</v>
      </c>
      <c r="BS115" s="334">
        <f t="shared" si="150"/>
        <v>1.5104619248087198E-5</v>
      </c>
      <c r="BT115" s="334"/>
      <c r="BU115" s="334">
        <f t="shared" ref="BU115:BU143" si="153">_xlfn.NORM.DIST(BU83,$BU$40,$BU$44,0)</f>
        <v>0.13698515394444058</v>
      </c>
      <c r="BV115" s="334">
        <f t="shared" si="151"/>
        <v>3.0094921404641129E-3</v>
      </c>
      <c r="BW115" s="334">
        <f t="shared" si="152"/>
        <v>2.4129933181059351E-2</v>
      </c>
    </row>
    <row r="116" spans="3:75" x14ac:dyDescent="0.2">
      <c r="C116" s="334">
        <f t="shared" si="100"/>
        <v>5.3116873754596165E-2</v>
      </c>
      <c r="D116" s="334">
        <f t="shared" si="101"/>
        <v>7.3307678472875363E-3</v>
      </c>
      <c r="E116" s="334">
        <f t="shared" si="102"/>
        <v>8.2534574912617745E-2</v>
      </c>
      <c r="G116" s="334">
        <f t="shared" si="103"/>
        <v>2.7329625462255619E-2</v>
      </c>
      <c r="H116" s="334">
        <f t="shared" si="104"/>
        <v>2.3095637685317357E-2</v>
      </c>
      <c r="I116" s="334">
        <f t="shared" si="105"/>
        <v>4.6148387276972899E-4</v>
      </c>
      <c r="J116" s="334"/>
      <c r="K116" s="334">
        <f t="shared" si="106"/>
        <v>1.508876946079459E-7</v>
      </c>
      <c r="L116" s="334">
        <f t="shared" si="107"/>
        <v>7.8381090585298086E-5</v>
      </c>
      <c r="M116" s="334">
        <f t="shared" si="108"/>
        <v>2.5556024764603136E-3</v>
      </c>
      <c r="N116" s="334"/>
      <c r="O116" s="334">
        <f t="shared" si="109"/>
        <v>1.7571430248950436E-2</v>
      </c>
      <c r="P116" s="334">
        <f t="shared" si="110"/>
        <v>3.6593738433027601E-2</v>
      </c>
      <c r="Q116" s="334">
        <f t="shared" si="111"/>
        <v>9.0480098429755157E-2</v>
      </c>
      <c r="R116" s="334"/>
      <c r="S116" s="334">
        <f t="shared" si="112"/>
        <v>0.13659290219964615</v>
      </c>
      <c r="T116" s="334">
        <f t="shared" si="113"/>
        <v>0.45127606517867946</v>
      </c>
      <c r="U116" s="334">
        <f t="shared" si="114"/>
        <v>1.0348508841976147</v>
      </c>
      <c r="W116" s="334">
        <f t="shared" si="115"/>
        <v>7.2991702423295219E-4</v>
      </c>
      <c r="X116" s="334">
        <f t="shared" si="116"/>
        <v>1.5068856137645986E-10</v>
      </c>
      <c r="Y116" s="334">
        <f t="shared" si="117"/>
        <v>2.7781989686248777E-2</v>
      </c>
      <c r="Z116" s="334"/>
      <c r="AA116" s="334">
        <f t="shared" si="118"/>
        <v>0.11595089754765692</v>
      </c>
      <c r="AB116" s="334">
        <f t="shared" si="119"/>
        <v>1.916043065441725E-3</v>
      </c>
      <c r="AC116" s="334">
        <f t="shared" si="120"/>
        <v>0.15654434437515111</v>
      </c>
      <c r="AD116" s="334"/>
      <c r="AE116" s="334">
        <f t="shared" si="121"/>
        <v>6.3463658174979049E-19</v>
      </c>
      <c r="AF116" s="334">
        <f t="shared" si="122"/>
        <v>5.8046770198368875E-30</v>
      </c>
      <c r="AG116" s="334">
        <f t="shared" si="123"/>
        <v>8.2903722034687071E-9</v>
      </c>
      <c r="AH116" s="334"/>
      <c r="AI116" s="334">
        <f t="shared" si="124"/>
        <v>0.1993381349899318</v>
      </c>
      <c r="AJ116" s="334">
        <f t="shared" si="125"/>
        <v>3.2910518221100665E-4</v>
      </c>
      <c r="AK116" s="334">
        <f t="shared" si="126"/>
        <v>1.9576969903003723E-2</v>
      </c>
      <c r="AL116" s="334"/>
      <c r="AM116" s="334"/>
      <c r="AN116" s="334"/>
      <c r="AO116" s="334">
        <f t="shared" si="127"/>
        <v>2.4824673463984975E-3</v>
      </c>
      <c r="AP116" s="334">
        <f t="shared" si="128"/>
        <v>2.9830410975713335E-3</v>
      </c>
      <c r="AQ116" s="334">
        <f t="shared" si="129"/>
        <v>4.0852813433182922E-2</v>
      </c>
      <c r="AR116" s="334"/>
      <c r="AS116" s="334">
        <f t="shared" si="130"/>
        <v>6.3371920547295596E-3</v>
      </c>
      <c r="AT116" s="334">
        <f t="shared" si="131"/>
        <v>2.5274619029387244E-2</v>
      </c>
      <c r="AU116" s="334">
        <f t="shared" si="132"/>
        <v>3.6731161355650103E-3</v>
      </c>
      <c r="AV116" s="334"/>
      <c r="AW116" s="334">
        <f t="shared" si="133"/>
        <v>8.6770015375504673E-6</v>
      </c>
      <c r="AX116" s="334">
        <f t="shared" si="134"/>
        <v>2.2589510490643056E-9</v>
      </c>
      <c r="AY116" s="334">
        <f t="shared" si="135"/>
        <v>1.4756533627089713E-3</v>
      </c>
      <c r="AZ116" s="334"/>
      <c r="BA116" s="334">
        <f t="shared" si="136"/>
        <v>2.7275123577002142E-2</v>
      </c>
      <c r="BB116" s="334">
        <f t="shared" si="137"/>
        <v>1.4619036048239137E-2</v>
      </c>
      <c r="BC116" s="334">
        <f t="shared" si="138"/>
        <v>9.0835738403550068E-2</v>
      </c>
      <c r="BD116" s="334"/>
      <c r="BE116" s="334">
        <f t="shared" si="139"/>
        <v>1.0920740081961634E-11</v>
      </c>
      <c r="BF116" s="334">
        <f t="shared" si="140"/>
        <v>0.3115047078997718</v>
      </c>
      <c r="BG116" s="334">
        <f t="shared" si="141"/>
        <v>0.78448688651019305</v>
      </c>
      <c r="BH116" s="334"/>
      <c r="BI116" s="334">
        <f t="shared" si="142"/>
        <v>3.8495862533807285E-4</v>
      </c>
      <c r="BJ116" s="334">
        <f t="shared" si="143"/>
        <v>4.8853376119598903E-8</v>
      </c>
      <c r="BK116" s="334">
        <f t="shared" si="144"/>
        <v>1.2297234007384875E-2</v>
      </c>
      <c r="BL116" s="334"/>
      <c r="BM116" s="334">
        <f t="shared" si="145"/>
        <v>0.34134840079558104</v>
      </c>
      <c r="BN116" s="334">
        <f t="shared" si="146"/>
        <v>4.3256924968361789E-3</v>
      </c>
      <c r="BO116" s="334">
        <f t="shared" si="147"/>
        <v>0.20117712734770629</v>
      </c>
      <c r="BP116" s="334"/>
      <c r="BQ116" s="334">
        <f t="shared" si="148"/>
        <v>1.5070417765759493E-12</v>
      </c>
      <c r="BR116" s="334">
        <f t="shared" si="149"/>
        <v>8.404824404041461E-23</v>
      </c>
      <c r="BS116" s="334">
        <f t="shared" si="150"/>
        <v>5.9393922837194606E-5</v>
      </c>
      <c r="BT116" s="334"/>
      <c r="BU116" s="334">
        <f t="shared" si="153"/>
        <v>0.18436638638092723</v>
      </c>
      <c r="BV116" s="334">
        <f t="shared" si="151"/>
        <v>1.5865828040261216E-2</v>
      </c>
      <c r="BW116" s="334">
        <f t="shared" si="152"/>
        <v>3.8554400533286189E-2</v>
      </c>
    </row>
    <row r="117" spans="3:75" x14ac:dyDescent="0.2">
      <c r="C117" s="334">
        <f t="shared" si="100"/>
        <v>7.4615951795735699E-2</v>
      </c>
      <c r="D117" s="334">
        <f t="shared" si="101"/>
        <v>7.3307678472875363E-3</v>
      </c>
      <c r="E117" s="334">
        <f t="shared" si="102"/>
        <v>0.11098264768734929</v>
      </c>
      <c r="G117" s="334">
        <f t="shared" si="103"/>
        <v>4.0417104393053717E-2</v>
      </c>
      <c r="H117" s="334">
        <f t="shared" si="104"/>
        <v>3.5696089878880635E-2</v>
      </c>
      <c r="I117" s="334">
        <f t="shared" si="105"/>
        <v>1.5594486016593618E-3</v>
      </c>
      <c r="J117" s="334"/>
      <c r="K117" s="334">
        <f t="shared" si="106"/>
        <v>1.1550638741277323E-6</v>
      </c>
      <c r="L117" s="334">
        <f t="shared" si="107"/>
        <v>4.3050349021340301E-4</v>
      </c>
      <c r="M117" s="334">
        <f t="shared" si="108"/>
        <v>5.7455615498128556E-3</v>
      </c>
      <c r="N117" s="334"/>
      <c r="O117" s="334">
        <f t="shared" si="109"/>
        <v>3.5588606643171344E-2</v>
      </c>
      <c r="P117" s="334">
        <f t="shared" si="110"/>
        <v>5.299837314412411E-2</v>
      </c>
      <c r="Q117" s="334">
        <f t="shared" si="111"/>
        <v>0.11279044423774255</v>
      </c>
      <c r="R117" s="334"/>
      <c r="S117" s="334">
        <f t="shared" si="112"/>
        <v>0.22452641606423962</v>
      </c>
      <c r="T117" s="334">
        <f t="shared" si="113"/>
        <v>0.53769417105905271</v>
      </c>
      <c r="U117" s="334">
        <f t="shared" si="114"/>
        <v>1.1132073944825671</v>
      </c>
      <c r="W117" s="334">
        <f t="shared" si="115"/>
        <v>2.0110821487517938E-3</v>
      </c>
      <c r="X117" s="334">
        <f t="shared" si="116"/>
        <v>4.5837355875489672E-9</v>
      </c>
      <c r="Y117" s="334">
        <f t="shared" si="117"/>
        <v>4.1877386735317518E-2</v>
      </c>
      <c r="Z117" s="334"/>
      <c r="AA117" s="334">
        <f t="shared" si="118"/>
        <v>0.18915007989340957</v>
      </c>
      <c r="AB117" s="334">
        <f t="shared" si="119"/>
        <v>6.1563787738523551E-3</v>
      </c>
      <c r="AC117" s="334">
        <f t="shared" si="120"/>
        <v>0.24699974250627058</v>
      </c>
      <c r="AD117" s="334"/>
      <c r="AE117" s="334">
        <f t="shared" si="121"/>
        <v>9.5389145769367377E-17</v>
      </c>
      <c r="AF117" s="334">
        <f t="shared" si="122"/>
        <v>4.2830001560871589E-26</v>
      </c>
      <c r="AG117" s="334">
        <f t="shared" si="123"/>
        <v>9.904253401590078E-8</v>
      </c>
      <c r="AH117" s="334"/>
      <c r="AI117" s="334">
        <f t="shared" si="124"/>
        <v>0.27786948908016423</v>
      </c>
      <c r="AJ117" s="334">
        <f t="shared" si="125"/>
        <v>4.9040016813496397E-3</v>
      </c>
      <c r="AK117" s="334">
        <f t="shared" si="126"/>
        <v>3.6972107786741662E-2</v>
      </c>
      <c r="AL117" s="334"/>
      <c r="AM117" s="334"/>
      <c r="AN117" s="334"/>
      <c r="AO117" s="334">
        <f t="shared" si="127"/>
        <v>6.6342911828607453E-3</v>
      </c>
      <c r="AP117" s="334">
        <f t="shared" si="128"/>
        <v>8.0821553411709081E-3</v>
      </c>
      <c r="AQ117" s="334">
        <f t="shared" si="129"/>
        <v>5.482474648577422E-2</v>
      </c>
      <c r="AR117" s="334"/>
      <c r="AS117" s="334">
        <f t="shared" si="130"/>
        <v>1.3027047549352973E-2</v>
      </c>
      <c r="AT117" s="334">
        <f t="shared" si="131"/>
        <v>3.8295913335235639E-2</v>
      </c>
      <c r="AU117" s="334">
        <f t="shared" si="132"/>
        <v>9.3474596142272721E-3</v>
      </c>
      <c r="AV117" s="334"/>
      <c r="AW117" s="334">
        <f t="shared" si="133"/>
        <v>4.1840598363733906E-5</v>
      </c>
      <c r="AX117" s="334">
        <f t="shared" si="134"/>
        <v>4.3429855574797686E-8</v>
      </c>
      <c r="AY117" s="334">
        <f t="shared" si="135"/>
        <v>3.0517937996820785E-3</v>
      </c>
      <c r="AZ117" s="334"/>
      <c r="BA117" s="334">
        <f t="shared" si="136"/>
        <v>4.152501591629669E-2</v>
      </c>
      <c r="BB117" s="334">
        <f t="shared" si="137"/>
        <v>2.5587742205137452E-2</v>
      </c>
      <c r="BC117" s="334">
        <f t="shared" si="138"/>
        <v>0.10473285660845097</v>
      </c>
      <c r="BD117" s="334"/>
      <c r="BE117" s="334">
        <f t="shared" si="139"/>
        <v>1.0805489821854726E-9</v>
      </c>
      <c r="BF117" s="334">
        <f t="shared" si="140"/>
        <v>0.41542083525090978</v>
      </c>
      <c r="BG117" s="334">
        <f t="shared" si="141"/>
        <v>0.95015800448778087</v>
      </c>
      <c r="BH117" s="334"/>
      <c r="BI117" s="334">
        <f t="shared" si="142"/>
        <v>1.0568406807919253E-3</v>
      </c>
      <c r="BJ117" s="334">
        <f t="shared" si="143"/>
        <v>6.2518604131491704E-7</v>
      </c>
      <c r="BK117" s="334">
        <f t="shared" si="144"/>
        <v>1.9873723456526046E-2</v>
      </c>
      <c r="BL117" s="334"/>
      <c r="BM117" s="334">
        <f t="shared" si="145"/>
        <v>0.4118831041747838</v>
      </c>
      <c r="BN117" s="334">
        <f t="shared" si="146"/>
        <v>1.2970982980714281E-2</v>
      </c>
      <c r="BO117" s="334">
        <f t="shared" si="147"/>
        <v>0.25233595071426373</v>
      </c>
      <c r="BP117" s="334"/>
      <c r="BQ117" s="334">
        <f t="shared" si="148"/>
        <v>3.9988865902574241E-11</v>
      </c>
      <c r="BR117" s="334">
        <f t="shared" si="149"/>
        <v>5.8084006132572492E-20</v>
      </c>
      <c r="BS117" s="334">
        <f t="shared" si="150"/>
        <v>2.1055316457521206E-4</v>
      </c>
      <c r="BT117" s="334"/>
      <c r="BU117" s="334">
        <f t="shared" si="153"/>
        <v>0.23897433938003609</v>
      </c>
      <c r="BV117" s="334">
        <f t="shared" si="151"/>
        <v>6.429546257477968E-2</v>
      </c>
      <c r="BW117" s="334">
        <f t="shared" si="152"/>
        <v>5.9174063037168628E-2</v>
      </c>
    </row>
    <row r="118" spans="3:75" x14ac:dyDescent="0.2">
      <c r="C118" s="334">
        <f t="shared" si="100"/>
        <v>9.9320206563340271E-2</v>
      </c>
      <c r="D118" s="334">
        <f t="shared" si="101"/>
        <v>1.7102897835339356E-2</v>
      </c>
      <c r="E118" s="334">
        <f t="shared" si="102"/>
        <v>0.14412654376622472</v>
      </c>
      <c r="G118" s="334">
        <f t="shared" si="103"/>
        <v>5.7874849013415615E-2</v>
      </c>
      <c r="H118" s="334">
        <f t="shared" si="104"/>
        <v>5.335176987079341E-2</v>
      </c>
      <c r="I118" s="334">
        <f t="shared" si="105"/>
        <v>4.7103269836393782E-3</v>
      </c>
      <c r="J118" s="334"/>
      <c r="K118" s="334">
        <f t="shared" si="106"/>
        <v>7.5849836572831908E-6</v>
      </c>
      <c r="L118" s="334">
        <f t="shared" si="107"/>
        <v>1.9501114020767966E-3</v>
      </c>
      <c r="M118" s="334">
        <f t="shared" si="108"/>
        <v>1.1961598823827661E-2</v>
      </c>
      <c r="N118" s="334"/>
      <c r="O118" s="334">
        <f t="shared" si="109"/>
        <v>6.5027395934957127E-2</v>
      </c>
      <c r="P118" s="334">
        <f t="shared" si="110"/>
        <v>7.3247278633346874E-2</v>
      </c>
      <c r="Q118" s="334">
        <f t="shared" si="111"/>
        <v>0.13738278445456031</v>
      </c>
      <c r="R118" s="334"/>
      <c r="S118" s="334">
        <f t="shared" si="112"/>
        <v>0.35472819249646959</v>
      </c>
      <c r="T118" s="334">
        <f t="shared" si="113"/>
        <v>0.63294143439912198</v>
      </c>
      <c r="U118" s="334">
        <f t="shared" si="114"/>
        <v>1.1887999189129514</v>
      </c>
      <c r="W118" s="334">
        <f t="shared" si="115"/>
        <v>5.0698212066507048E-3</v>
      </c>
      <c r="X118" s="334">
        <f t="shared" si="116"/>
        <v>1.0495275130162025E-7</v>
      </c>
      <c r="Y118" s="334">
        <f t="shared" si="117"/>
        <v>6.0761928038373936E-2</v>
      </c>
      <c r="Z118" s="334"/>
      <c r="AA118" s="334">
        <f t="shared" si="118"/>
        <v>0.29463939848202353</v>
      </c>
      <c r="AB118" s="334">
        <f t="shared" si="119"/>
        <v>1.7880060400181742E-2</v>
      </c>
      <c r="AC118" s="334">
        <f t="shared" si="120"/>
        <v>0.37221754203041918</v>
      </c>
      <c r="AD118" s="334"/>
      <c r="AE118" s="334">
        <f t="shared" si="121"/>
        <v>1.0335632615871164E-14</v>
      </c>
      <c r="AF118" s="334">
        <f t="shared" si="122"/>
        <v>1.6694951681231609E-22</v>
      </c>
      <c r="AG118" s="334">
        <f t="shared" si="123"/>
        <v>9.7955810712954573E-7</v>
      </c>
      <c r="AH118" s="334"/>
      <c r="AI118" s="334">
        <f t="shared" si="124"/>
        <v>0.36612761701434082</v>
      </c>
      <c r="AJ118" s="334">
        <f t="shared" si="125"/>
        <v>4.4148557313463184E-2</v>
      </c>
      <c r="AK118" s="334">
        <f t="shared" si="126"/>
        <v>6.541062983444608E-2</v>
      </c>
      <c r="AL118" s="334"/>
      <c r="AM118" s="334"/>
      <c r="AN118" s="334"/>
      <c r="AO118" s="334">
        <f t="shared" si="127"/>
        <v>1.5797650656325452E-2</v>
      </c>
      <c r="AP118" s="334">
        <f t="shared" si="128"/>
        <v>1.9357451181205E-2</v>
      </c>
      <c r="AQ118" s="334">
        <f t="shared" si="129"/>
        <v>7.1811661128243456E-2</v>
      </c>
      <c r="AR118" s="334"/>
      <c r="AS118" s="334">
        <f t="shared" si="130"/>
        <v>2.5101903676762651E-2</v>
      </c>
      <c r="AT118" s="334">
        <f t="shared" si="131"/>
        <v>5.6212396484613611E-2</v>
      </c>
      <c r="AU118" s="334">
        <f t="shared" si="132"/>
        <v>2.1632136936216882E-2</v>
      </c>
      <c r="AV118" s="334"/>
      <c r="AW118" s="334">
        <f t="shared" si="133"/>
        <v>1.7735989637103261E-4</v>
      </c>
      <c r="AX118" s="334">
        <f t="shared" si="134"/>
        <v>6.502853775936595E-7</v>
      </c>
      <c r="AY118" s="334">
        <f t="shared" si="135"/>
        <v>5.9670564670492882E-3</v>
      </c>
      <c r="AZ118" s="334"/>
      <c r="BA118" s="334">
        <f t="shared" si="136"/>
        <v>6.0137001656894805E-2</v>
      </c>
      <c r="BB118" s="334">
        <f t="shared" si="137"/>
        <v>4.2004751409029907E-2</v>
      </c>
      <c r="BC118" s="334">
        <f t="shared" si="138"/>
        <v>0.1192165227721645</v>
      </c>
      <c r="BD118" s="334"/>
      <c r="BE118" s="334">
        <f t="shared" si="139"/>
        <v>7.0612241747084897E-8</v>
      </c>
      <c r="BF118" s="334">
        <f t="shared" si="140"/>
        <v>0.54211795260698059</v>
      </c>
      <c r="BG118" s="334">
        <f t="shared" si="141"/>
        <v>1.1304736216884894</v>
      </c>
      <c r="BH118" s="334"/>
      <c r="BI118" s="334">
        <f t="shared" si="142"/>
        <v>2.6781633172231843E-3</v>
      </c>
      <c r="BJ118" s="334">
        <f t="shared" si="143"/>
        <v>6.4471653518965963E-6</v>
      </c>
      <c r="BK118" s="334">
        <f t="shared" si="144"/>
        <v>3.0905090400625539E-2</v>
      </c>
      <c r="BL118" s="334"/>
      <c r="BM118" s="334">
        <f t="shared" si="145"/>
        <v>0.48927878592015495</v>
      </c>
      <c r="BN118" s="334">
        <f t="shared" si="146"/>
        <v>3.5154272094835001E-2</v>
      </c>
      <c r="BO118" s="334">
        <f t="shared" si="147"/>
        <v>0.31147720745543911</v>
      </c>
      <c r="BP118" s="334"/>
      <c r="BQ118" s="334">
        <f t="shared" si="148"/>
        <v>8.5125310879388271E-10</v>
      </c>
      <c r="BR118" s="334">
        <f t="shared" si="149"/>
        <v>2.5399937640308048E-17</v>
      </c>
      <c r="BS118" s="334">
        <f t="shared" si="150"/>
        <v>6.7292873003467555E-4</v>
      </c>
      <c r="BT118" s="334"/>
      <c r="BU118" s="334">
        <f t="shared" si="153"/>
        <v>0.29831980107427836</v>
      </c>
      <c r="BV118" s="334">
        <f t="shared" si="151"/>
        <v>0.20028386345030352</v>
      </c>
      <c r="BW118" s="334">
        <f t="shared" si="152"/>
        <v>8.7242564830930097E-2</v>
      </c>
    </row>
    <row r="119" spans="3:75" x14ac:dyDescent="0.2">
      <c r="C119" s="334">
        <f t="shared" si="100"/>
        <v>0.12527092927264566</v>
      </c>
      <c r="D119" s="334">
        <f t="shared" si="101"/>
        <v>3.5623056522663725E-2</v>
      </c>
      <c r="E119" s="334">
        <f t="shared" si="102"/>
        <v>0.18076010746164001</v>
      </c>
      <c r="G119" s="334">
        <f t="shared" si="103"/>
        <v>8.0243101200162398E-2</v>
      </c>
      <c r="H119" s="334">
        <f t="shared" si="104"/>
        <v>7.7110676259734487E-2</v>
      </c>
      <c r="I119" s="334">
        <f t="shared" si="105"/>
        <v>1.2717346413798014E-2</v>
      </c>
      <c r="J119" s="334"/>
      <c r="K119" s="334">
        <f t="shared" si="106"/>
        <v>4.2726741002453025E-5</v>
      </c>
      <c r="L119" s="334">
        <f t="shared" si="107"/>
        <v>7.2855029166489279E-3</v>
      </c>
      <c r="M119" s="334">
        <f t="shared" si="108"/>
        <v>2.3060225721509502E-2</v>
      </c>
      <c r="N119" s="334"/>
      <c r="O119" s="334">
        <f t="shared" si="109"/>
        <v>0.10719221527396516</v>
      </c>
      <c r="P119" s="334">
        <f t="shared" si="110"/>
        <v>9.6603674420720598E-2</v>
      </c>
      <c r="Q119" s="334">
        <f t="shared" si="111"/>
        <v>0.16350577100791286</v>
      </c>
      <c r="R119" s="334"/>
      <c r="S119" s="334">
        <f t="shared" si="112"/>
        <v>0.53865775682102979</v>
      </c>
      <c r="T119" s="334">
        <f t="shared" si="113"/>
        <v>0.73608318239577852</v>
      </c>
      <c r="U119" s="334">
        <f t="shared" si="114"/>
        <v>1.2603054898440538</v>
      </c>
      <c r="W119" s="334">
        <f t="shared" si="115"/>
        <v>1.1693970421216275E-2</v>
      </c>
      <c r="X119" s="334">
        <f t="shared" si="116"/>
        <v>1.8088522658854697E-6</v>
      </c>
      <c r="Y119" s="334">
        <f t="shared" si="117"/>
        <v>8.4863172990016653E-2</v>
      </c>
      <c r="Z119" s="334"/>
      <c r="AA119" s="334">
        <f t="shared" si="118"/>
        <v>0.43825510656440786</v>
      </c>
      <c r="AB119" s="334">
        <f t="shared" si="119"/>
        <v>4.6939257377347318E-2</v>
      </c>
      <c r="AC119" s="334">
        <f t="shared" si="120"/>
        <v>0.53572065507859834</v>
      </c>
      <c r="AD119" s="334"/>
      <c r="AE119" s="334">
        <f t="shared" si="121"/>
        <v>8.0730829451286434E-13</v>
      </c>
      <c r="AF119" s="334">
        <f t="shared" si="122"/>
        <v>3.4378687214751571E-19</v>
      </c>
      <c r="AG119" s="334">
        <f t="shared" si="123"/>
        <v>8.0204624355725916E-6</v>
      </c>
      <c r="AH119" s="334"/>
      <c r="AI119" s="334">
        <f t="shared" si="124"/>
        <v>0.45600044865134665</v>
      </c>
      <c r="AJ119" s="334">
        <f t="shared" si="125"/>
        <v>0.24012226899293071</v>
      </c>
      <c r="AK119" s="334">
        <f t="shared" si="126"/>
        <v>0.10840962309459508</v>
      </c>
      <c r="AL119" s="334"/>
      <c r="AM119" s="334"/>
      <c r="AN119" s="334"/>
      <c r="AO119" s="334">
        <f t="shared" si="127"/>
        <v>3.3517952008934086E-2</v>
      </c>
      <c r="AP119" s="334">
        <f t="shared" si="128"/>
        <v>4.0984739058713124E-2</v>
      </c>
      <c r="AQ119" s="334">
        <f t="shared" si="129"/>
        <v>9.1807252971239886E-2</v>
      </c>
      <c r="AR119" s="334"/>
      <c r="AS119" s="334">
        <f t="shared" si="130"/>
        <v>4.5339721715217017E-2</v>
      </c>
      <c r="AT119" s="334">
        <f t="shared" si="131"/>
        <v>7.9932542192044445E-2</v>
      </c>
      <c r="AU119" s="334">
        <f t="shared" si="132"/>
        <v>4.552522888388677E-2</v>
      </c>
      <c r="AV119" s="334"/>
      <c r="AW119" s="334">
        <f t="shared" si="133"/>
        <v>6.6090995450206397E-4</v>
      </c>
      <c r="AX119" s="334">
        <f t="shared" si="134"/>
        <v>7.5832195539037306E-6</v>
      </c>
      <c r="AY119" s="334">
        <f t="shared" si="135"/>
        <v>1.1030602530511226E-2</v>
      </c>
      <c r="AZ119" s="334"/>
      <c r="BA119" s="334">
        <f t="shared" si="136"/>
        <v>8.2844297052857868E-2</v>
      </c>
      <c r="BB119" s="334">
        <f t="shared" si="137"/>
        <v>6.4672268328509572E-2</v>
      </c>
      <c r="BC119" s="334">
        <f t="shared" si="138"/>
        <v>0.13397299148331179</v>
      </c>
      <c r="BD119" s="334"/>
      <c r="BE119" s="334">
        <f t="shared" si="139"/>
        <v>3.0476051108100116E-6</v>
      </c>
      <c r="BF119" s="334">
        <f t="shared" si="140"/>
        <v>0.69227900270532061</v>
      </c>
      <c r="BG119" s="334">
        <f t="shared" si="141"/>
        <v>1.321233246233116</v>
      </c>
      <c r="BH119" s="334"/>
      <c r="BI119" s="334">
        <f t="shared" si="142"/>
        <v>6.2646478021075981E-3</v>
      </c>
      <c r="BJ119" s="334">
        <f t="shared" si="143"/>
        <v>5.3576358233385925E-5</v>
      </c>
      <c r="BK119" s="334">
        <f t="shared" si="144"/>
        <v>4.6244465626858897E-2</v>
      </c>
      <c r="BL119" s="334"/>
      <c r="BM119" s="334">
        <f t="shared" si="145"/>
        <v>0.57219637131897516</v>
      </c>
      <c r="BN119" s="334">
        <f t="shared" si="146"/>
        <v>8.6113512541354229E-2</v>
      </c>
      <c r="BO119" s="334">
        <f t="shared" si="147"/>
        <v>0.37837290636382598</v>
      </c>
      <c r="BP119" s="334"/>
      <c r="BQ119" s="334">
        <f t="shared" si="148"/>
        <v>1.4537313685624407E-8</v>
      </c>
      <c r="BR119" s="334">
        <f t="shared" si="149"/>
        <v>7.0284070838393315E-15</v>
      </c>
      <c r="BS119" s="334">
        <f t="shared" si="150"/>
        <v>1.9389379113653761E-3</v>
      </c>
      <c r="BT119" s="334"/>
      <c r="BU119" s="334">
        <f t="shared" si="153"/>
        <v>0.35865275945578279</v>
      </c>
      <c r="BV119" s="334">
        <f t="shared" si="151"/>
        <v>0.47957843727608779</v>
      </c>
      <c r="BW119" s="334">
        <f t="shared" si="152"/>
        <v>0.12355634688688341</v>
      </c>
    </row>
    <row r="120" spans="3:75" x14ac:dyDescent="0.2">
      <c r="C120" s="334">
        <f t="shared" si="100"/>
        <v>0.14971652490070922</v>
      </c>
      <c r="D120" s="334">
        <f t="shared" si="101"/>
        <v>6.6242071014935816E-2</v>
      </c>
      <c r="E120" s="334">
        <f t="shared" si="102"/>
        <v>0.21894293598371153</v>
      </c>
      <c r="G120" s="334">
        <f t="shared" si="103"/>
        <v>0.10772554434948463</v>
      </c>
      <c r="H120" s="334">
        <f t="shared" si="104"/>
        <v>0.10777491494868291</v>
      </c>
      <c r="I120" s="334">
        <f t="shared" si="105"/>
        <v>3.0690742879690661E-2</v>
      </c>
      <c r="J120" s="334"/>
      <c r="K120" s="334">
        <f t="shared" si="106"/>
        <v>2.0646258339487809E-4</v>
      </c>
      <c r="L120" s="334">
        <f t="shared" si="107"/>
        <v>2.2447967307259269E-2</v>
      </c>
      <c r="M120" s="334">
        <f t="shared" si="108"/>
        <v>4.1167590174502951E-2</v>
      </c>
      <c r="N120" s="334"/>
      <c r="O120" s="334">
        <f t="shared" si="109"/>
        <v>0.15940855888759295</v>
      </c>
      <c r="P120" s="334">
        <f t="shared" si="110"/>
        <v>0.12158191890801953</v>
      </c>
      <c r="Q120" s="334">
        <f t="shared" si="111"/>
        <v>0.19014049569447822</v>
      </c>
      <c r="R120" s="334"/>
      <c r="S120" s="334">
        <f t="shared" si="112"/>
        <v>0.78617473101732827</v>
      </c>
      <c r="T120" s="334">
        <f t="shared" si="113"/>
        <v>0.84571772662043643</v>
      </c>
      <c r="U120" s="334">
        <f t="shared" si="114"/>
        <v>1.3264084080493226</v>
      </c>
      <c r="W120" s="334">
        <f t="shared" si="115"/>
        <v>2.4679585024464757E-2</v>
      </c>
      <c r="X120" s="334">
        <f t="shared" si="116"/>
        <v>2.3466448579836276E-5</v>
      </c>
      <c r="Y120" s="334">
        <f t="shared" si="117"/>
        <v>0.11408872638239786</v>
      </c>
      <c r="Z120" s="334"/>
      <c r="AA120" s="334">
        <f t="shared" si="118"/>
        <v>0.622465129173979</v>
      </c>
      <c r="AB120" s="334">
        <f t="shared" si="119"/>
        <v>0.11138508244303115</v>
      </c>
      <c r="AC120" s="334">
        <f t="shared" si="120"/>
        <v>0.7364125199938325</v>
      </c>
      <c r="AD120" s="334"/>
      <c r="AE120" s="334">
        <f t="shared" si="121"/>
        <v>4.5457548633836344E-11</v>
      </c>
      <c r="AF120" s="334">
        <f t="shared" si="122"/>
        <v>3.739904021948595E-16</v>
      </c>
      <c r="AG120" s="334">
        <f t="shared" si="123"/>
        <v>5.4366247843180333E-5</v>
      </c>
      <c r="AH120" s="334"/>
      <c r="AI120" s="334">
        <f t="shared" si="124"/>
        <v>0.53683300094187936</v>
      </c>
      <c r="AJ120" s="334">
        <f t="shared" si="125"/>
        <v>0.78903883170277178</v>
      </c>
      <c r="AK120" s="334">
        <f t="shared" si="126"/>
        <v>0.16831883680525198</v>
      </c>
      <c r="AL120" s="334"/>
      <c r="AM120" s="334"/>
      <c r="AN120" s="334"/>
      <c r="AO120" s="334">
        <f t="shared" si="127"/>
        <v>6.3364999556265941E-2</v>
      </c>
      <c r="AP120" s="334">
        <f t="shared" si="128"/>
        <v>7.6709508227791962E-2</v>
      </c>
      <c r="AQ120" s="334">
        <f t="shared" si="129"/>
        <v>0.11455727961806722</v>
      </c>
      <c r="AR120" s="334"/>
      <c r="AS120" s="334">
        <f t="shared" si="130"/>
        <v>7.6764879538293959E-2</v>
      </c>
      <c r="AT120" s="334">
        <f t="shared" si="131"/>
        <v>0.11011006168840601</v>
      </c>
      <c r="AU120" s="334">
        <f t="shared" si="132"/>
        <v>8.7126795468273704E-2</v>
      </c>
      <c r="AV120" s="334"/>
      <c r="AW120" s="334">
        <f t="shared" si="133"/>
        <v>2.1650029240440896E-3</v>
      </c>
      <c r="AX120" s="334">
        <f t="shared" si="134"/>
        <v>6.8871146055422394E-5</v>
      </c>
      <c r="AY120" s="334">
        <f t="shared" si="135"/>
        <v>1.9278464974491667E-2</v>
      </c>
      <c r="AZ120" s="334"/>
      <c r="BA120" s="334">
        <f t="shared" si="136"/>
        <v>0.10856062782254459</v>
      </c>
      <c r="BB120" s="334">
        <f t="shared" si="137"/>
        <v>9.3387982088833671E-2</v>
      </c>
      <c r="BC120" s="334">
        <f t="shared" si="138"/>
        <v>0.1486364630412958</v>
      </c>
      <c r="BD120" s="334"/>
      <c r="BE120" s="334">
        <f t="shared" si="139"/>
        <v>8.6872144012103598E-5</v>
      </c>
      <c r="BF120" s="334">
        <f t="shared" si="140"/>
        <v>0.86506827300890221</v>
      </c>
      <c r="BG120" s="334">
        <f t="shared" si="141"/>
        <v>1.5168862415943802</v>
      </c>
      <c r="BH120" s="334"/>
      <c r="BI120" s="334">
        <f t="shared" si="142"/>
        <v>1.3526590127556382E-2</v>
      </c>
      <c r="BJ120" s="334">
        <f t="shared" si="143"/>
        <v>3.5877520054669495E-4</v>
      </c>
      <c r="BK120" s="334">
        <f t="shared" si="144"/>
        <v>6.6583785653122771E-2</v>
      </c>
      <c r="BL120" s="334"/>
      <c r="BM120" s="334">
        <f t="shared" si="145"/>
        <v>0.65877956158714612</v>
      </c>
      <c r="BN120" s="334">
        <f t="shared" si="146"/>
        <v>0.19065687611443646</v>
      </c>
      <c r="BO120" s="334">
        <f t="shared" si="147"/>
        <v>0.45233522081541216</v>
      </c>
      <c r="BP120" s="334"/>
      <c r="BQ120" s="334">
        <f t="shared" si="148"/>
        <v>1.9916610944021856E-7</v>
      </c>
      <c r="BR120" s="334">
        <f t="shared" si="149"/>
        <v>1.2306352049494442E-12</v>
      </c>
      <c r="BS120" s="334">
        <f t="shared" si="150"/>
        <v>5.0367021444273786E-3</v>
      </c>
      <c r="BT120" s="334"/>
      <c r="BU120" s="334">
        <f t="shared" si="153"/>
        <v>0.41526713089535033</v>
      </c>
      <c r="BV120" s="334">
        <f t="shared" si="151"/>
        <v>0.88271679324491203</v>
      </c>
      <c r="BW120" s="334">
        <f t="shared" si="152"/>
        <v>0.16808977404815559</v>
      </c>
    </row>
    <row r="121" spans="3:75" x14ac:dyDescent="0.2">
      <c r="C121" s="334">
        <f t="shared" si="100"/>
        <v>0.1695492726689421</v>
      </c>
      <c r="D121" s="334">
        <f t="shared" si="101"/>
        <v>0.10997092227404759</v>
      </c>
      <c r="E121" s="334">
        <f t="shared" si="102"/>
        <v>0.25611146028011134</v>
      </c>
      <c r="G121" s="334">
        <f t="shared" si="103"/>
        <v>0.14003056743037434</v>
      </c>
      <c r="H121" s="334">
        <f t="shared" si="104"/>
        <v>0.14566605607625613</v>
      </c>
      <c r="I121" s="334">
        <f t="shared" si="105"/>
        <v>6.6203927503414459E-2</v>
      </c>
      <c r="J121" s="334"/>
      <c r="K121" s="334">
        <f t="shared" si="106"/>
        <v>8.5581405911246957E-4</v>
      </c>
      <c r="L121" s="334">
        <f t="shared" si="107"/>
        <v>5.7044250187744928E-2</v>
      </c>
      <c r="M121" s="334">
        <f t="shared" si="108"/>
        <v>6.8055762943515091E-2</v>
      </c>
      <c r="N121" s="334"/>
      <c r="O121" s="334">
        <f t="shared" si="109"/>
        <v>0.21386589358831454</v>
      </c>
      <c r="P121" s="334">
        <f t="shared" si="110"/>
        <v>0.14602174622602151</v>
      </c>
      <c r="Q121" s="334">
        <f t="shared" si="111"/>
        <v>0.21605131899955923</v>
      </c>
      <c r="R121" s="334"/>
      <c r="S121" s="334">
        <f t="shared" si="112"/>
        <v>1.1028442765545636</v>
      </c>
      <c r="T121" s="334">
        <f t="shared" si="113"/>
        <v>0.95997327335724847</v>
      </c>
      <c r="U121" s="334">
        <f t="shared" si="114"/>
        <v>1.3858399645475883</v>
      </c>
      <c r="W121" s="334">
        <f t="shared" si="115"/>
        <v>4.765628996833296E-2</v>
      </c>
      <c r="X121" s="334">
        <f t="shared" si="116"/>
        <v>2.2915357558778661E-4</v>
      </c>
      <c r="Y121" s="334">
        <f t="shared" si="117"/>
        <v>0.14763928882829647</v>
      </c>
      <c r="Z121" s="334"/>
      <c r="AA121" s="334">
        <f t="shared" si="118"/>
        <v>0.84421865505938132</v>
      </c>
      <c r="AB121" s="334">
        <f t="shared" si="119"/>
        <v>0.23891390693495068</v>
      </c>
      <c r="AC121" s="334">
        <f t="shared" si="120"/>
        <v>0.96681894895915399</v>
      </c>
      <c r="AD121" s="334"/>
      <c r="AE121" s="334">
        <f t="shared" si="121"/>
        <v>1.8451720020880913E-9</v>
      </c>
      <c r="AF121" s="334">
        <f t="shared" si="122"/>
        <v>2.1493080792376519E-13</v>
      </c>
      <c r="AG121" s="334">
        <f t="shared" si="123"/>
        <v>3.050844398036423E-4</v>
      </c>
      <c r="AH121" s="334"/>
      <c r="AI121" s="334">
        <f t="shared" si="124"/>
        <v>0.59738497546727209</v>
      </c>
      <c r="AJ121" s="334">
        <f t="shared" si="125"/>
        <v>1.5664420466843545</v>
      </c>
      <c r="AK121" s="334">
        <f t="shared" si="126"/>
        <v>0.24481780006514256</v>
      </c>
      <c r="AL121" s="334"/>
      <c r="AM121" s="334"/>
      <c r="AN121" s="334"/>
      <c r="AO121" s="334">
        <f t="shared" si="127"/>
        <v>0.10673537735526177</v>
      </c>
      <c r="AP121" s="334">
        <f t="shared" si="128"/>
        <v>0.12691976089102658</v>
      </c>
      <c r="AQ121" s="334">
        <f t="shared" si="129"/>
        <v>0.13951858736463968</v>
      </c>
      <c r="AR121" s="334"/>
      <c r="AS121" s="334">
        <f t="shared" si="130"/>
        <v>0.12183100488899282</v>
      </c>
      <c r="AT121" s="334">
        <f t="shared" si="131"/>
        <v>0.1469407465190041</v>
      </c>
      <c r="AU121" s="334">
        <f t="shared" si="132"/>
        <v>0.1516345729272327</v>
      </c>
      <c r="AV121" s="334"/>
      <c r="AW121" s="334">
        <f t="shared" si="133"/>
        <v>6.2345341556603743E-3</v>
      </c>
      <c r="AX121" s="334">
        <f t="shared" si="134"/>
        <v>4.8714138664971194E-4</v>
      </c>
      <c r="AY121" s="334">
        <f t="shared" si="135"/>
        <v>3.1855160128849515E-2</v>
      </c>
      <c r="AZ121" s="334"/>
      <c r="BA121" s="334">
        <f t="shared" si="136"/>
        <v>0.13532279462286295</v>
      </c>
      <c r="BB121" s="334">
        <f t="shared" si="137"/>
        <v>0.12647861802628432</v>
      </c>
      <c r="BC121" s="334">
        <f t="shared" si="138"/>
        <v>0.16280238872175404</v>
      </c>
      <c r="BD121" s="334"/>
      <c r="BE121" s="334">
        <f t="shared" si="139"/>
        <v>1.6354811387354808E-3</v>
      </c>
      <c r="BF121" s="334">
        <f t="shared" si="140"/>
        <v>1.0577948886555908</v>
      </c>
      <c r="BG121" s="334">
        <f t="shared" si="141"/>
        <v>1.7107281027685037</v>
      </c>
      <c r="BH121" s="334"/>
      <c r="BI121" s="334">
        <f t="shared" si="142"/>
        <v>2.6959514617710643E-2</v>
      </c>
      <c r="BJ121" s="334">
        <f t="shared" si="143"/>
        <v>1.9360496339270749E-3</v>
      </c>
      <c r="BK121" s="334">
        <f t="shared" si="144"/>
        <v>9.2247832980832126E-2</v>
      </c>
      <c r="BL121" s="334"/>
      <c r="BM121" s="334">
        <f t="shared" si="145"/>
        <v>0.74669189746032927</v>
      </c>
      <c r="BN121" s="334">
        <f t="shared" si="146"/>
        <v>0.38152378289106015</v>
      </c>
      <c r="BO121" s="334">
        <f t="shared" si="147"/>
        <v>0.5321663320759864</v>
      </c>
      <c r="BP121" s="334"/>
      <c r="BQ121" s="334">
        <f t="shared" si="148"/>
        <v>2.1890341926577538E-6</v>
      </c>
      <c r="BR121" s="334">
        <f t="shared" si="149"/>
        <v>1.3634836406196163E-10</v>
      </c>
      <c r="BS121" s="334">
        <f t="shared" si="150"/>
        <v>1.1795494968437547E-2</v>
      </c>
      <c r="BT121" s="334"/>
      <c r="BU121" s="334">
        <f t="shared" si="153"/>
        <v>0.46306528365834287</v>
      </c>
      <c r="BV121" s="334">
        <f t="shared" si="151"/>
        <v>1.2489101133420291</v>
      </c>
      <c r="BW121" s="334">
        <f t="shared" si="152"/>
        <v>0.21966310951829873</v>
      </c>
    </row>
    <row r="122" spans="3:75" x14ac:dyDescent="0.2">
      <c r="C122" s="334">
        <f t="shared" si="100"/>
        <v>0.18194028812497129</v>
      </c>
      <c r="D122" s="334">
        <f t="shared" si="101"/>
        <v>0.16299079425899748</v>
      </c>
      <c r="E122" s="334">
        <f t="shared" si="102"/>
        <v>0.2893322305828484</v>
      </c>
      <c r="G122" s="334">
        <f t="shared" si="103"/>
        <v>0.1762463610176106</v>
      </c>
      <c r="H122" s="334">
        <f t="shared" si="104"/>
        <v>0.19038666699325793</v>
      </c>
      <c r="I122" s="334">
        <f t="shared" si="105"/>
        <v>0.12765139413773044</v>
      </c>
      <c r="J122" s="334"/>
      <c r="K122" s="334">
        <f t="shared" si="106"/>
        <v>3.0430840416613212E-3</v>
      </c>
      <c r="L122" s="334">
        <f t="shared" si="107"/>
        <v>0.11955399712184332</v>
      </c>
      <c r="M122" s="334">
        <f t="shared" si="108"/>
        <v>0.10418181968027616</v>
      </c>
      <c r="N122" s="334"/>
      <c r="O122" s="334">
        <f t="shared" si="109"/>
        <v>0.25885283838866491</v>
      </c>
      <c r="P122" s="334">
        <f t="shared" si="110"/>
        <v>0.16735522584876925</v>
      </c>
      <c r="Q122" s="334">
        <f t="shared" si="111"/>
        <v>0.23987223775287275</v>
      </c>
      <c r="R122" s="334"/>
      <c r="S122" s="334">
        <f t="shared" si="112"/>
        <v>1.4869564768724663</v>
      </c>
      <c r="T122" s="334">
        <f t="shared" si="113"/>
        <v>1.0765346683813017</v>
      </c>
      <c r="U122" s="334">
        <f t="shared" si="114"/>
        <v>1.4374186430059304</v>
      </c>
      <c r="W122" s="334">
        <f t="shared" si="115"/>
        <v>8.4199424066478415E-2</v>
      </c>
      <c r="X122" s="334">
        <f t="shared" si="116"/>
        <v>1.6843832256040572E-3</v>
      </c>
      <c r="Y122" s="334">
        <f t="shared" si="117"/>
        <v>0.18390642561080603</v>
      </c>
      <c r="Z122" s="334"/>
      <c r="AA122" s="334">
        <f t="shared" si="118"/>
        <v>1.093318604172312</v>
      </c>
      <c r="AB122" s="334">
        <f t="shared" si="119"/>
        <v>0.46321158586159794</v>
      </c>
      <c r="AC122" s="334">
        <f t="shared" si="120"/>
        <v>1.2123007164397421</v>
      </c>
      <c r="AD122" s="334"/>
      <c r="AE122" s="334">
        <f t="shared" si="121"/>
        <v>5.3992314760944779E-8</v>
      </c>
      <c r="AF122" s="334">
        <f t="shared" si="122"/>
        <v>6.5253518120599129E-11</v>
      </c>
      <c r="AG122" s="334">
        <f t="shared" si="123"/>
        <v>1.4173317009830038E-3</v>
      </c>
      <c r="AH122" s="334"/>
      <c r="AI122" s="334">
        <f t="shared" si="124"/>
        <v>0.62836290727457611</v>
      </c>
      <c r="AJ122" s="334">
        <f t="shared" si="125"/>
        <v>1.8787989262975984</v>
      </c>
      <c r="AK122" s="334">
        <f t="shared" si="126"/>
        <v>0.33357895511509084</v>
      </c>
      <c r="AL122" s="334"/>
      <c r="AM122" s="334"/>
      <c r="AN122" s="334"/>
      <c r="AO122" s="334">
        <f t="shared" si="127"/>
        <v>0.16019698414748104</v>
      </c>
      <c r="AP122" s="334">
        <f t="shared" si="128"/>
        <v>0.18563604810705631</v>
      </c>
      <c r="AQ122" s="334">
        <f t="shared" si="129"/>
        <v>0.16584604837271863</v>
      </c>
      <c r="AR122" s="334"/>
      <c r="AS122" s="334">
        <f t="shared" si="130"/>
        <v>0.18124440595150951</v>
      </c>
      <c r="AT122" s="334">
        <f t="shared" si="131"/>
        <v>0.1899631372942025</v>
      </c>
      <c r="AU122" s="334">
        <f t="shared" si="132"/>
        <v>0.23998915269828441</v>
      </c>
      <c r="AV122" s="334"/>
      <c r="AW122" s="334">
        <f t="shared" si="133"/>
        <v>1.5782611169205547E-2</v>
      </c>
      <c r="AX122" s="334">
        <f t="shared" si="134"/>
        <v>2.6835320361918184E-3</v>
      </c>
      <c r="AY122" s="334">
        <f t="shared" si="135"/>
        <v>4.9764685195260082E-2</v>
      </c>
      <c r="AZ122" s="334"/>
      <c r="BA122" s="334">
        <f t="shared" si="136"/>
        <v>0.16045692039410026</v>
      </c>
      <c r="BB122" s="334">
        <f t="shared" si="137"/>
        <v>0.16065581682248997</v>
      </c>
      <c r="BC122" s="334">
        <f t="shared" si="138"/>
        <v>0.17604491550298459</v>
      </c>
      <c r="BD122" s="334"/>
      <c r="BE122" s="334">
        <f t="shared" si="139"/>
        <v>2.0335445580703378E-2</v>
      </c>
      <c r="BF122" s="334">
        <f t="shared" si="140"/>
        <v>1.2657105470139125</v>
      </c>
      <c r="BG122" s="334">
        <f t="shared" si="141"/>
        <v>1.8952365615863096</v>
      </c>
      <c r="BH122" s="334"/>
      <c r="BI122" s="334">
        <f t="shared" si="142"/>
        <v>4.9598423765686711E-2</v>
      </c>
      <c r="BJ122" s="334">
        <f t="shared" si="143"/>
        <v>8.418901011679877E-3</v>
      </c>
      <c r="BK122" s="334">
        <f t="shared" si="144"/>
        <v>0.1229766995299498</v>
      </c>
      <c r="BL122" s="334"/>
      <c r="BM122" s="334">
        <f t="shared" si="145"/>
        <v>0.83319962319645613</v>
      </c>
      <c r="BN122" s="334">
        <f t="shared" si="146"/>
        <v>0.69004709573054013</v>
      </c>
      <c r="BO122" s="334">
        <f t="shared" si="147"/>
        <v>0.61614226502121883</v>
      </c>
      <c r="BP122" s="334"/>
      <c r="BQ122" s="334">
        <f t="shared" si="148"/>
        <v>1.9301696304701344E-5</v>
      </c>
      <c r="BR122" s="334">
        <f t="shared" si="149"/>
        <v>9.5591372639762451E-9</v>
      </c>
      <c r="BS122" s="334">
        <f t="shared" si="150"/>
        <v>2.4904257904701851E-2</v>
      </c>
      <c r="BT122" s="334"/>
      <c r="BU122" s="334">
        <f t="shared" si="153"/>
        <v>0.49729967246132983</v>
      </c>
      <c r="BV122" s="334">
        <f t="shared" si="151"/>
        <v>1.3582791329980919</v>
      </c>
      <c r="BW122" s="334">
        <f t="shared" si="152"/>
        <v>0.27574812018443157</v>
      </c>
    </row>
    <row r="123" spans="3:75" x14ac:dyDescent="0.2">
      <c r="C123" s="334">
        <f t="shared" si="100"/>
        <v>0.184998658518575</v>
      </c>
      <c r="D123" s="334">
        <f t="shared" si="101"/>
        <v>0.21566989570476236</v>
      </c>
      <c r="E123" s="334">
        <f t="shared" si="102"/>
        <v>0.31567075288356333</v>
      </c>
      <c r="G123" s="334">
        <f t="shared" si="103"/>
        <v>0.21478830351557851</v>
      </c>
      <c r="H123" s="334">
        <f t="shared" si="104"/>
        <v>0.24063134370340514</v>
      </c>
      <c r="I123" s="334">
        <f t="shared" si="105"/>
        <v>0.2200051384671865</v>
      </c>
      <c r="J123" s="334"/>
      <c r="K123" s="334">
        <f t="shared" si="106"/>
        <v>9.2820722973413605E-3</v>
      </c>
      <c r="L123" s="334">
        <f t="shared" si="107"/>
        <v>0.20664918436103591</v>
      </c>
      <c r="M123" s="334">
        <f t="shared" si="108"/>
        <v>0.14768505209026483</v>
      </c>
      <c r="N123" s="334"/>
      <c r="O123" s="334">
        <f t="shared" si="109"/>
        <v>0.28264794877946209</v>
      </c>
      <c r="P123" s="334">
        <f t="shared" si="110"/>
        <v>0.1830350301062853</v>
      </c>
      <c r="Q123" s="334">
        <f t="shared" si="111"/>
        <v>0.26022188329071028</v>
      </c>
      <c r="R123" s="334"/>
      <c r="S123" s="334">
        <f t="shared" si="112"/>
        <v>1.9269536592319358</v>
      </c>
      <c r="T123" s="334">
        <f t="shared" si="113"/>
        <v>1.1927023322348744</v>
      </c>
      <c r="U123" s="334">
        <f t="shared" si="114"/>
        <v>1.4800890382001923</v>
      </c>
      <c r="W123" s="334">
        <f t="shared" si="115"/>
        <v>0.13611454220565089</v>
      </c>
      <c r="X123" s="334">
        <f t="shared" si="116"/>
        <v>9.3194477353794498E-3</v>
      </c>
      <c r="Y123" s="334">
        <f t="shared" si="117"/>
        <v>0.22050965460373331</v>
      </c>
      <c r="Z123" s="334"/>
      <c r="AA123" s="334">
        <f t="shared" si="118"/>
        <v>1.3520426998043273</v>
      </c>
      <c r="AB123" s="334">
        <f t="shared" si="119"/>
        <v>0.81178492100112287</v>
      </c>
      <c r="AC123" s="334">
        <f t="shared" si="120"/>
        <v>1.4518334153800652</v>
      </c>
      <c r="AD123" s="334"/>
      <c r="AE123" s="334">
        <f t="shared" si="121"/>
        <v>1.1389149254644316E-6</v>
      </c>
      <c r="AF123" s="334">
        <f t="shared" si="122"/>
        <v>1.046589173304454E-8</v>
      </c>
      <c r="AG123" s="334">
        <f t="shared" si="123"/>
        <v>5.4510942329486873E-3</v>
      </c>
      <c r="AH123" s="334"/>
      <c r="AI123" s="334">
        <f t="shared" si="124"/>
        <v>0.62475240941083166</v>
      </c>
      <c r="AJ123" s="334">
        <f t="shared" si="125"/>
        <v>1.3614330553302896</v>
      </c>
      <c r="AK123" s="334">
        <f t="shared" si="126"/>
        <v>0.42579413989776327</v>
      </c>
      <c r="AL123" s="334"/>
      <c r="AM123" s="334"/>
      <c r="AN123" s="334"/>
      <c r="AO123" s="334">
        <f t="shared" si="127"/>
        <v>0.21423344627970578</v>
      </c>
      <c r="AP123" s="334">
        <f t="shared" si="128"/>
        <v>0.24002053866254741</v>
      </c>
      <c r="AQ123" s="334">
        <f t="shared" si="129"/>
        <v>0.19241630249384517</v>
      </c>
      <c r="AR123" s="334"/>
      <c r="AS123" s="334">
        <f t="shared" si="130"/>
        <v>0.25274520607242829</v>
      </c>
      <c r="AT123" s="334">
        <f t="shared" si="131"/>
        <v>0.23790758068729906</v>
      </c>
      <c r="AU123" s="334">
        <f t="shared" si="132"/>
        <v>0.34540759347800282</v>
      </c>
      <c r="AV123" s="334"/>
      <c r="AW123" s="334">
        <f t="shared" si="133"/>
        <v>3.512230685132417E-2</v>
      </c>
      <c r="AX123" s="334">
        <f t="shared" si="134"/>
        <v>1.1513108004400264E-2</v>
      </c>
      <c r="AY123" s="334">
        <f t="shared" si="135"/>
        <v>7.3501610752777655E-2</v>
      </c>
      <c r="AZ123" s="334"/>
      <c r="BA123" s="334">
        <f t="shared" si="136"/>
        <v>0.18098176947716754</v>
      </c>
      <c r="BB123" s="334">
        <f t="shared" si="137"/>
        <v>0.19139430901704549</v>
      </c>
      <c r="BC123" s="334">
        <f t="shared" si="138"/>
        <v>0.18793752491497884</v>
      </c>
      <c r="BD123" s="334"/>
      <c r="BE123" s="334">
        <f t="shared" si="139"/>
        <v>0.16699558860371486</v>
      </c>
      <c r="BF123" s="334">
        <f t="shared" si="140"/>
        <v>1.4820033622600448</v>
      </c>
      <c r="BG123" s="334">
        <f t="shared" si="141"/>
        <v>2.0625302207450771</v>
      </c>
      <c r="BH123" s="334"/>
      <c r="BI123" s="334">
        <f t="shared" si="142"/>
        <v>8.4227856513663088E-2</v>
      </c>
      <c r="BJ123" s="334">
        <f t="shared" si="143"/>
        <v>2.9501164851830054E-2</v>
      </c>
      <c r="BK123" s="334">
        <f t="shared" si="144"/>
        <v>0.15774967191044539</v>
      </c>
      <c r="BL123" s="334"/>
      <c r="BM123" s="334">
        <f t="shared" si="145"/>
        <v>0.91529901571268391</v>
      </c>
      <c r="BN123" s="334">
        <f t="shared" si="146"/>
        <v>1.1280382424979776</v>
      </c>
      <c r="BO123" s="334">
        <f t="shared" si="147"/>
        <v>0.70203897287494543</v>
      </c>
      <c r="BP123" s="334"/>
      <c r="BQ123" s="334">
        <f t="shared" si="148"/>
        <v>1.3653507658095549E-4</v>
      </c>
      <c r="BR123" s="334">
        <f t="shared" si="149"/>
        <v>4.2406812874352891E-7</v>
      </c>
      <c r="BS123" s="334">
        <f t="shared" si="150"/>
        <v>4.740439139601936E-2</v>
      </c>
      <c r="BT123" s="334"/>
      <c r="BU123" s="334">
        <f t="shared" si="153"/>
        <v>0.51434604931014882</v>
      </c>
      <c r="BV123" s="334">
        <f t="shared" si="151"/>
        <v>1.1355203660828457</v>
      </c>
      <c r="BW123" s="334">
        <f t="shared" si="152"/>
        <v>0.33251220696764955</v>
      </c>
    </row>
    <row r="124" spans="3:75" x14ac:dyDescent="0.2">
      <c r="C124" s="334">
        <f t="shared" si="100"/>
        <v>0.17824404705583477</v>
      </c>
      <c r="D124" s="334">
        <f t="shared" si="101"/>
        <v>0.2547752426936758</v>
      </c>
      <c r="E124" s="334">
        <f t="shared" si="102"/>
        <v>0.33261482705429263</v>
      </c>
      <c r="G124" s="334">
        <f t="shared" si="103"/>
        <v>0.25345114384024592</v>
      </c>
      <c r="H124" s="334">
        <f t="shared" si="104"/>
        <v>0.29410699752989145</v>
      </c>
      <c r="I124" s="334">
        <f t="shared" si="105"/>
        <v>0.33892651084022996</v>
      </c>
      <c r="J124" s="334"/>
      <c r="K124" s="334">
        <f t="shared" si="106"/>
        <v>2.4286918608559336E-2</v>
      </c>
      <c r="L124" s="334">
        <f t="shared" si="107"/>
        <v>0.29459180418320835</v>
      </c>
      <c r="M124" s="334">
        <f t="shared" si="108"/>
        <v>0.19386468883467411</v>
      </c>
      <c r="N124" s="334"/>
      <c r="O124" s="334">
        <f t="shared" si="109"/>
        <v>0.27843270741144904</v>
      </c>
      <c r="P124" s="334">
        <f t="shared" si="110"/>
        <v>0.19103033974832104</v>
      </c>
      <c r="Q124" s="334">
        <f t="shared" si="111"/>
        <v>0.27583438845103797</v>
      </c>
      <c r="R124" s="334"/>
      <c r="S124" s="334">
        <f t="shared" si="112"/>
        <v>2.4001215398712268</v>
      </c>
      <c r="T124" s="334">
        <f t="shared" si="113"/>
        <v>1.305483197913087</v>
      </c>
      <c r="U124" s="334">
        <f t="shared" si="114"/>
        <v>1.5129577070728173</v>
      </c>
      <c r="W124" s="334">
        <f t="shared" si="115"/>
        <v>0.20132905147705876</v>
      </c>
      <c r="X124" s="334">
        <f t="shared" si="116"/>
        <v>3.8812752800783647E-2</v>
      </c>
      <c r="Y124" s="334">
        <f t="shared" si="117"/>
        <v>0.25450367673833901</v>
      </c>
      <c r="Z124" s="334"/>
      <c r="AA124" s="334">
        <f t="shared" si="118"/>
        <v>1.5965626044399577</v>
      </c>
      <c r="AB124" s="334">
        <f t="shared" si="119"/>
        <v>1.2859560617210615</v>
      </c>
      <c r="AC124" s="334">
        <f t="shared" si="120"/>
        <v>1.6605976994122085</v>
      </c>
      <c r="AD124" s="334"/>
      <c r="AE124" s="334">
        <f t="shared" si="121"/>
        <v>1.7318683220322107E-5</v>
      </c>
      <c r="AF124" s="334">
        <f t="shared" si="122"/>
        <v>8.867793881916951E-7</v>
      </c>
      <c r="AG124" s="334">
        <f t="shared" si="123"/>
        <v>1.7356279060711747E-2</v>
      </c>
      <c r="AH124" s="334"/>
      <c r="AI124" s="334">
        <f t="shared" si="124"/>
        <v>0.58714652322869376</v>
      </c>
      <c r="AJ124" s="334">
        <f t="shared" si="125"/>
        <v>0.59602200625406832</v>
      </c>
      <c r="AK124" s="334">
        <f t="shared" si="126"/>
        <v>0.50915041166016328</v>
      </c>
      <c r="AL124" s="334"/>
      <c r="AM124" s="334"/>
      <c r="AN124" s="334"/>
      <c r="AO124" s="334">
        <f t="shared" si="127"/>
        <v>0.25527436514117535</v>
      </c>
      <c r="AP124" s="334">
        <f t="shared" si="128"/>
        <v>0.27433898039767601</v>
      </c>
      <c r="AQ124" s="334">
        <f t="shared" si="129"/>
        <v>0.21789249962341223</v>
      </c>
      <c r="AR124" s="334"/>
      <c r="AS124" s="334">
        <f t="shared" si="130"/>
        <v>0.33037925823510783</v>
      </c>
      <c r="AT124" s="334">
        <f t="shared" si="131"/>
        <v>0.28864170641645043</v>
      </c>
      <c r="AU124" s="334">
        <f t="shared" si="132"/>
        <v>0.45208389694367174</v>
      </c>
      <c r="AV124" s="334"/>
      <c r="AW124" s="334">
        <f t="shared" si="133"/>
        <v>6.8709460080972617E-2</v>
      </c>
      <c r="AX124" s="334">
        <f t="shared" si="134"/>
        <v>3.8469134154942665E-2</v>
      </c>
      <c r="AY124" s="334">
        <f t="shared" si="135"/>
        <v>0.10263762139118435</v>
      </c>
      <c r="AZ124" s="334"/>
      <c r="BA124" s="334">
        <f t="shared" si="136"/>
        <v>0.19417802977904641</v>
      </c>
      <c r="BB124" s="334">
        <f t="shared" si="137"/>
        <v>0.21385273478754674</v>
      </c>
      <c r="BC124" s="334">
        <f t="shared" si="138"/>
        <v>0.1980755282076469</v>
      </c>
      <c r="BD124" s="334"/>
      <c r="BE124" s="334">
        <f t="shared" si="139"/>
        <v>0.90573147028271916</v>
      </c>
      <c r="BF124" s="334">
        <f t="shared" si="140"/>
        <v>1.6980318570082866</v>
      </c>
      <c r="BG124" s="334">
        <f t="shared" si="141"/>
        <v>2.2049140967044605</v>
      </c>
      <c r="BH124" s="334"/>
      <c r="BI124" s="334">
        <f t="shared" si="142"/>
        <v>0.13203093235110247</v>
      </c>
      <c r="BJ124" s="334">
        <f t="shared" si="143"/>
        <v>8.330436738741151E-2</v>
      </c>
      <c r="BK124" s="334">
        <f t="shared" si="144"/>
        <v>0.19471215671655082</v>
      </c>
      <c r="BL124" s="334"/>
      <c r="BM124" s="334">
        <f t="shared" si="145"/>
        <v>0.98988155094253061</v>
      </c>
      <c r="BN124" s="334">
        <f t="shared" si="146"/>
        <v>1.6666979001210671</v>
      </c>
      <c r="BO124" s="334">
        <f t="shared" si="147"/>
        <v>0.78720539035637571</v>
      </c>
      <c r="BP124" s="334"/>
      <c r="BQ124" s="334">
        <f t="shared" si="148"/>
        <v>7.7481643783544596E-4</v>
      </c>
      <c r="BR124" s="334">
        <f t="shared" si="149"/>
        <v>1.1904214382776913E-5</v>
      </c>
      <c r="BS124" s="334">
        <f t="shared" si="150"/>
        <v>8.1348786684983326E-2</v>
      </c>
      <c r="BT124" s="334"/>
      <c r="BU124" s="334">
        <f t="shared" si="153"/>
        <v>0.51233488533195048</v>
      </c>
      <c r="BV124" s="334">
        <f t="shared" si="151"/>
        <v>0.72970761737851375</v>
      </c>
      <c r="BW124" s="334">
        <f t="shared" si="152"/>
        <v>0.38516092948120734</v>
      </c>
    </row>
    <row r="125" spans="3:75" x14ac:dyDescent="0.2">
      <c r="C125" s="334">
        <f t="shared" si="100"/>
        <v>0.16273023194732894</v>
      </c>
      <c r="D125" s="334">
        <f t="shared" si="101"/>
        <v>0.26869906984443764</v>
      </c>
      <c r="E125" s="334">
        <f t="shared" si="102"/>
        <v>0.33846876121730135</v>
      </c>
      <c r="G125" s="334">
        <f t="shared" si="103"/>
        <v>0.28958165253583973</v>
      </c>
      <c r="H125" s="334">
        <f t="shared" si="104"/>
        <v>0.34761300421115632</v>
      </c>
      <c r="I125" s="334">
        <f t="shared" si="105"/>
        <v>0.46670635140254513</v>
      </c>
      <c r="J125" s="334"/>
      <c r="K125" s="334">
        <f t="shared" si="106"/>
        <v>5.4512532471297455E-2</v>
      </c>
      <c r="L125" s="334">
        <f t="shared" si="107"/>
        <v>0.34635781793497084</v>
      </c>
      <c r="M125" s="334">
        <f t="shared" si="108"/>
        <v>0.23565597433983076</v>
      </c>
      <c r="N125" s="334"/>
      <c r="O125" s="334">
        <f t="shared" si="109"/>
        <v>0.24744356750491123</v>
      </c>
      <c r="P125" s="334">
        <f t="shared" si="110"/>
        <v>0.19025832870500525</v>
      </c>
      <c r="Q125" s="334">
        <f t="shared" si="111"/>
        <v>0.28568916301564357</v>
      </c>
      <c r="R125" s="334"/>
      <c r="S125" s="334">
        <f t="shared" si="112"/>
        <v>2.8733210125259094</v>
      </c>
      <c r="T125" s="334">
        <f t="shared" si="113"/>
        <v>1.4117105970637778</v>
      </c>
      <c r="U125" s="334">
        <f t="shared" si="114"/>
        <v>1.5353242543521852</v>
      </c>
      <c r="W125" s="334">
        <f t="shared" si="115"/>
        <v>0.2724676102818116</v>
      </c>
      <c r="X125" s="334">
        <f t="shared" si="116"/>
        <v>0.12167285960838035</v>
      </c>
      <c r="Y125" s="334">
        <f t="shared" si="117"/>
        <v>0.2827458628997791</v>
      </c>
      <c r="Z125" s="334"/>
      <c r="AA125" s="334">
        <f t="shared" si="118"/>
        <v>1.8002522973356758</v>
      </c>
      <c r="AB125" s="334">
        <f t="shared" si="119"/>
        <v>1.8413437131856538</v>
      </c>
      <c r="AC125" s="334">
        <f t="shared" si="120"/>
        <v>1.8140668780383806</v>
      </c>
      <c r="AD125" s="334"/>
      <c r="AE125" s="334">
        <f t="shared" si="121"/>
        <v>1.8984654562237193E-4</v>
      </c>
      <c r="AF125" s="334">
        <f t="shared" si="122"/>
        <v>3.9693737047559372E-5</v>
      </c>
      <c r="AG125" s="334">
        <f t="shared" si="123"/>
        <v>4.5749916372101511E-2</v>
      </c>
      <c r="AH125" s="334"/>
      <c r="AI125" s="334">
        <f t="shared" si="124"/>
        <v>0.52158633161118773</v>
      </c>
      <c r="AJ125" s="334">
        <f t="shared" si="125"/>
        <v>0.15764431559369441</v>
      </c>
      <c r="AK125" s="334">
        <f t="shared" si="126"/>
        <v>0.57034534532074688</v>
      </c>
      <c r="AL125" s="334"/>
      <c r="AM125" s="334"/>
      <c r="AN125" s="334"/>
      <c r="AO125" s="334">
        <f t="shared" si="127"/>
        <v>0.27102797967466241</v>
      </c>
      <c r="AP125" s="334">
        <f t="shared" si="128"/>
        <v>0.27719133929992823</v>
      </c>
      <c r="AQ125" s="334">
        <f t="shared" si="129"/>
        <v>0.24082766586336724</v>
      </c>
      <c r="AR125" s="334"/>
      <c r="AS125" s="334">
        <f t="shared" si="130"/>
        <v>0.4048127212168236</v>
      </c>
      <c r="AT125" s="334">
        <f t="shared" si="131"/>
        <v>0.33925147277516898</v>
      </c>
      <c r="AU125" s="334">
        <f t="shared" si="132"/>
        <v>0.53808772311588815</v>
      </c>
      <c r="AV125" s="334"/>
      <c r="AW125" s="334">
        <f t="shared" si="133"/>
        <v>0.11816241707370331</v>
      </c>
      <c r="AX125" s="334">
        <f t="shared" si="134"/>
        <v>0.10010742316447993</v>
      </c>
      <c r="AY125" s="334">
        <f t="shared" si="135"/>
        <v>0.13550347342989075</v>
      </c>
      <c r="AZ125" s="334"/>
      <c r="BA125" s="334">
        <f t="shared" si="136"/>
        <v>0.19817744874895815</v>
      </c>
      <c r="BB125" s="334">
        <f t="shared" si="137"/>
        <v>0.22410617304999966</v>
      </c>
      <c r="BC125" s="334">
        <f t="shared" si="138"/>
        <v>0.20609879164048001</v>
      </c>
      <c r="BD125" s="334"/>
      <c r="BE125" s="334">
        <f t="shared" si="139"/>
        <v>3.2444200000062375</v>
      </c>
      <c r="BF125" s="334">
        <f t="shared" si="140"/>
        <v>1.9038132004120181</v>
      </c>
      <c r="BG125" s="334">
        <f t="shared" si="141"/>
        <v>2.3154610832484521</v>
      </c>
      <c r="BH125" s="334"/>
      <c r="BI125" s="334">
        <f t="shared" si="142"/>
        <v>0.191041491172631</v>
      </c>
      <c r="BJ125" s="334">
        <f t="shared" si="143"/>
        <v>0.18955760900170762</v>
      </c>
      <c r="BK125" s="334">
        <f t="shared" si="144"/>
        <v>0.23125793371175127</v>
      </c>
      <c r="BL125" s="334"/>
      <c r="BM125" s="334">
        <f t="shared" si="145"/>
        <v>1.0539251521794268</v>
      </c>
      <c r="BN125" s="334">
        <f t="shared" si="146"/>
        <v>2.225757919687958</v>
      </c>
      <c r="BO125" s="334">
        <f t="shared" si="147"/>
        <v>0.86868337912303362</v>
      </c>
      <c r="BP125" s="334"/>
      <c r="BQ125" s="334">
        <f t="shared" si="148"/>
        <v>3.5274367938627031E-3</v>
      </c>
      <c r="BR125" s="334">
        <f t="shared" si="149"/>
        <v>2.1145307966840817E-4</v>
      </c>
      <c r="BS125" s="334">
        <f t="shared" si="150"/>
        <v>0.12585518691155165</v>
      </c>
      <c r="BT125" s="334"/>
      <c r="BU125" s="334">
        <f t="shared" si="153"/>
        <v>0.49148892175916276</v>
      </c>
      <c r="BV125" s="334">
        <f t="shared" si="151"/>
        <v>0.36045485928906684</v>
      </c>
      <c r="BW125" s="334">
        <f t="shared" si="152"/>
        <v>0.42856476129645349</v>
      </c>
    </row>
    <row r="126" spans="3:75" x14ac:dyDescent="0.2">
      <c r="C126" s="334">
        <f t="shared" si="100"/>
        <v>0.14077586567327574</v>
      </c>
      <c r="D126" s="334">
        <f t="shared" si="101"/>
        <v>0.25299756747927415</v>
      </c>
      <c r="E126" s="334">
        <f t="shared" si="102"/>
        <v>0.33263298022917076</v>
      </c>
      <c r="G126" s="334">
        <f t="shared" si="103"/>
        <v>0.32036199355121237</v>
      </c>
      <c r="H126" s="334">
        <f t="shared" si="104"/>
        <v>0.39730512629414211</v>
      </c>
      <c r="I126" s="334">
        <f t="shared" si="105"/>
        <v>0.57444352166210999</v>
      </c>
      <c r="J126" s="334"/>
      <c r="K126" s="334">
        <f t="shared" si="106"/>
        <v>0.10495829562027485</v>
      </c>
      <c r="L126" s="334">
        <f t="shared" si="107"/>
        <v>0.33585104164546997</v>
      </c>
      <c r="M126" s="334">
        <f t="shared" si="108"/>
        <v>0.26526244393761911</v>
      </c>
      <c r="N126" s="334"/>
      <c r="O126" s="334">
        <f t="shared" si="109"/>
        <v>0.19838717458756963</v>
      </c>
      <c r="P126" s="334">
        <f t="shared" si="110"/>
        <v>0.18082488729195617</v>
      </c>
      <c r="Q126" s="334">
        <f t="shared" si="111"/>
        <v>0.28912116738387911</v>
      </c>
      <c r="R126" s="334"/>
      <c r="S126" s="334">
        <f t="shared" si="112"/>
        <v>3.3061611138744587</v>
      </c>
      <c r="T126" s="334">
        <f t="shared" si="113"/>
        <v>1.5081871383394858</v>
      </c>
      <c r="U126" s="334">
        <f t="shared" si="114"/>
        <v>1.5467061430926081</v>
      </c>
      <c r="W126" s="334">
        <f t="shared" si="115"/>
        <v>0.33738815601362226</v>
      </c>
      <c r="X126" s="334">
        <f t="shared" si="116"/>
        <v>0.28710977830699508</v>
      </c>
      <c r="Y126" s="334">
        <f t="shared" si="117"/>
        <v>0.30236686965934884</v>
      </c>
      <c r="Z126" s="334"/>
      <c r="AA126" s="334">
        <f t="shared" si="118"/>
        <v>1.9383521070329546</v>
      </c>
      <c r="AB126" s="334">
        <f t="shared" si="119"/>
        <v>2.3832367116845372</v>
      </c>
      <c r="AC126" s="334">
        <f t="shared" si="120"/>
        <v>1.8927069365710629</v>
      </c>
      <c r="AD126" s="334"/>
      <c r="AE126" s="334">
        <f t="shared" si="121"/>
        <v>1.500219398253423E-3</v>
      </c>
      <c r="AF126" s="334">
        <f t="shared" si="122"/>
        <v>9.3863216538164198E-4</v>
      </c>
      <c r="AG126" s="334">
        <f t="shared" si="123"/>
        <v>9.9835438678147231E-2</v>
      </c>
      <c r="AH126" s="334"/>
      <c r="AI126" s="334">
        <f t="shared" si="124"/>
        <v>0.43797272460388348</v>
      </c>
      <c r="AJ126" s="334">
        <f t="shared" si="125"/>
        <v>2.5190938760655857E-2</v>
      </c>
      <c r="AK126" s="334">
        <f t="shared" si="126"/>
        <v>0.59851506588019077</v>
      </c>
      <c r="AL126" s="334"/>
      <c r="AM126" s="334"/>
      <c r="AN126" s="334"/>
      <c r="AO126" s="334">
        <f t="shared" si="127"/>
        <v>0.25639410932553297</v>
      </c>
      <c r="AP126" s="334">
        <f t="shared" si="128"/>
        <v>0.24758527743779102</v>
      </c>
      <c r="AQ126" s="334">
        <f t="shared" si="129"/>
        <v>0.25979701155615292</v>
      </c>
      <c r="AR126" s="334"/>
      <c r="AS126" s="334">
        <f t="shared" si="130"/>
        <v>0.46495086580408523</v>
      </c>
      <c r="AT126" s="334">
        <f t="shared" si="131"/>
        <v>0.38627469266909947</v>
      </c>
      <c r="AU126" s="334">
        <f t="shared" si="132"/>
        <v>0.58241696567530388</v>
      </c>
      <c r="AV126" s="334"/>
      <c r="AW126" s="334">
        <f t="shared" si="133"/>
        <v>0.1786370439880573</v>
      </c>
      <c r="AX126" s="334">
        <f t="shared" si="134"/>
        <v>0.20288698653348664</v>
      </c>
      <c r="AY126" s="334">
        <f t="shared" si="135"/>
        <v>0.16913302004967062</v>
      </c>
      <c r="AZ126" s="334"/>
      <c r="BA126" s="334">
        <f t="shared" si="136"/>
        <v>0.19239654062048139</v>
      </c>
      <c r="BB126" s="334">
        <f t="shared" si="137"/>
        <v>0.22026528382459362</v>
      </c>
      <c r="BC126" s="334">
        <f t="shared" si="138"/>
        <v>0.21171292451579646</v>
      </c>
      <c r="BD126" s="334"/>
      <c r="BE126" s="334">
        <f t="shared" si="139"/>
        <v>7.6756972204124052</v>
      </c>
      <c r="BF126" s="334">
        <f t="shared" si="140"/>
        <v>2.0887414667541258</v>
      </c>
      <c r="BG126" s="334">
        <f t="shared" si="141"/>
        <v>2.3885688083573489</v>
      </c>
      <c r="BH126" s="334"/>
      <c r="BI126" s="334">
        <f t="shared" si="142"/>
        <v>0.25515951989387836</v>
      </c>
      <c r="BJ126" s="334">
        <f t="shared" si="143"/>
        <v>0.34758379326537664</v>
      </c>
      <c r="BK126" s="334">
        <f t="shared" si="144"/>
        <v>0.26428905962585042</v>
      </c>
      <c r="BL126" s="334"/>
      <c r="BM126" s="334">
        <f t="shared" si="145"/>
        <v>1.1046955703481398</v>
      </c>
      <c r="BN126" s="334">
        <f t="shared" si="146"/>
        <v>2.6865005917762792</v>
      </c>
      <c r="BO126" s="334">
        <f t="shared" si="147"/>
        <v>0.94336895604781101</v>
      </c>
      <c r="BP126" s="334"/>
      <c r="BQ126" s="334">
        <f t="shared" si="148"/>
        <v>1.2883251437357678E-2</v>
      </c>
      <c r="BR126" s="334">
        <f t="shared" si="149"/>
        <v>2.3767059839603323E-3</v>
      </c>
      <c r="BS126" s="334">
        <f t="shared" si="150"/>
        <v>0.17554105036611226</v>
      </c>
      <c r="BT126" s="334"/>
      <c r="BU126" s="334">
        <f t="shared" si="153"/>
        <v>0.45408256067701386</v>
      </c>
      <c r="BV126" s="334">
        <f t="shared" si="151"/>
        <v>0.13686769149195155</v>
      </c>
      <c r="BW126" s="334">
        <f t="shared" si="152"/>
        <v>0.45806835504178151</v>
      </c>
    </row>
    <row r="127" spans="3:75" x14ac:dyDescent="0.2">
      <c r="C127" s="334">
        <f t="shared" si="100"/>
        <v>0.11539710769434905</v>
      </c>
      <c r="D127" s="334">
        <f t="shared" si="101"/>
        <v>0.21267075432096572</v>
      </c>
      <c r="E127" s="334">
        <f t="shared" si="102"/>
        <v>0.31570521065447499</v>
      </c>
      <c r="G127" s="334">
        <f t="shared" si="103"/>
        <v>0.3431658729347481</v>
      </c>
      <c r="H127" s="334">
        <f t="shared" si="104"/>
        <v>0.43912667397956201</v>
      </c>
      <c r="I127" s="334">
        <f t="shared" si="105"/>
        <v>0.63199903478171426</v>
      </c>
      <c r="J127" s="334"/>
      <c r="K127" s="334">
        <f t="shared" si="106"/>
        <v>0.1733539139338191</v>
      </c>
      <c r="L127" s="334">
        <f t="shared" si="107"/>
        <v>0.26858748605081445</v>
      </c>
      <c r="M127" s="334">
        <f t="shared" si="108"/>
        <v>0.2764971434228321</v>
      </c>
      <c r="N127" s="334"/>
      <c r="O127" s="334">
        <f t="shared" si="109"/>
        <v>0.14349359684657123</v>
      </c>
      <c r="P127" s="334">
        <f t="shared" si="110"/>
        <v>0.16400078430781426</v>
      </c>
      <c r="Q127" s="334">
        <f t="shared" si="111"/>
        <v>0.28589514161979729</v>
      </c>
      <c r="R127" s="334"/>
      <c r="S127" s="334">
        <f t="shared" si="112"/>
        <v>3.6563926609413877</v>
      </c>
      <c r="T127" s="334">
        <f t="shared" si="113"/>
        <v>1.5918420062564715</v>
      </c>
      <c r="U127" s="334">
        <f t="shared" si="114"/>
        <v>1.5468560028646243</v>
      </c>
      <c r="W127" s="334">
        <f t="shared" si="115"/>
        <v>0.3822533474067854</v>
      </c>
      <c r="X127" s="334">
        <f t="shared" si="116"/>
        <v>0.50996133842577751</v>
      </c>
      <c r="Y127" s="334">
        <f t="shared" si="117"/>
        <v>0.3112489499087886</v>
      </c>
      <c r="Z127" s="334"/>
      <c r="AA127" s="334">
        <f t="shared" si="118"/>
        <v>1.9928923652662751</v>
      </c>
      <c r="AB127" s="334">
        <f t="shared" si="119"/>
        <v>2.7881945916109783</v>
      </c>
      <c r="AC127" s="334">
        <f t="shared" si="120"/>
        <v>1.8860563826977468</v>
      </c>
      <c r="AD127" s="334"/>
      <c r="AE127" s="334">
        <f t="shared" si="121"/>
        <v>8.5461616025619084E-3</v>
      </c>
      <c r="AF127" s="334">
        <f t="shared" si="122"/>
        <v>1.1725622900168688E-2</v>
      </c>
      <c r="AG127" s="334">
        <f t="shared" si="123"/>
        <v>0.18035986532596776</v>
      </c>
      <c r="AH127" s="334"/>
      <c r="AI127" s="334">
        <f t="shared" si="124"/>
        <v>0.34762346375327013</v>
      </c>
      <c r="AJ127" s="334">
        <f t="shared" si="125"/>
        <v>2.4319822743944538E-3</v>
      </c>
      <c r="AK127" s="334">
        <f t="shared" si="126"/>
        <v>0.58837966619520332</v>
      </c>
      <c r="AL127" s="334"/>
      <c r="AM127" s="334"/>
      <c r="AN127" s="334"/>
      <c r="AO127" s="334">
        <f t="shared" si="127"/>
        <v>0.21611701009888271</v>
      </c>
      <c r="AP127" s="334">
        <f t="shared" si="128"/>
        <v>0.19548930272677784</v>
      </c>
      <c r="AQ127" s="334">
        <f t="shared" si="129"/>
        <v>0.27354299958951817</v>
      </c>
      <c r="AR127" s="334"/>
      <c r="AS127" s="334">
        <f t="shared" si="130"/>
        <v>0.50057770272613489</v>
      </c>
      <c r="AT127" s="334">
        <f t="shared" si="131"/>
        <v>0.42607163741709969</v>
      </c>
      <c r="AU127" s="334">
        <f t="shared" si="132"/>
        <v>0.57327346466756557</v>
      </c>
      <c r="AV127" s="334"/>
      <c r="AW127" s="334">
        <f t="shared" si="133"/>
        <v>0.23740672024489692</v>
      </c>
      <c r="AX127" s="334">
        <f t="shared" si="134"/>
        <v>0.32024041436875311</v>
      </c>
      <c r="AY127" s="334">
        <f t="shared" si="135"/>
        <v>0.19959079426425214</v>
      </c>
      <c r="AZ127" s="334"/>
      <c r="BA127" s="334">
        <f t="shared" si="136"/>
        <v>0.17767616327050895</v>
      </c>
      <c r="BB127" s="334">
        <f t="shared" si="137"/>
        <v>0.20304463063406278</v>
      </c>
      <c r="BC127" s="334">
        <f t="shared" si="138"/>
        <v>0.21470719601941951</v>
      </c>
      <c r="BD127" s="334"/>
      <c r="BE127" s="334">
        <f t="shared" si="139"/>
        <v>11.993384389735402</v>
      </c>
      <c r="BF127" s="334">
        <f t="shared" si="140"/>
        <v>2.2424713262634364</v>
      </c>
      <c r="BG127" s="334">
        <f t="shared" si="141"/>
        <v>2.4204297701819684</v>
      </c>
      <c r="BH127" s="334"/>
      <c r="BI127" s="334">
        <f t="shared" si="142"/>
        <v>0.31457769145942177</v>
      </c>
      <c r="BJ127" s="334">
        <f t="shared" si="143"/>
        <v>0.51359721482006115</v>
      </c>
      <c r="BK127" s="334">
        <f t="shared" si="144"/>
        <v>0.29063017374769839</v>
      </c>
      <c r="BL127" s="334"/>
      <c r="BM127" s="334">
        <f t="shared" si="145"/>
        <v>1.1399393887326112</v>
      </c>
      <c r="BN127" s="334">
        <f t="shared" si="146"/>
        <v>2.9307847825175148</v>
      </c>
      <c r="BO127" s="334">
        <f t="shared" si="147"/>
        <v>1.0082036486964254</v>
      </c>
      <c r="BP127" s="334"/>
      <c r="BQ127" s="334">
        <f t="shared" si="148"/>
        <v>3.774831342874492E-2</v>
      </c>
      <c r="BR127" s="334">
        <f t="shared" si="149"/>
        <v>1.6903828355366267E-2</v>
      </c>
      <c r="BS127" s="334">
        <f t="shared" si="150"/>
        <v>0.22073632150765524</v>
      </c>
      <c r="BT127" s="334"/>
      <c r="BU127" s="334">
        <f t="shared" si="153"/>
        <v>0.40403333412522685</v>
      </c>
      <c r="BV127" s="334">
        <f t="shared" si="151"/>
        <v>3.994836898335364E-2</v>
      </c>
      <c r="BW127" s="334">
        <f t="shared" si="152"/>
        <v>0.47030946795740614</v>
      </c>
    </row>
    <row r="128" spans="3:75" x14ac:dyDescent="0.2">
      <c r="C128" s="334">
        <f t="shared" si="100"/>
        <v>8.9633095481711958E-2</v>
      </c>
      <c r="D128" s="334">
        <f t="shared" si="101"/>
        <v>0.15960277599449629</v>
      </c>
      <c r="E128" s="334">
        <f t="shared" si="102"/>
        <v>0.28937960596854867</v>
      </c>
      <c r="G128" s="334">
        <f t="shared" si="103"/>
        <v>0.35592652519661783</v>
      </c>
      <c r="H128" s="334">
        <f t="shared" si="104"/>
        <v>0.46934583059865181</v>
      </c>
      <c r="I128" s="334">
        <f t="shared" si="105"/>
        <v>0.62151404635155827</v>
      </c>
      <c r="J128" s="334"/>
      <c r="K128" s="334">
        <f t="shared" si="106"/>
        <v>0.24561054205865224</v>
      </c>
      <c r="L128" s="334">
        <f t="shared" si="107"/>
        <v>0.17715043330559402</v>
      </c>
      <c r="M128" s="334">
        <f t="shared" si="108"/>
        <v>0.26688434602366506</v>
      </c>
      <c r="N128" s="334"/>
      <c r="O128" s="334">
        <f t="shared" si="109"/>
        <v>9.3633866448289096E-2</v>
      </c>
      <c r="P128" s="334">
        <f t="shared" si="110"/>
        <v>0.14194066748833833</v>
      </c>
      <c r="Q128" s="334">
        <f t="shared" si="111"/>
        <v>0.2762322786863276</v>
      </c>
      <c r="R128" s="334"/>
      <c r="S128" s="334">
        <f t="shared" si="112"/>
        <v>3.8866066905372745</v>
      </c>
      <c r="T128" s="334">
        <f t="shared" si="113"/>
        <v>1.6598921033605629</v>
      </c>
      <c r="U128" s="334">
        <f t="shared" si="114"/>
        <v>1.5357705685479952</v>
      </c>
      <c r="W128" s="334">
        <f t="shared" si="115"/>
        <v>0.39625912524539264</v>
      </c>
      <c r="X128" s="334">
        <f t="shared" si="116"/>
        <v>0.68180710167127956</v>
      </c>
      <c r="Y128" s="334">
        <f t="shared" si="117"/>
        <v>0.3084021040996216</v>
      </c>
      <c r="Z128" s="334"/>
      <c r="AA128" s="334">
        <f t="shared" si="118"/>
        <v>1.9565317141896963</v>
      </c>
      <c r="AB128" s="334">
        <f t="shared" si="119"/>
        <v>2.9485097221938581</v>
      </c>
      <c r="AC128" s="334">
        <f t="shared" si="120"/>
        <v>1.7950113019824256</v>
      </c>
      <c r="AD128" s="334"/>
      <c r="AE128" s="334">
        <f t="shared" si="121"/>
        <v>3.5095519186162327E-2</v>
      </c>
      <c r="AF128" s="334">
        <f t="shared" si="122"/>
        <v>7.738262525739463E-2</v>
      </c>
      <c r="AG128" s="334">
        <f t="shared" si="123"/>
        <v>0.2697465009437629</v>
      </c>
      <c r="AH128" s="334"/>
      <c r="AI128" s="334">
        <f t="shared" si="124"/>
        <v>0.26080280303952091</v>
      </c>
      <c r="AJ128" s="334">
        <f t="shared" si="125"/>
        <v>1.4184906409203839E-4</v>
      </c>
      <c r="AK128" s="334">
        <f t="shared" si="126"/>
        <v>0.54185814664233156</v>
      </c>
      <c r="AL128" s="334"/>
      <c r="AM128" s="334"/>
      <c r="AN128" s="334"/>
      <c r="AO128" s="334">
        <f t="shared" si="127"/>
        <v>0.16231432517425401</v>
      </c>
      <c r="AP128" s="334">
        <f t="shared" si="128"/>
        <v>0.13645020788434967</v>
      </c>
      <c r="AQ128" s="334">
        <f t="shared" si="129"/>
        <v>0.28111287582469313</v>
      </c>
      <c r="AR128" s="334"/>
      <c r="AS128" s="334">
        <f t="shared" si="130"/>
        <v>0.50518153954872425</v>
      </c>
      <c r="AT128" s="334">
        <f t="shared" si="131"/>
        <v>0.45528238781297464</v>
      </c>
      <c r="AU128" s="334">
        <f t="shared" si="132"/>
        <v>0.51314080465897283</v>
      </c>
      <c r="AV128" s="334"/>
      <c r="AW128" s="334">
        <f t="shared" si="133"/>
        <v>0.27735999465101535</v>
      </c>
      <c r="AX128" s="334">
        <f t="shared" si="134"/>
        <v>0.39366982273434276</v>
      </c>
      <c r="AY128" s="334">
        <f t="shared" si="135"/>
        <v>0.22268283204056966</v>
      </c>
      <c r="AZ128" s="334"/>
      <c r="BA128" s="334">
        <f t="shared" si="136"/>
        <v>0.15608097123715906</v>
      </c>
      <c r="BB128" s="334">
        <f t="shared" si="137"/>
        <v>0.17554569696728065</v>
      </c>
      <c r="BC128" s="334">
        <f t="shared" si="138"/>
        <v>0.21496766159841704</v>
      </c>
      <c r="BD128" s="334"/>
      <c r="BE128" s="334">
        <f t="shared" si="139"/>
        <v>12.376812856782234</v>
      </c>
      <c r="BF128" s="334">
        <f t="shared" si="140"/>
        <v>2.3558680561126919</v>
      </c>
      <c r="BG128" s="334">
        <f t="shared" si="141"/>
        <v>2.4093598770253628</v>
      </c>
      <c r="BH128" s="334"/>
      <c r="BI128" s="334">
        <f t="shared" si="142"/>
        <v>0.35799431782488977</v>
      </c>
      <c r="BJ128" s="334">
        <f t="shared" si="143"/>
        <v>0.61154813555510734</v>
      </c>
      <c r="BK128" s="334">
        <f t="shared" si="144"/>
        <v>0.30752553910014052</v>
      </c>
      <c r="BL128" s="334"/>
      <c r="BM128" s="334">
        <f t="shared" si="145"/>
        <v>1.1580497369177665</v>
      </c>
      <c r="BN128" s="334">
        <f t="shared" si="146"/>
        <v>2.8898073366014372</v>
      </c>
      <c r="BO128" s="334">
        <f t="shared" si="147"/>
        <v>1.0603800901761919</v>
      </c>
      <c r="BP128" s="334"/>
      <c r="BQ128" s="334">
        <f t="shared" si="148"/>
        <v>8.8731014965465302E-2</v>
      </c>
      <c r="BR128" s="334">
        <f t="shared" si="149"/>
        <v>7.6075157180175476E-2</v>
      </c>
      <c r="BS128" s="334">
        <f t="shared" si="150"/>
        <v>0.25023983424087265</v>
      </c>
      <c r="BT128" s="334"/>
      <c r="BU128" s="334">
        <f t="shared" si="153"/>
        <v>0.34622693941736116</v>
      </c>
      <c r="BV128" s="334">
        <f t="shared" si="151"/>
        <v>8.9628311690491437E-3</v>
      </c>
      <c r="BW128" s="334">
        <f t="shared" si="152"/>
        <v>0.46384913699999714</v>
      </c>
    </row>
    <row r="129" spans="3:75" x14ac:dyDescent="0.2">
      <c r="C129" s="334">
        <f t="shared" si="100"/>
        <v>6.5970324497836463E-2</v>
      </c>
      <c r="D129" s="334">
        <f t="shared" si="101"/>
        <v>0.10693364079713658</v>
      </c>
      <c r="E129" s="334">
        <f t="shared" si="102"/>
        <v>0.2561673762089951</v>
      </c>
      <c r="G129" s="334">
        <f t="shared" si="103"/>
        <v>0.35744545273933648</v>
      </c>
      <c r="H129" s="334">
        <f t="shared" si="104"/>
        <v>0.48510260427311241</v>
      </c>
      <c r="I129" s="334">
        <f t="shared" si="105"/>
        <v>0.54632482549231665</v>
      </c>
      <c r="J129" s="334"/>
      <c r="K129" s="334">
        <f t="shared" si="106"/>
        <v>0.29850858519531492</v>
      </c>
      <c r="L129" s="334">
        <f t="shared" si="107"/>
        <v>9.6364269511834924E-2</v>
      </c>
      <c r="M129" s="334">
        <f t="shared" si="108"/>
        <v>0.23854654107436346</v>
      </c>
      <c r="N129" s="334"/>
      <c r="O129" s="334">
        <f t="shared" si="109"/>
        <v>5.5120722091879917E-2</v>
      </c>
      <c r="P129" s="334">
        <f t="shared" si="110"/>
        <v>0.11723059188458569</v>
      </c>
      <c r="Q129" s="334">
        <f t="shared" si="111"/>
        <v>0.26078514016153981</v>
      </c>
      <c r="R129" s="334"/>
      <c r="S129" s="334">
        <f t="shared" si="112"/>
        <v>3.9707935675773052</v>
      </c>
      <c r="T129" s="334">
        <f t="shared" si="113"/>
        <v>1.7099953396865197</v>
      </c>
      <c r="U129" s="334">
        <f t="shared" si="114"/>
        <v>1.5136907986111803</v>
      </c>
      <c r="W129" s="334">
        <f t="shared" si="115"/>
        <v>0.37584932134118076</v>
      </c>
      <c r="X129" s="334">
        <f t="shared" si="116"/>
        <v>0.68615271876913098</v>
      </c>
      <c r="Y129" s="334">
        <f t="shared" si="117"/>
        <v>0.29414570835999521</v>
      </c>
      <c r="Z129" s="334"/>
      <c r="AA129" s="334">
        <f t="shared" si="118"/>
        <v>1.8341794204369515</v>
      </c>
      <c r="AB129" s="334">
        <f t="shared" si="119"/>
        <v>2.8184194757926604</v>
      </c>
      <c r="AC129" s="334">
        <f t="shared" si="120"/>
        <v>1.6316271417614556</v>
      </c>
      <c r="AD129" s="334"/>
      <c r="AE129" s="334">
        <f t="shared" si="121"/>
        <v>0.10389544054348297</v>
      </c>
      <c r="AF129" s="334">
        <f t="shared" si="122"/>
        <v>0.26978515058851466</v>
      </c>
      <c r="AG129" s="334">
        <f t="shared" si="123"/>
        <v>0.33398924585448581</v>
      </c>
      <c r="AH129" s="334"/>
      <c r="AI129" s="334">
        <f t="shared" si="124"/>
        <v>0.18495095642732373</v>
      </c>
      <c r="AJ129" s="334">
        <f t="shared" si="125"/>
        <v>4.9985329642099729E-6</v>
      </c>
      <c r="AK129" s="334">
        <f t="shared" si="126"/>
        <v>0.46747559388192228</v>
      </c>
      <c r="AL129" s="334"/>
      <c r="AM129" s="334"/>
      <c r="AN129" s="334"/>
      <c r="AO129" s="334">
        <f t="shared" si="127"/>
        <v>0.10862048627775948</v>
      </c>
      <c r="AP129" s="334">
        <f t="shared" si="128"/>
        <v>8.4193473699163579E-2</v>
      </c>
      <c r="AQ129" s="334">
        <f t="shared" si="129"/>
        <v>0.28196782246276919</v>
      </c>
      <c r="AR129" s="334"/>
      <c r="AS129" s="334">
        <f t="shared" si="130"/>
        <v>0.47789773741402064</v>
      </c>
      <c r="AT129" s="334">
        <f t="shared" si="131"/>
        <v>0.47129293678085782</v>
      </c>
      <c r="AU129" s="334">
        <f t="shared" si="132"/>
        <v>0.41769391682035045</v>
      </c>
      <c r="AV129" s="334"/>
      <c r="AW129" s="334">
        <f t="shared" si="133"/>
        <v>0.28485507380602193</v>
      </c>
      <c r="AX129" s="334">
        <f t="shared" si="134"/>
        <v>0.3768965382368879</v>
      </c>
      <c r="AY129" s="334">
        <f t="shared" si="135"/>
        <v>0.23489138696608033</v>
      </c>
      <c r="AZ129" s="334"/>
      <c r="BA129" s="334">
        <f t="shared" si="136"/>
        <v>0.13042463589950276</v>
      </c>
      <c r="BB129" s="334">
        <f t="shared" si="137"/>
        <v>0.14234495846284428</v>
      </c>
      <c r="BC129" s="334">
        <f t="shared" si="138"/>
        <v>0.21248435910774091</v>
      </c>
      <c r="BD129" s="334"/>
      <c r="BE129" s="334">
        <f t="shared" si="139"/>
        <v>8.4356596366969718</v>
      </c>
      <c r="BF129" s="334">
        <f t="shared" si="140"/>
        <v>2.4219037709561002</v>
      </c>
      <c r="BG129" s="334">
        <f t="shared" si="141"/>
        <v>2.3559459369273914</v>
      </c>
      <c r="BH129" s="334"/>
      <c r="BI129" s="334">
        <f t="shared" si="142"/>
        <v>0.37605936956820601</v>
      </c>
      <c r="BJ129" s="334">
        <f t="shared" si="143"/>
        <v>0.58679104578429708</v>
      </c>
      <c r="BK129" s="334">
        <f t="shared" si="144"/>
        <v>0.31311267361049372</v>
      </c>
      <c r="BL129" s="334"/>
      <c r="BM129" s="334">
        <f t="shared" si="145"/>
        <v>1.158187753739115</v>
      </c>
      <c r="BN129" s="334">
        <f t="shared" si="146"/>
        <v>2.5753830014431167</v>
      </c>
      <c r="BO129" s="334">
        <f t="shared" si="147"/>
        <v>1.0975428388158501</v>
      </c>
      <c r="BP129" s="334"/>
      <c r="BQ129" s="334">
        <f t="shared" si="148"/>
        <v>0.1673243603934913</v>
      </c>
      <c r="BR129" s="334">
        <f t="shared" si="149"/>
        <v>0.21664507075894263</v>
      </c>
      <c r="BS129" s="334">
        <f t="shared" si="150"/>
        <v>0.25575646526115364</v>
      </c>
      <c r="BT129" s="334"/>
      <c r="BU129" s="334">
        <f t="shared" si="153"/>
        <v>0.28573655269529746</v>
      </c>
      <c r="BV129" s="334">
        <f t="shared" si="151"/>
        <v>1.5457506286581072E-3</v>
      </c>
      <c r="BW129" s="334">
        <f t="shared" si="152"/>
        <v>0.43944991389624111</v>
      </c>
    </row>
    <row r="130" spans="3:75" x14ac:dyDescent="0.2">
      <c r="C130" s="334">
        <f t="shared" si="100"/>
        <v>4.6008237831116836E-2</v>
      </c>
      <c r="D130" s="334">
        <f t="shared" si="101"/>
        <v>6.3963100878054277E-2</v>
      </c>
      <c r="E130" s="334">
        <f t="shared" si="102"/>
        <v>0.21900268893127339</v>
      </c>
      <c r="G130" s="334">
        <f t="shared" si="103"/>
        <v>0.34757806181725476</v>
      </c>
      <c r="H130" s="334">
        <f t="shared" si="104"/>
        <v>0.48485484999302897</v>
      </c>
      <c r="I130" s="334">
        <f t="shared" si="105"/>
        <v>0.42925600304469425</v>
      </c>
      <c r="J130" s="334"/>
      <c r="K130" s="334">
        <f t="shared" si="106"/>
        <v>0.31121686167281165</v>
      </c>
      <c r="L130" s="334">
        <f t="shared" si="107"/>
        <v>4.3232188228093493E-2</v>
      </c>
      <c r="M130" s="334">
        <f t="shared" si="108"/>
        <v>0.19744253403739112</v>
      </c>
      <c r="N130" s="334"/>
      <c r="O130" s="334">
        <f t="shared" si="109"/>
        <v>2.9273749023141685E-2</v>
      </c>
      <c r="P130" s="334">
        <f t="shared" si="110"/>
        <v>9.239495716832534E-2</v>
      </c>
      <c r="Q130" s="334">
        <f t="shared" si="111"/>
        <v>0.24056476677102379</v>
      </c>
      <c r="R130" s="334"/>
      <c r="S130" s="334">
        <f t="shared" si="112"/>
        <v>3.8991772305939856</v>
      </c>
      <c r="T130" s="334">
        <f t="shared" si="113"/>
        <v>1.7403843313093217</v>
      </c>
      <c r="U130" s="334">
        <f t="shared" si="114"/>
        <v>1.4810931668932283</v>
      </c>
      <c r="W130" s="334">
        <f t="shared" si="115"/>
        <v>0.32617808523739911</v>
      </c>
      <c r="X130" s="334">
        <f t="shared" si="116"/>
        <v>0.51977460406499998</v>
      </c>
      <c r="Y130" s="334">
        <f t="shared" si="117"/>
        <v>0.27004954300913314</v>
      </c>
      <c r="Z130" s="334"/>
      <c r="AA130" s="334">
        <f t="shared" si="118"/>
        <v>1.6419072350061625</v>
      </c>
      <c r="AB130" s="334">
        <f t="shared" si="119"/>
        <v>2.435186804406579</v>
      </c>
      <c r="AC130" s="334">
        <f t="shared" si="120"/>
        <v>1.4164976969679117</v>
      </c>
      <c r="AD130" s="334"/>
      <c r="AE130" s="334">
        <f t="shared" si="121"/>
        <v>0.2217203487331684</v>
      </c>
      <c r="AF130" s="334">
        <f t="shared" si="122"/>
        <v>0.49688932897931343</v>
      </c>
      <c r="AG130" s="334">
        <f t="shared" si="123"/>
        <v>0.34234965313651194</v>
      </c>
      <c r="AH130" s="334"/>
      <c r="AI130" s="334">
        <f t="shared" si="124"/>
        <v>0.1239772682659142</v>
      </c>
      <c r="AJ130" s="334">
        <f t="shared" si="125"/>
        <v>1.0641642445114151E-7</v>
      </c>
      <c r="AK130" s="334">
        <f t="shared" si="126"/>
        <v>0.37781366346009004</v>
      </c>
      <c r="AL130" s="334"/>
      <c r="AM130" s="334"/>
      <c r="AN130" s="334"/>
      <c r="AO130" s="334">
        <f t="shared" si="127"/>
        <v>6.4766977067586703E-2</v>
      </c>
      <c r="AP130" s="334">
        <f t="shared" si="128"/>
        <v>4.5923573752198674E-2</v>
      </c>
      <c r="AQ130" s="334">
        <f t="shared" si="129"/>
        <v>0.27604637094039131</v>
      </c>
      <c r="AR130" s="334"/>
      <c r="AS130" s="334">
        <f t="shared" si="130"/>
        <v>0.42377370728726749</v>
      </c>
      <c r="AT130" s="334">
        <f t="shared" si="131"/>
        <v>0.47262083965212492</v>
      </c>
      <c r="AU130" s="334">
        <f t="shared" si="132"/>
        <v>0.30919085367290744</v>
      </c>
      <c r="AV130" s="334"/>
      <c r="AW130" s="334">
        <f t="shared" si="133"/>
        <v>0.25717776981097451</v>
      </c>
      <c r="AX130" s="334">
        <f t="shared" si="134"/>
        <v>0.28102581150394368</v>
      </c>
      <c r="AY130" s="334">
        <f t="shared" si="135"/>
        <v>0.23425106576155919</v>
      </c>
      <c r="AZ130" s="334"/>
      <c r="BA130" s="334">
        <f t="shared" si="136"/>
        <v>0.10367121536801463</v>
      </c>
      <c r="BB130" s="334">
        <f t="shared" si="137"/>
        <v>0.10825481305160728</v>
      </c>
      <c r="BC130" s="334">
        <f t="shared" si="138"/>
        <v>0.20735194115592853</v>
      </c>
      <c r="BD130" s="334"/>
      <c r="BE130" s="334">
        <f t="shared" si="139"/>
        <v>3.7972782842705088</v>
      </c>
      <c r="BF130" s="334">
        <f t="shared" si="140"/>
        <v>2.4363779387245676</v>
      </c>
      <c r="BG130" s="334">
        <f t="shared" si="141"/>
        <v>2.2629941191523768</v>
      </c>
      <c r="BH130" s="334"/>
      <c r="BI130" s="334">
        <f t="shared" si="142"/>
        <v>0.36464373944285888</v>
      </c>
      <c r="BJ130" s="334">
        <f t="shared" si="143"/>
        <v>0.45371292857712514</v>
      </c>
      <c r="BK130" s="334">
        <f t="shared" si="144"/>
        <v>0.30676024483478076</v>
      </c>
      <c r="BL130" s="334"/>
      <c r="BM130" s="334">
        <f t="shared" si="145"/>
        <v>1.1403470125783903</v>
      </c>
      <c r="BN130" s="334">
        <f t="shared" si="146"/>
        <v>2.0744488674777424</v>
      </c>
      <c r="BO130" s="334">
        <f t="shared" si="147"/>
        <v>1.1179644966463096</v>
      </c>
      <c r="BP130" s="334"/>
      <c r="BQ130" s="334">
        <f t="shared" si="148"/>
        <v>0.25313297609429447</v>
      </c>
      <c r="BR130" s="334">
        <f t="shared" si="149"/>
        <v>0.39039382135738565</v>
      </c>
      <c r="BS130" s="334">
        <f t="shared" si="150"/>
        <v>0.23565916413021337</v>
      </c>
      <c r="BT130" s="334"/>
      <c r="BU130" s="334">
        <f t="shared" si="153"/>
        <v>0.22710778928632183</v>
      </c>
      <c r="BV130" s="334">
        <f t="shared" si="151"/>
        <v>2.0491875122530083E-4</v>
      </c>
      <c r="BW130" s="334">
        <f t="shared" si="152"/>
        <v>0.39992781845740255</v>
      </c>
    </row>
    <row r="131" spans="3:75" x14ac:dyDescent="0.2">
      <c r="C131" s="334">
        <f t="shared" si="100"/>
        <v>3.0403902623367857E-2</v>
      </c>
      <c r="D131" s="334">
        <f t="shared" si="101"/>
        <v>3.4157486822084054E-2</v>
      </c>
      <c r="E131" s="334">
        <f t="shared" si="102"/>
        <v>0.18081930778574573</v>
      </c>
      <c r="G131" s="334">
        <f t="shared" si="103"/>
        <v>0.32725636079962339</v>
      </c>
      <c r="H131" s="334">
        <f t="shared" si="104"/>
        <v>0.46862707712847107</v>
      </c>
      <c r="I131" s="334">
        <f t="shared" si="105"/>
        <v>0.30147220212917381</v>
      </c>
      <c r="J131" s="334"/>
      <c r="K131" s="334">
        <f t="shared" si="106"/>
        <v>0.27833375723599146</v>
      </c>
      <c r="L131" s="334">
        <f t="shared" si="107"/>
        <v>1.5996161228563451E-2</v>
      </c>
      <c r="M131" s="334">
        <f t="shared" si="108"/>
        <v>0.15133029509630086</v>
      </c>
      <c r="N131" s="334"/>
      <c r="O131" s="334">
        <f t="shared" si="109"/>
        <v>1.4025659705004575E-2</v>
      </c>
      <c r="P131" s="334">
        <f t="shared" si="110"/>
        <v>6.9491034267484666E-2</v>
      </c>
      <c r="Q131" s="334">
        <f t="shared" si="111"/>
        <v>0.21683129549068325</v>
      </c>
      <c r="R131" s="334"/>
      <c r="S131" s="334">
        <f t="shared" si="112"/>
        <v>3.6800828171032007</v>
      </c>
      <c r="T131" s="334">
        <f t="shared" si="113"/>
        <v>1.7499698748800472</v>
      </c>
      <c r="U131" s="334">
        <f t="shared" si="114"/>
        <v>1.4386725674244729</v>
      </c>
      <c r="W131" s="334">
        <f t="shared" si="115"/>
        <v>0.25900151365413504</v>
      </c>
      <c r="X131" s="334">
        <f t="shared" si="116"/>
        <v>0.29637688133504919</v>
      </c>
      <c r="Y131" s="334">
        <f t="shared" si="117"/>
        <v>0.23864927725511154</v>
      </c>
      <c r="Z131" s="334"/>
      <c r="AA131" s="334">
        <f t="shared" si="118"/>
        <v>1.4034834399205223</v>
      </c>
      <c r="AB131" s="334">
        <f t="shared" si="119"/>
        <v>1.9018773912444451</v>
      </c>
      <c r="AC131" s="334">
        <f t="shared" si="120"/>
        <v>1.1744973530402918</v>
      </c>
      <c r="AD131" s="334"/>
      <c r="AE131" s="334">
        <f t="shared" si="121"/>
        <v>0.34109775711807655</v>
      </c>
      <c r="AF131" s="334">
        <f t="shared" si="122"/>
        <v>0.48346867949129191</v>
      </c>
      <c r="AG131" s="334">
        <f t="shared" si="123"/>
        <v>0.29051465614655808</v>
      </c>
      <c r="AH131" s="334"/>
      <c r="AI131" s="334">
        <f t="shared" si="124"/>
        <v>7.8554071321717933E-2</v>
      </c>
      <c r="AJ131" s="334">
        <f t="shared" si="125"/>
        <v>1.3687520456728262E-9</v>
      </c>
      <c r="AK131" s="334">
        <f t="shared" si="126"/>
        <v>0.28604987411406574</v>
      </c>
      <c r="AL131" s="334"/>
      <c r="AM131" s="334"/>
      <c r="AN131" s="334"/>
      <c r="AO131" s="334">
        <f t="shared" si="127"/>
        <v>3.440982818727855E-2</v>
      </c>
      <c r="AP131" s="334">
        <f t="shared" si="128"/>
        <v>2.2143483803473626E-2</v>
      </c>
      <c r="AQ131" s="334">
        <f t="shared" si="129"/>
        <v>0.26377170881892475</v>
      </c>
      <c r="AR131" s="334"/>
      <c r="AS131" s="334">
        <f t="shared" si="130"/>
        <v>0.35224478509241025</v>
      </c>
      <c r="AT131" s="334">
        <f t="shared" si="131"/>
        <v>0.4591416169611286</v>
      </c>
      <c r="AU131" s="334">
        <f t="shared" si="132"/>
        <v>0.20813351313544662</v>
      </c>
      <c r="AV131" s="334"/>
      <c r="AW131" s="334">
        <f t="shared" si="133"/>
        <v>0.20411373020006568</v>
      </c>
      <c r="AX131" s="334">
        <f t="shared" si="134"/>
        <v>0.16319404638982471</v>
      </c>
      <c r="AY131" s="334">
        <f t="shared" si="135"/>
        <v>0.22086667104591853</v>
      </c>
      <c r="AZ131" s="334"/>
      <c r="BA131" s="334">
        <f t="shared" si="136"/>
        <v>7.8387286271286244E-2</v>
      </c>
      <c r="BB131" s="334">
        <f t="shared" si="137"/>
        <v>7.7215690836956466E-2</v>
      </c>
      <c r="BC131" s="334">
        <f t="shared" si="138"/>
        <v>0.19976368769478992</v>
      </c>
      <c r="BD131" s="334"/>
      <c r="BE131" s="334">
        <f t="shared" si="139"/>
        <v>1.1289350477803686</v>
      </c>
      <c r="BF131" s="334">
        <f t="shared" si="140"/>
        <v>2.3983595354912532</v>
      </c>
      <c r="BG131" s="334">
        <f t="shared" si="141"/>
        <v>2.1352856875619182</v>
      </c>
      <c r="BH131" s="334"/>
      <c r="BI131" s="334">
        <f t="shared" si="142"/>
        <v>0.32637221373015474</v>
      </c>
      <c r="BJ131" s="334">
        <f t="shared" si="143"/>
        <v>0.28269861213251563</v>
      </c>
      <c r="BK131" s="334">
        <f t="shared" si="144"/>
        <v>0.28918547515960324</v>
      </c>
      <c r="BL131" s="334"/>
      <c r="BM131" s="334">
        <f t="shared" si="145"/>
        <v>1.1053540175317895</v>
      </c>
      <c r="BN131" s="334">
        <f t="shared" si="146"/>
        <v>1.5102596459903486</v>
      </c>
      <c r="BO131" s="334">
        <f t="shared" si="147"/>
        <v>1.1206788064444988</v>
      </c>
      <c r="BP131" s="334"/>
      <c r="BQ131" s="334">
        <f t="shared" si="148"/>
        <v>0.30721619373123393</v>
      </c>
      <c r="BR131" s="334">
        <f t="shared" si="149"/>
        <v>0.44514882226796487</v>
      </c>
      <c r="BS131" s="334">
        <f t="shared" si="150"/>
        <v>0.1957625346166447</v>
      </c>
      <c r="BT131" s="334"/>
      <c r="BU131" s="334">
        <f t="shared" si="153"/>
        <v>0.17384393492596434</v>
      </c>
      <c r="BV131" s="334">
        <f t="shared" si="151"/>
        <v>2.0881996674148756E-5</v>
      </c>
      <c r="BW131" s="334">
        <f t="shared" si="152"/>
        <v>0.34961772638531463</v>
      </c>
    </row>
    <row r="132" spans="3:75" x14ac:dyDescent="0.2">
      <c r="C132" s="334">
        <f t="shared" si="100"/>
        <v>1.9038372517624916E-2</v>
      </c>
      <c r="D132" s="334">
        <f t="shared" si="101"/>
        <v>1.6284842121582419E-2</v>
      </c>
      <c r="E132" s="334">
        <f t="shared" si="102"/>
        <v>0.14418161491133083</v>
      </c>
      <c r="G132" s="334">
        <f t="shared" si="103"/>
        <v>0.2983437847347844</v>
      </c>
      <c r="H132" s="334">
        <f t="shared" si="104"/>
        <v>0.43800645281942019</v>
      </c>
      <c r="I132" s="334">
        <f t="shared" si="105"/>
        <v>0.18925337078341353</v>
      </c>
      <c r="J132" s="334"/>
      <c r="K132" s="334">
        <f t="shared" si="106"/>
        <v>0.21353305612922224</v>
      </c>
      <c r="L132" s="334">
        <f t="shared" si="107"/>
        <v>4.881369659343656E-3</v>
      </c>
      <c r="M132" s="334">
        <f t="shared" si="108"/>
        <v>0.10740601702020165</v>
      </c>
      <c r="N132" s="334"/>
      <c r="O132" s="334">
        <f t="shared" si="109"/>
        <v>6.0624721430688078E-3</v>
      </c>
      <c r="P132" s="334">
        <f t="shared" si="110"/>
        <v>4.9874950639495874E-2</v>
      </c>
      <c r="Q132" s="334">
        <f t="shared" si="111"/>
        <v>0.19096451439246287</v>
      </c>
      <c r="R132" s="334"/>
      <c r="S132" s="334">
        <f t="shared" si="112"/>
        <v>3.3383445567718621</v>
      </c>
      <c r="T132" s="334">
        <f t="shared" si="113"/>
        <v>1.7384057520685792</v>
      </c>
      <c r="U132" s="334">
        <f t="shared" si="114"/>
        <v>1.3873176888880121</v>
      </c>
      <c r="W132" s="334">
        <f t="shared" si="115"/>
        <v>0.18817258025711683</v>
      </c>
      <c r="X132" s="334">
        <f t="shared" si="116"/>
        <v>0.12720629134707082</v>
      </c>
      <c r="Y132" s="334">
        <f t="shared" si="117"/>
        <v>0.20300771673294007</v>
      </c>
      <c r="Z132" s="334"/>
      <c r="AA132" s="334">
        <f t="shared" si="118"/>
        <v>1.1455600099467396</v>
      </c>
      <c r="AB132" s="334">
        <f t="shared" si="119"/>
        <v>1.3426299573896492</v>
      </c>
      <c r="AC132" s="334">
        <f t="shared" si="120"/>
        <v>0.93009954063076494</v>
      </c>
      <c r="AD132" s="334"/>
      <c r="AE132" s="334">
        <f t="shared" si="121"/>
        <v>0.37828264855694865</v>
      </c>
      <c r="AF132" s="334">
        <f t="shared" si="122"/>
        <v>0.24851011187015937</v>
      </c>
      <c r="AG132" s="334">
        <f t="shared" si="123"/>
        <v>0.20409245392272224</v>
      </c>
      <c r="AH132" s="334"/>
      <c r="AI132" s="334">
        <f t="shared" si="124"/>
        <v>4.7047493307048542E-2</v>
      </c>
      <c r="AJ132" s="334">
        <f t="shared" si="125"/>
        <v>1.0636308276250502E-11</v>
      </c>
      <c r="AK132" s="334">
        <f t="shared" si="126"/>
        <v>0.20288561003485611</v>
      </c>
      <c r="AL132" s="334"/>
      <c r="AM132" s="334"/>
      <c r="AN132" s="334"/>
      <c r="AO132" s="334">
        <f t="shared" si="127"/>
        <v>1.6289148153197649E-2</v>
      </c>
      <c r="AP132" s="334">
        <f t="shared" si="128"/>
        <v>9.4386361089801359E-3</v>
      </c>
      <c r="AQ132" s="334">
        <f t="shared" si="129"/>
        <v>0.24600167431656852</v>
      </c>
      <c r="AR132" s="334"/>
      <c r="AS132" s="334">
        <f t="shared" si="130"/>
        <v>0.27445216922522664</v>
      </c>
      <c r="AT132" s="334">
        <f t="shared" si="131"/>
        <v>0.43210800001001137</v>
      </c>
      <c r="AU132" s="334">
        <f t="shared" si="132"/>
        <v>0.12741022417474715</v>
      </c>
      <c r="AV132" s="334"/>
      <c r="AW132" s="334">
        <f t="shared" si="133"/>
        <v>0.14240995213266724</v>
      </c>
      <c r="AX132" s="334">
        <f t="shared" si="134"/>
        <v>7.3806812424834875E-2</v>
      </c>
      <c r="AY132" s="334">
        <f t="shared" si="135"/>
        <v>0.19688513249668702</v>
      </c>
      <c r="AZ132" s="334"/>
      <c r="BA132" s="334">
        <f t="shared" si="136"/>
        <v>5.6379595045330112E-2</v>
      </c>
      <c r="BB132" s="334">
        <f t="shared" si="137"/>
        <v>5.1655566772004627E-2</v>
      </c>
      <c r="BC132" s="334">
        <f t="shared" si="138"/>
        <v>0.18999942685188245</v>
      </c>
      <c r="BD132" s="334"/>
      <c r="BE132" s="334">
        <f t="shared" si="139"/>
        <v>0.22167087685856451</v>
      </c>
      <c r="BF132" s="334">
        <f t="shared" si="140"/>
        <v>2.3102861427500607</v>
      </c>
      <c r="BG132" s="334">
        <f t="shared" si="141"/>
        <v>1.9791695991996305</v>
      </c>
      <c r="BH132" s="334"/>
      <c r="BI132" s="334">
        <f t="shared" si="142"/>
        <v>0.26964331680589404</v>
      </c>
      <c r="BJ132" s="334">
        <f t="shared" si="143"/>
        <v>0.1419420401639582</v>
      </c>
      <c r="BK132" s="334">
        <f t="shared" si="144"/>
        <v>0.26232087200074627</v>
      </c>
      <c r="BL132" s="334"/>
      <c r="BM132" s="334">
        <f t="shared" si="145"/>
        <v>1.0548047170979475</v>
      </c>
      <c r="BN132" s="334">
        <f t="shared" si="146"/>
        <v>0.99377593570715783</v>
      </c>
      <c r="BO132" s="334">
        <f t="shared" si="147"/>
        <v>1.1055564475874038</v>
      </c>
      <c r="BP132" s="334"/>
      <c r="BQ132" s="334">
        <f t="shared" si="148"/>
        <v>0.29911990241171171</v>
      </c>
      <c r="BR132" s="334">
        <f t="shared" si="149"/>
        <v>0.32118532303731651</v>
      </c>
      <c r="BS132" s="334">
        <f t="shared" si="150"/>
        <v>0.146609583628074</v>
      </c>
      <c r="BT132" s="334"/>
      <c r="BU132" s="334">
        <f t="shared" si="153"/>
        <v>0.12815877342264728</v>
      </c>
      <c r="BV132" s="334">
        <f t="shared" si="151"/>
        <v>1.6357253967024216E-6</v>
      </c>
      <c r="BW132" s="334">
        <f t="shared" si="152"/>
        <v>0.29359244377571264</v>
      </c>
    </row>
    <row r="133" spans="3:75" x14ac:dyDescent="0.2">
      <c r="C133" s="334">
        <f t="shared" si="100"/>
        <v>1.1296321954693862E-2</v>
      </c>
      <c r="D133" s="334">
        <f t="shared" si="101"/>
        <v>6.9314235731543312E-3</v>
      </c>
      <c r="E133" s="334">
        <f t="shared" si="102"/>
        <v>0.11103111389235938</v>
      </c>
      <c r="G133" s="334">
        <f t="shared" si="103"/>
        <v>0.26335347409911358</v>
      </c>
      <c r="H133" s="334">
        <f t="shared" si="104"/>
        <v>0.39588690366962126</v>
      </c>
      <c r="I133" s="334">
        <f t="shared" si="105"/>
        <v>0.10619533219933107</v>
      </c>
      <c r="J133" s="334"/>
      <c r="K133" s="334">
        <f t="shared" si="106"/>
        <v>0.14052733809304829</v>
      </c>
      <c r="L133" s="334">
        <f t="shared" si="107"/>
        <v>1.2285278100288245E-3</v>
      </c>
      <c r="M133" s="334">
        <f t="shared" si="108"/>
        <v>7.0590931812162042E-2</v>
      </c>
      <c r="N133" s="334"/>
      <c r="O133" s="334">
        <f t="shared" si="109"/>
        <v>2.3640557833012779E-3</v>
      </c>
      <c r="P133" s="334">
        <f t="shared" si="110"/>
        <v>3.4159332725167267E-2</v>
      </c>
      <c r="Q133" s="334">
        <f t="shared" si="111"/>
        <v>0.16433275851070483</v>
      </c>
      <c r="R133" s="334"/>
      <c r="S133" s="334">
        <f t="shared" si="112"/>
        <v>2.9106747348048621</v>
      </c>
      <c r="T133" s="334">
        <f t="shared" si="113"/>
        <v>1.70610948756726</v>
      </c>
      <c r="U133" s="334">
        <f t="shared" si="114"/>
        <v>1.3280800773375199</v>
      </c>
      <c r="W133" s="334">
        <f t="shared" si="115"/>
        <v>0.12508835826773476</v>
      </c>
      <c r="X133" s="334">
        <f t="shared" si="116"/>
        <v>4.1096785929135279E-2</v>
      </c>
      <c r="Y133" s="334">
        <f t="shared" si="117"/>
        <v>0.16622667438028063</v>
      </c>
      <c r="Z133" s="334"/>
      <c r="AA133" s="334">
        <f t="shared" si="118"/>
        <v>0.89285363754880098</v>
      </c>
      <c r="AB133" s="334">
        <f t="shared" si="119"/>
        <v>0.8567492520562946</v>
      </c>
      <c r="AC133" s="334">
        <f t="shared" si="120"/>
        <v>0.70347397499455055</v>
      </c>
      <c r="AD133" s="334"/>
      <c r="AE133" s="334">
        <f t="shared" si="121"/>
        <v>0.30242537312197049</v>
      </c>
      <c r="AF133" s="334">
        <f t="shared" si="122"/>
        <v>6.7481826862839031E-2</v>
      </c>
      <c r="AG133" s="334">
        <f t="shared" si="123"/>
        <v>0.11869887252143213</v>
      </c>
      <c r="AH133" s="334"/>
      <c r="AI133" s="334">
        <f t="shared" si="124"/>
        <v>2.6634554326633787E-2</v>
      </c>
      <c r="AJ133" s="334">
        <f t="shared" si="125"/>
        <v>4.9935231479973109E-14</v>
      </c>
      <c r="AK133" s="334">
        <f t="shared" si="126"/>
        <v>0.13480503466572905</v>
      </c>
      <c r="AL133" s="334"/>
      <c r="AM133" s="334"/>
      <c r="AN133" s="334"/>
      <c r="AO133" s="334">
        <f t="shared" si="127"/>
        <v>6.8707039353734026E-3</v>
      </c>
      <c r="AP133" s="334">
        <f t="shared" si="128"/>
        <v>3.5565224907509584E-3</v>
      </c>
      <c r="AQ133" s="334">
        <f t="shared" si="129"/>
        <v>0.22392964536237148</v>
      </c>
      <c r="AR133" s="334"/>
      <c r="AS133" s="334">
        <f t="shared" si="130"/>
        <v>0.20044733858651942</v>
      </c>
      <c r="AT133" s="334">
        <f t="shared" si="131"/>
        <v>0.39395789658361302</v>
      </c>
      <c r="AU133" s="334">
        <f t="shared" si="132"/>
        <v>7.0927300901567236E-2</v>
      </c>
      <c r="AV133" s="334"/>
      <c r="AW133" s="334">
        <f t="shared" si="133"/>
        <v>8.7344947595586517E-2</v>
      </c>
      <c r="AX133" s="334">
        <f t="shared" si="134"/>
        <v>2.5996963601614104E-2</v>
      </c>
      <c r="AY133" s="334">
        <f t="shared" si="135"/>
        <v>0.165931861703498</v>
      </c>
      <c r="AZ133" s="334"/>
      <c r="BA133" s="334">
        <f t="shared" si="136"/>
        <v>3.857333219760823E-2</v>
      </c>
      <c r="BB133" s="334">
        <f t="shared" si="137"/>
        <v>3.2410215848872818E-2</v>
      </c>
      <c r="BC133" s="334">
        <f t="shared" si="138"/>
        <v>0.17840841634620791</v>
      </c>
      <c r="BD133" s="334"/>
      <c r="BE133" s="334">
        <f t="shared" si="139"/>
        <v>2.8746930270603661E-2</v>
      </c>
      <c r="BF133" s="334">
        <f t="shared" si="140"/>
        <v>2.1777053252488505</v>
      </c>
      <c r="BG133" s="334">
        <f t="shared" si="141"/>
        <v>1.8020402719868562</v>
      </c>
      <c r="BH133" s="334"/>
      <c r="BI133" s="334">
        <f t="shared" si="142"/>
        <v>0.20563555696199728</v>
      </c>
      <c r="BJ133" s="334">
        <f t="shared" si="143"/>
        <v>5.7430586962983983E-2</v>
      </c>
      <c r="BK133" s="334">
        <f t="shared" si="144"/>
        <v>0.22896451992601113</v>
      </c>
      <c r="BL133" s="334"/>
      <c r="BM133" s="334">
        <f t="shared" si="145"/>
        <v>0.99094382749161525</v>
      </c>
      <c r="BN133" s="334">
        <f t="shared" si="146"/>
        <v>0.5910351473780201</v>
      </c>
      <c r="BO133" s="334">
        <f t="shared" si="147"/>
        <v>1.0733152506139276</v>
      </c>
      <c r="BP133" s="334"/>
      <c r="BQ133" s="334">
        <f t="shared" si="148"/>
        <v>0.23364276873956535</v>
      </c>
      <c r="BR133" s="334">
        <f t="shared" si="149"/>
        <v>0.14664063203494956</v>
      </c>
      <c r="BS133" s="334">
        <f t="shared" si="150"/>
        <v>9.8988028772082931E-2</v>
      </c>
      <c r="BT133" s="334"/>
      <c r="BU133" s="334">
        <f t="shared" si="153"/>
        <v>9.0990997421321843E-2</v>
      </c>
      <c r="BV133" s="334">
        <f t="shared" si="151"/>
        <v>9.8491062820261748E-8</v>
      </c>
      <c r="BW133" s="334">
        <f t="shared" si="152"/>
        <v>0.23682955733343311</v>
      </c>
    </row>
    <row r="134" spans="3:75" x14ac:dyDescent="0.2">
      <c r="C134" s="334">
        <f t="shared" si="100"/>
        <v>6.351130800423016E-3</v>
      </c>
      <c r="D134" s="334">
        <f t="shared" si="101"/>
        <v>2.6339199327818025E-3</v>
      </c>
      <c r="E134" s="334">
        <f t="shared" si="102"/>
        <v>8.2575124293409297E-2</v>
      </c>
      <c r="G134" s="334">
        <f t="shared" si="103"/>
        <v>0.22508899790097447</v>
      </c>
      <c r="H134" s="334">
        <f t="shared" si="104"/>
        <v>0.34601845100804512</v>
      </c>
      <c r="I134" s="334">
        <f t="shared" si="105"/>
        <v>5.3263866145678893E-2</v>
      </c>
      <c r="J134" s="334"/>
      <c r="K134" s="334">
        <f t="shared" si="106"/>
        <v>7.9332838632650934E-2</v>
      </c>
      <c r="L134" s="334">
        <f t="shared" si="107"/>
        <v>2.5500321537622013E-4</v>
      </c>
      <c r="M134" s="334">
        <f t="shared" si="108"/>
        <v>4.2962227224257271E-2</v>
      </c>
      <c r="N134" s="334"/>
      <c r="O134" s="334">
        <f t="shared" si="109"/>
        <v>8.3166263513815176E-4</v>
      </c>
      <c r="P134" s="334">
        <f t="shared" si="110"/>
        <v>2.2325925665802517E-2</v>
      </c>
      <c r="Q134" s="334">
        <f t="shared" si="111"/>
        <v>0.13817719823177826</v>
      </c>
      <c r="R134" s="334"/>
      <c r="S134" s="334">
        <f t="shared" si="112"/>
        <v>2.4391872634965472</v>
      </c>
      <c r="T134" s="334">
        <f t="shared" si="113"/>
        <v>1.6542373252265388</v>
      </c>
      <c r="U134" s="334">
        <f t="shared" si="114"/>
        <v>1.2621383904652022</v>
      </c>
      <c r="W134" s="334">
        <f t="shared" si="115"/>
        <v>7.6082357250611743E-2</v>
      </c>
      <c r="X134" s="334">
        <f t="shared" si="116"/>
        <v>9.9940639718726649E-3</v>
      </c>
      <c r="Y134" s="334">
        <f t="shared" si="117"/>
        <v>0.13101608936866005</v>
      </c>
      <c r="Z134" s="334"/>
      <c r="AA134" s="334">
        <f t="shared" si="118"/>
        <v>0.66449937362882949</v>
      </c>
      <c r="AB134" s="334">
        <f t="shared" si="119"/>
        <v>0.49416811277181355</v>
      </c>
      <c r="AC134" s="334">
        <f t="shared" si="120"/>
        <v>0.50816863802917889</v>
      </c>
      <c r="AD134" s="334"/>
      <c r="AE134" s="334">
        <f t="shared" si="121"/>
        <v>0.17429473799252604</v>
      </c>
      <c r="AF134" s="334">
        <f t="shared" si="122"/>
        <v>9.6804744640153224E-3</v>
      </c>
      <c r="AG134" s="334">
        <f t="shared" si="123"/>
        <v>5.715141477893184E-2</v>
      </c>
      <c r="AH134" s="334"/>
      <c r="AI134" s="334">
        <f t="shared" si="124"/>
        <v>1.4252647158156419E-2</v>
      </c>
      <c r="AJ134" s="334">
        <f t="shared" si="125"/>
        <v>1.416358636422561E-16</v>
      </c>
      <c r="AK134" s="334">
        <f t="shared" si="126"/>
        <v>8.3908578324174157E-2</v>
      </c>
      <c r="AL134" s="334"/>
      <c r="AM134" s="334"/>
      <c r="AN134" s="334"/>
      <c r="AO134" s="334">
        <f t="shared" si="127"/>
        <v>2.5822072053113291E-3</v>
      </c>
      <c r="AP134" s="334">
        <f t="shared" si="128"/>
        <v>1.1846632015602573E-3</v>
      </c>
      <c r="AQ134" s="334">
        <f t="shared" si="129"/>
        <v>0.19895222518397759</v>
      </c>
      <c r="AR134" s="334"/>
      <c r="AS134" s="334">
        <f t="shared" si="130"/>
        <v>0.13722885888943798</v>
      </c>
      <c r="AT134" s="334">
        <f t="shared" si="131"/>
        <v>0.3479518650777727</v>
      </c>
      <c r="AU134" s="334">
        <f t="shared" si="132"/>
        <v>3.590620245686281E-2</v>
      </c>
      <c r="AV134" s="334"/>
      <c r="AW134" s="334">
        <f t="shared" si="133"/>
        <v>4.7093889882229303E-2</v>
      </c>
      <c r="AX134" s="334">
        <f t="shared" si="134"/>
        <v>7.1315320953619339E-3</v>
      </c>
      <c r="AY134" s="334">
        <f t="shared" si="135"/>
        <v>0.13221501429948937</v>
      </c>
      <c r="AZ134" s="334"/>
      <c r="BA134" s="334">
        <f t="shared" si="136"/>
        <v>2.5103902850235695E-2</v>
      </c>
      <c r="BB134" s="334">
        <f t="shared" si="137"/>
        <v>1.9072162502030837E-2</v>
      </c>
      <c r="BC134" s="334">
        <f t="shared" si="138"/>
        <v>0.16538864479697213</v>
      </c>
      <c r="BD134" s="334"/>
      <c r="BE134" s="334">
        <f t="shared" si="139"/>
        <v>2.4621667656625082E-3</v>
      </c>
      <c r="BF134" s="334">
        <f t="shared" si="140"/>
        <v>2.0086964316344811</v>
      </c>
      <c r="BG134" s="334">
        <f t="shared" si="141"/>
        <v>1.6117602171405863</v>
      </c>
      <c r="BH134" s="334"/>
      <c r="BI134" s="334">
        <f t="shared" si="142"/>
        <v>0.14475675221374332</v>
      </c>
      <c r="BJ134" s="334">
        <f t="shared" si="143"/>
        <v>1.8724934699547207E-2</v>
      </c>
      <c r="BK134" s="334">
        <f t="shared" si="144"/>
        <v>0.19230142538246586</v>
      </c>
      <c r="BL134" s="334"/>
      <c r="BM134" s="334">
        <f t="shared" si="145"/>
        <v>0.91649967366476714</v>
      </c>
      <c r="BN134" s="334">
        <f t="shared" si="146"/>
        <v>0.3177065101781103</v>
      </c>
      <c r="BO134" s="334">
        <f t="shared" si="147"/>
        <v>1.0254637069199179</v>
      </c>
      <c r="BP134" s="334"/>
      <c r="BQ134" s="334">
        <f t="shared" si="148"/>
        <v>0.14640813387827548</v>
      </c>
      <c r="BR134" s="334">
        <f t="shared" si="149"/>
        <v>4.2364406426190084E-2</v>
      </c>
      <c r="BS134" s="334">
        <f t="shared" si="150"/>
        <v>6.0254644151983797E-2</v>
      </c>
      <c r="BT134" s="334"/>
      <c r="BU134" s="334">
        <f t="shared" si="153"/>
        <v>6.2217104243344333E-2</v>
      </c>
      <c r="BV134" s="334">
        <f t="shared" si="151"/>
        <v>4.5585980881777045E-9</v>
      </c>
      <c r="BW134" s="334">
        <f t="shared" si="152"/>
        <v>0.18351287206551115</v>
      </c>
    </row>
    <row r="135" spans="3:75" x14ac:dyDescent="0.2">
      <c r="C135" s="334">
        <f t="shared" si="100"/>
        <v>3.3835438287116233E-3</v>
      </c>
      <c r="D135" s="334">
        <f t="shared" si="101"/>
        <v>8.9356045843902085E-4</v>
      </c>
      <c r="E135" s="334">
        <f t="shared" si="102"/>
        <v>5.9309396292187878E-2</v>
      </c>
      <c r="G135" s="334">
        <f t="shared" si="103"/>
        <v>0.18627846148488306</v>
      </c>
      <c r="H135" s="334">
        <f t="shared" si="104"/>
        <v>0.2924589229550677</v>
      </c>
      <c r="I135" s="334">
        <f t="shared" si="105"/>
        <v>2.3879509355575194E-2</v>
      </c>
      <c r="J135" s="334"/>
      <c r="K135" s="334">
        <f t="shared" si="106"/>
        <v>3.8418609209995597E-2</v>
      </c>
      <c r="L135" s="334">
        <f t="shared" si="107"/>
        <v>4.3653964516633883E-5</v>
      </c>
      <c r="M135" s="334">
        <f t="shared" si="108"/>
        <v>2.4212644795343088E-2</v>
      </c>
      <c r="N135" s="334"/>
      <c r="O135" s="334">
        <f t="shared" si="109"/>
        <v>2.6394787236122422E-4</v>
      </c>
      <c r="P135" s="334">
        <f t="shared" si="110"/>
        <v>1.3924601224809846E-2</v>
      </c>
      <c r="Q135" s="334">
        <f t="shared" si="111"/>
        <v>0.1135244440463696</v>
      </c>
      <c r="R135" s="334"/>
      <c r="S135" s="334">
        <f t="shared" si="112"/>
        <v>1.9646516689266902</v>
      </c>
      <c r="T135" s="334">
        <f t="shared" si="113"/>
        <v>1.5846155136057951</v>
      </c>
      <c r="U135" s="334">
        <f t="shared" si="114"/>
        <v>1.190759537756463</v>
      </c>
      <c r="W135" s="334">
        <f t="shared" si="115"/>
        <v>4.234065202943145E-2</v>
      </c>
      <c r="X135" s="334">
        <f t="shared" si="116"/>
        <v>1.8294114445546231E-3</v>
      </c>
      <c r="Y135" s="334">
        <f t="shared" si="117"/>
        <v>9.9399521716536612E-2</v>
      </c>
      <c r="Z135" s="334"/>
      <c r="AA135" s="334">
        <f t="shared" si="118"/>
        <v>0.47223780908425139</v>
      </c>
      <c r="AB135" s="334">
        <f t="shared" si="119"/>
        <v>0.25764355672829126</v>
      </c>
      <c r="AC135" s="334">
        <f t="shared" si="120"/>
        <v>0.35059756875036036</v>
      </c>
      <c r="AD135" s="334"/>
      <c r="AE135" s="334">
        <f t="shared" si="121"/>
        <v>7.2412672018831031E-2</v>
      </c>
      <c r="AF135" s="334">
        <f t="shared" si="122"/>
        <v>7.3362395196984289E-4</v>
      </c>
      <c r="AG135" s="334">
        <f t="shared" si="123"/>
        <v>2.2780755534730336E-2</v>
      </c>
      <c r="AH135" s="334"/>
      <c r="AI135" s="334">
        <f t="shared" si="124"/>
        <v>7.2091952511486685E-3</v>
      </c>
      <c r="AJ135" s="334">
        <f t="shared" si="125"/>
        <v>2.4271097733342666E-19</v>
      </c>
      <c r="AK135" s="334">
        <f t="shared" si="126"/>
        <v>4.892738404566286E-2</v>
      </c>
      <c r="AL135" s="334"/>
      <c r="AM135" s="334"/>
      <c r="AN135" s="334"/>
      <c r="AO135" s="334">
        <f t="shared" si="127"/>
        <v>8.6470492942735257E-4</v>
      </c>
      <c r="AP135" s="334">
        <f t="shared" si="128"/>
        <v>3.4883275662403045E-4</v>
      </c>
      <c r="AQ135" s="334">
        <f t="shared" si="129"/>
        <v>0.17252406749897853</v>
      </c>
      <c r="AR135" s="334"/>
      <c r="AS135" s="334">
        <f t="shared" si="130"/>
        <v>8.8064756946078279E-2</v>
      </c>
      <c r="AT135" s="334">
        <f t="shared" si="131"/>
        <v>0.29771477135406049</v>
      </c>
      <c r="AU135" s="334">
        <f t="shared" si="132"/>
        <v>1.6529982957576444E-2</v>
      </c>
      <c r="AV135" s="334"/>
      <c r="AW135" s="334">
        <f t="shared" si="133"/>
        <v>2.2321360757523993E-2</v>
      </c>
      <c r="AX135" s="334">
        <f t="shared" si="134"/>
        <v>1.5236215065147194E-3</v>
      </c>
      <c r="AY135" s="334">
        <f t="shared" si="135"/>
        <v>9.9601503352644852E-2</v>
      </c>
      <c r="AZ135" s="334"/>
      <c r="BA135" s="334">
        <f t="shared" si="136"/>
        <v>1.5541188084797286E-2</v>
      </c>
      <c r="BB135" s="334">
        <f t="shared" si="137"/>
        <v>1.0526189303657273E-2</v>
      </c>
      <c r="BC135" s="334">
        <f t="shared" si="138"/>
        <v>0.1513642600045888</v>
      </c>
      <c r="BD135" s="334"/>
      <c r="BE135" s="334">
        <f t="shared" si="139"/>
        <v>1.3927931023035279E-4</v>
      </c>
      <c r="BF135" s="334">
        <f t="shared" si="140"/>
        <v>1.8130565828533234</v>
      </c>
      <c r="BG135" s="334">
        <f t="shared" si="141"/>
        <v>1.4160899158428693</v>
      </c>
      <c r="BH135" s="334"/>
      <c r="BI135" s="334">
        <f t="shared" si="142"/>
        <v>9.4061417067675068E-2</v>
      </c>
      <c r="BJ135" s="334">
        <f t="shared" si="143"/>
        <v>4.9197407037905446E-3</v>
      </c>
      <c r="BK135" s="334">
        <f t="shared" si="144"/>
        <v>0.15540886475881605</v>
      </c>
      <c r="BL135" s="334"/>
      <c r="BM135" s="334">
        <f t="shared" si="145"/>
        <v>0.83449146045742972</v>
      </c>
      <c r="BN135" s="334">
        <f t="shared" si="146"/>
        <v>0.15435720082253895</v>
      </c>
      <c r="BO135" s="334">
        <f t="shared" si="147"/>
        <v>0.96418396460531874</v>
      </c>
      <c r="BP135" s="334"/>
      <c r="BQ135" s="334">
        <f t="shared" si="148"/>
        <v>7.3601030245774843E-2</v>
      </c>
      <c r="BR135" s="334">
        <f t="shared" si="149"/>
        <v>7.744548386048742E-3</v>
      </c>
      <c r="BS135" s="334">
        <f t="shared" si="150"/>
        <v>3.3066323523168711E-2</v>
      </c>
      <c r="BT135" s="334"/>
      <c r="BU135" s="334">
        <f t="shared" si="153"/>
        <v>4.0971554997365198E-2</v>
      </c>
      <c r="BV135" s="334">
        <f t="shared" si="151"/>
        <v>1.6218617701228414E-10</v>
      </c>
      <c r="BW135" s="334">
        <f t="shared" si="152"/>
        <v>0.13659561593196087</v>
      </c>
    </row>
    <row r="136" spans="3:75" x14ac:dyDescent="0.2">
      <c r="C136" s="334">
        <f t="shared" si="100"/>
        <v>1.7080450061589304E-3</v>
      </c>
      <c r="D136" s="334">
        <f t="shared" si="101"/>
        <v>2.706366188519979E-4</v>
      </c>
      <c r="E136" s="334">
        <f t="shared" si="102"/>
        <v>4.1140304210812252E-2</v>
      </c>
      <c r="G136" s="334">
        <f t="shared" si="103"/>
        <v>0.14926712766291755</v>
      </c>
      <c r="H136" s="334">
        <f t="shared" si="104"/>
        <v>0.23903857493971395</v>
      </c>
      <c r="I136" s="334">
        <f t="shared" si="105"/>
        <v>9.5693748339746518E-3</v>
      </c>
      <c r="J136" s="334"/>
      <c r="K136" s="334">
        <f t="shared" si="106"/>
        <v>1.5959774620288317E-2</v>
      </c>
      <c r="L136" s="334">
        <f t="shared" si="107"/>
        <v>6.163382141096813E-6</v>
      </c>
      <c r="M136" s="334">
        <f t="shared" si="108"/>
        <v>1.2636163718725607E-2</v>
      </c>
      <c r="N136" s="334"/>
      <c r="O136" s="334">
        <f t="shared" si="109"/>
        <v>7.5573693324673216E-5</v>
      </c>
      <c r="P136" s="334">
        <f t="shared" si="110"/>
        <v>8.2876090332278714E-3</v>
      </c>
      <c r="Q136" s="334">
        <f t="shared" si="111"/>
        <v>9.1134570137763021E-2</v>
      </c>
      <c r="R136" s="334"/>
      <c r="S136" s="334">
        <f t="shared" si="112"/>
        <v>1.520949973692584</v>
      </c>
      <c r="T136" s="334">
        <f t="shared" si="113"/>
        <v>1.499633595125281</v>
      </c>
      <c r="U136" s="334">
        <f t="shared" si="114"/>
        <v>1.1152584890815129</v>
      </c>
      <c r="W136" s="334">
        <f t="shared" si="115"/>
        <v>2.1559448053735494E-2</v>
      </c>
      <c r="X136" s="334">
        <f t="shared" si="116"/>
        <v>2.5206680580546224E-4</v>
      </c>
      <c r="Y136" s="334">
        <f t="shared" si="117"/>
        <v>7.259048591558552E-2</v>
      </c>
      <c r="Z136" s="334"/>
      <c r="AA136" s="334">
        <f t="shared" si="118"/>
        <v>0.32046367636215273</v>
      </c>
      <c r="AB136" s="334">
        <f t="shared" si="119"/>
        <v>0.12141921954434058</v>
      </c>
      <c r="AC136" s="334">
        <f t="shared" si="120"/>
        <v>0.23102084041165413</v>
      </c>
      <c r="AD136" s="334"/>
      <c r="AE136" s="334">
        <f t="shared" si="121"/>
        <v>2.1687481276984274E-2</v>
      </c>
      <c r="AF136" s="334">
        <f t="shared" si="122"/>
        <v>2.9370910273782263E-5</v>
      </c>
      <c r="AG136" s="334">
        <f t="shared" si="123"/>
        <v>7.5174406335784495E-3</v>
      </c>
      <c r="AH136" s="334"/>
      <c r="AI136" s="334">
        <f t="shared" si="124"/>
        <v>3.4468247020255503E-3</v>
      </c>
      <c r="AJ136" s="334">
        <f t="shared" si="125"/>
        <v>2.5127866692797175E-22</v>
      </c>
      <c r="AK136" s="334">
        <f t="shared" si="126"/>
        <v>2.6726556868003341E-2</v>
      </c>
      <c r="AL136" s="334"/>
      <c r="AM136" s="334"/>
      <c r="AN136" s="334"/>
      <c r="AO136" s="334">
        <f t="shared" si="127"/>
        <v>2.5800716885820865E-4</v>
      </c>
      <c r="AP136" s="334">
        <f t="shared" si="128"/>
        <v>9.0801420763061857E-5</v>
      </c>
      <c r="AQ136" s="334">
        <f t="shared" si="129"/>
        <v>0.14602064274599427</v>
      </c>
      <c r="AR136" s="334"/>
      <c r="AS136" s="334">
        <f t="shared" si="130"/>
        <v>5.297492623669902E-2</v>
      </c>
      <c r="AT136" s="334">
        <f t="shared" si="131"/>
        <v>0.24677062041366718</v>
      </c>
      <c r="AU136" s="334">
        <f t="shared" si="132"/>
        <v>6.9202570239458002E-3</v>
      </c>
      <c r="AV136" s="334"/>
      <c r="AW136" s="334">
        <f t="shared" si="133"/>
        <v>9.3004957028638077E-3</v>
      </c>
      <c r="AX136" s="334">
        <f t="shared" si="134"/>
        <v>2.5351600687756115E-4</v>
      </c>
      <c r="AY136" s="334">
        <f t="shared" si="135"/>
        <v>7.0939012342502397E-2</v>
      </c>
      <c r="AZ136" s="334"/>
      <c r="BA136" s="334">
        <f t="shared" si="136"/>
        <v>9.1520012367626649E-3</v>
      </c>
      <c r="BB136" s="334">
        <f t="shared" si="137"/>
        <v>5.4487343734803606E-3</v>
      </c>
      <c r="BC136" s="334">
        <f t="shared" si="138"/>
        <v>0.13676289915246378</v>
      </c>
      <c r="BD136" s="334"/>
      <c r="BE136" s="334">
        <f t="shared" si="139"/>
        <v>5.2035400644404494E-6</v>
      </c>
      <c r="BF136" s="334">
        <f t="shared" si="140"/>
        <v>1.6013647447242534</v>
      </c>
      <c r="BG136" s="334">
        <f t="shared" si="141"/>
        <v>1.2221814475618349</v>
      </c>
      <c r="BH136" s="334"/>
      <c r="BI136" s="334">
        <f t="shared" si="142"/>
        <v>5.6417816196297807E-2</v>
      </c>
      <c r="BJ136" s="334">
        <f t="shared" si="143"/>
        <v>1.0416191620515221E-3</v>
      </c>
      <c r="BK136" s="334">
        <f t="shared" si="144"/>
        <v>0.12085038651302309</v>
      </c>
      <c r="BL136" s="334"/>
      <c r="BM136" s="334">
        <f t="shared" si="145"/>
        <v>0.74802787715740471</v>
      </c>
      <c r="BN136" s="334">
        <f t="shared" si="146"/>
        <v>6.7782198126092527E-2</v>
      </c>
      <c r="BO136" s="334">
        <f t="shared" si="147"/>
        <v>0.89216694830463472</v>
      </c>
      <c r="BP136" s="334"/>
      <c r="BQ136" s="334">
        <f t="shared" si="148"/>
        <v>2.9683042180601256E-2</v>
      </c>
      <c r="BR136" s="334">
        <f t="shared" si="149"/>
        <v>8.9585812889189339E-4</v>
      </c>
      <c r="BS136" s="334">
        <f t="shared" si="150"/>
        <v>1.6359454936541982E-2</v>
      </c>
      <c r="BT136" s="334"/>
      <c r="BU136" s="334">
        <f t="shared" si="153"/>
        <v>2.5984620895073786E-2</v>
      </c>
      <c r="BV136" s="334">
        <f t="shared" si="151"/>
        <v>4.4355187821511414E-12</v>
      </c>
      <c r="BW136" s="334">
        <f t="shared" si="152"/>
        <v>9.7666716902371956E-2</v>
      </c>
    </row>
    <row r="137" spans="3:75" x14ac:dyDescent="0.2">
      <c r="C137" s="334">
        <f t="shared" si="100"/>
        <v>8.1702165476253274E-4</v>
      </c>
      <c r="D137" s="334">
        <f t="shared" si="101"/>
        <v>7.3179665367290492E-5</v>
      </c>
      <c r="E137" s="334">
        <f t="shared" si="102"/>
        <v>2.7560127484161468E-2</v>
      </c>
      <c r="G137" s="334">
        <f t="shared" si="103"/>
        <v>0.11581341504917178</v>
      </c>
      <c r="H137" s="334">
        <f t="shared" si="104"/>
        <v>0.18893333988598196</v>
      </c>
      <c r="I137" s="334">
        <f t="shared" si="105"/>
        <v>3.4277345941115889E-3</v>
      </c>
      <c r="J137" s="334"/>
      <c r="K137" s="334">
        <f t="shared" si="106"/>
        <v>5.6873288372287648E-3</v>
      </c>
      <c r="L137" s="334">
        <f t="shared" si="107"/>
        <v>7.1768169626202945E-7</v>
      </c>
      <c r="M137" s="334">
        <f t="shared" si="108"/>
        <v>6.1066893460433331E-3</v>
      </c>
      <c r="N137" s="334"/>
      <c r="O137" s="334">
        <f t="shared" si="109"/>
        <v>1.9521115634499638E-5</v>
      </c>
      <c r="P137" s="334">
        <f t="shared" si="110"/>
        <v>4.7070513906274118E-3</v>
      </c>
      <c r="Q137" s="334">
        <f t="shared" si="111"/>
        <v>7.1485453968178514E-2</v>
      </c>
      <c r="R137" s="334"/>
      <c r="S137" s="334">
        <f t="shared" si="112"/>
        <v>1.1317050354334646</v>
      </c>
      <c r="T137" s="334">
        <f t="shared" si="113"/>
        <v>1.4021083916522425</v>
      </c>
      <c r="U137" s="334">
        <f t="shared" si="114"/>
        <v>1.0369585180600214</v>
      </c>
      <c r="W137" s="334">
        <f t="shared" si="115"/>
        <v>1.0044405782930794E-2</v>
      </c>
      <c r="X137" s="334">
        <f t="shared" si="116"/>
        <v>2.6142969979355579E-5</v>
      </c>
      <c r="Y137" s="334">
        <f t="shared" si="117"/>
        <v>5.1028271648219201E-2</v>
      </c>
      <c r="Z137" s="334"/>
      <c r="AA137" s="334">
        <f t="shared" si="118"/>
        <v>0.20765803577214659</v>
      </c>
      <c r="AB137" s="334">
        <f t="shared" si="119"/>
        <v>5.1722459894822756E-2</v>
      </c>
      <c r="AC137" s="334">
        <f t="shared" si="120"/>
        <v>0.14539003350591231</v>
      </c>
      <c r="AD137" s="334"/>
      <c r="AE137" s="334">
        <f t="shared" si="121"/>
        <v>4.6823934962220287E-3</v>
      </c>
      <c r="AF137" s="334">
        <f t="shared" si="122"/>
        <v>6.2119558009189972E-7</v>
      </c>
      <c r="AG137" s="334">
        <f t="shared" si="123"/>
        <v>2.0536793505906343E-3</v>
      </c>
      <c r="AH137" s="334"/>
      <c r="AI137" s="334">
        <f t="shared" si="124"/>
        <v>1.5577320661893837E-3</v>
      </c>
      <c r="AJ137" s="334">
        <f t="shared" si="125"/>
        <v>1.5717079000145185E-25</v>
      </c>
      <c r="AK137" s="334">
        <f t="shared" si="126"/>
        <v>1.3676639916001702E-2</v>
      </c>
      <c r="AL137" s="334"/>
      <c r="AM137" s="334"/>
      <c r="AN137" s="334"/>
      <c r="AO137" s="334">
        <f t="shared" si="127"/>
        <v>6.8593443233358475E-5</v>
      </c>
      <c r="AP137" s="334">
        <f t="shared" si="128"/>
        <v>2.0893974023225158E-5</v>
      </c>
      <c r="AQ137" s="334">
        <f t="shared" si="129"/>
        <v>0.1206264375604596</v>
      </c>
      <c r="AR137" s="334"/>
      <c r="AS137" s="334">
        <f t="shared" si="130"/>
        <v>2.9871024056302081E-2</v>
      </c>
      <c r="AT137" s="334">
        <f t="shared" si="131"/>
        <v>0.19815196274090333</v>
      </c>
      <c r="AU137" s="334">
        <f t="shared" si="132"/>
        <v>2.6346257507876636E-3</v>
      </c>
      <c r="AV137" s="334"/>
      <c r="AW137" s="334">
        <f t="shared" si="133"/>
        <v>3.4065977365049611E-3</v>
      </c>
      <c r="AX137" s="334">
        <f t="shared" si="134"/>
        <v>3.2852446393080652E-5</v>
      </c>
      <c r="AY137" s="334">
        <f t="shared" si="135"/>
        <v>4.7768159528367861E-2</v>
      </c>
      <c r="AZ137" s="334"/>
      <c r="BA137" s="334">
        <f t="shared" si="136"/>
        <v>5.1266870398285602E-3</v>
      </c>
      <c r="BB137" s="334">
        <f t="shared" si="137"/>
        <v>2.6452901789973857E-3</v>
      </c>
      <c r="BC137" s="334">
        <f t="shared" si="138"/>
        <v>0.1219945861729754</v>
      </c>
      <c r="BD137" s="334"/>
      <c r="BE137" s="334">
        <f t="shared" si="139"/>
        <v>1.2839684468859977E-7</v>
      </c>
      <c r="BF137" s="334">
        <f t="shared" si="140"/>
        <v>1.3840475882601875</v>
      </c>
      <c r="BG137" s="334">
        <f t="shared" si="141"/>
        <v>1.0361795155394893</v>
      </c>
      <c r="BH137" s="334"/>
      <c r="BI137" s="334">
        <f t="shared" si="142"/>
        <v>3.1235833104526982E-2</v>
      </c>
      <c r="BJ137" s="334">
        <f t="shared" si="143"/>
        <v>1.7771355425142318E-4</v>
      </c>
      <c r="BK137" s="334">
        <f t="shared" si="144"/>
        <v>9.0427238955219189E-2</v>
      </c>
      <c r="BL137" s="334"/>
      <c r="BM137" s="334">
        <f t="shared" si="145"/>
        <v>0.66011556624241108</v>
      </c>
      <c r="BN137" s="334">
        <f t="shared" si="146"/>
        <v>2.6902483701932593E-2</v>
      </c>
      <c r="BO137" s="334">
        <f t="shared" si="147"/>
        <v>0.81241694190303071</v>
      </c>
      <c r="BP137" s="334"/>
      <c r="BQ137" s="334">
        <f t="shared" si="148"/>
        <v>9.6037036967489119E-3</v>
      </c>
      <c r="BR137" s="334">
        <f t="shared" si="149"/>
        <v>6.5573829889280984E-5</v>
      </c>
      <c r="BS137" s="334">
        <f t="shared" si="150"/>
        <v>7.2969149363622011E-3</v>
      </c>
      <c r="BT137" s="334"/>
      <c r="BU137" s="334">
        <f t="shared" si="153"/>
        <v>1.5871267366104815E-2</v>
      </c>
      <c r="BV137" s="334">
        <f t="shared" si="151"/>
        <v>9.3244464917934371E-14</v>
      </c>
      <c r="BW137" s="334">
        <f t="shared" si="152"/>
        <v>6.7080457650846248E-2</v>
      </c>
    </row>
    <row r="138" spans="3:75" x14ac:dyDescent="0.2">
      <c r="C138" s="334">
        <f t="shared" si="100"/>
        <v>3.7031779255494062E-4</v>
      </c>
      <c r="D138" s="334">
        <f t="shared" si="101"/>
        <v>1.7665890039147124E-5</v>
      </c>
      <c r="E138" s="334">
        <f t="shared" si="102"/>
        <v>1.7830547289352107E-2</v>
      </c>
      <c r="G138" s="334">
        <f t="shared" si="103"/>
        <v>8.7005502401692178E-2</v>
      </c>
      <c r="H138" s="334">
        <f t="shared" si="104"/>
        <v>0.14440648897851086</v>
      </c>
      <c r="I138" s="334">
        <f t="shared" si="105"/>
        <v>1.0974791117724621E-3</v>
      </c>
      <c r="J138" s="334"/>
      <c r="K138" s="334">
        <f t="shared" si="106"/>
        <v>1.7385468379738762E-3</v>
      </c>
      <c r="L138" s="334">
        <f t="shared" si="107"/>
        <v>6.8922657520525464E-8</v>
      </c>
      <c r="M138" s="334">
        <f t="shared" si="108"/>
        <v>2.7328385859333652E-3</v>
      </c>
      <c r="N138" s="334"/>
      <c r="O138" s="334">
        <f t="shared" si="109"/>
        <v>4.5490438887827719E-6</v>
      </c>
      <c r="P138" s="334">
        <f t="shared" si="110"/>
        <v>2.5511842255687236E-3</v>
      </c>
      <c r="Q138" s="334">
        <f t="shared" si="111"/>
        <v>5.4788949549844014E-2</v>
      </c>
      <c r="R138" s="334"/>
      <c r="S138" s="334">
        <f t="shared" si="112"/>
        <v>0.80935772670895079</v>
      </c>
      <c r="T138" s="334">
        <f t="shared" si="113"/>
        <v>1.2951294713587058</v>
      </c>
      <c r="U138" s="334">
        <f t="shared" si="114"/>
        <v>0.95715353171713424</v>
      </c>
      <c r="W138" s="334">
        <f t="shared" si="115"/>
        <v>4.281711242723466E-3</v>
      </c>
      <c r="X138" s="334">
        <f t="shared" si="116"/>
        <v>2.0409350782926149E-6</v>
      </c>
      <c r="Y138" s="334">
        <f t="shared" si="117"/>
        <v>3.452850385867115E-2</v>
      </c>
      <c r="Z138" s="334"/>
      <c r="AA138" s="334">
        <f t="shared" si="118"/>
        <v>0.12849036081954121</v>
      </c>
      <c r="AB138" s="334">
        <f t="shared" si="119"/>
        <v>1.9915650191064962E-2</v>
      </c>
      <c r="AC138" s="334">
        <f t="shared" si="120"/>
        <v>8.7389515548420588E-2</v>
      </c>
      <c r="AD138" s="334"/>
      <c r="AE138" s="334">
        <f t="shared" si="121"/>
        <v>7.2877076975494501E-4</v>
      </c>
      <c r="AF138" s="334">
        <f t="shared" si="122"/>
        <v>6.9407492279560315E-9</v>
      </c>
      <c r="AG138" s="334">
        <f t="shared" si="123"/>
        <v>4.6446822801148393E-4</v>
      </c>
      <c r="AH138" s="334"/>
      <c r="AI138" s="334">
        <f t="shared" si="124"/>
        <v>6.6543781641638443E-4</v>
      </c>
      <c r="AJ138" s="334">
        <f t="shared" si="125"/>
        <v>5.9393383837487985E-29</v>
      </c>
      <c r="AK138" s="334">
        <f t="shared" si="126"/>
        <v>6.5563359009730236E-3</v>
      </c>
      <c r="AL138" s="334"/>
      <c r="AM138" s="334"/>
      <c r="AN138" s="334"/>
      <c r="AO138" s="334">
        <f t="shared" si="127"/>
        <v>1.6248767596584525E-5</v>
      </c>
      <c r="AP138" s="334">
        <f t="shared" si="128"/>
        <v>4.2501325957460928E-6</v>
      </c>
      <c r="AQ138" s="334">
        <f t="shared" si="129"/>
        <v>9.7260036365992814E-2</v>
      </c>
      <c r="AR138" s="334"/>
      <c r="AS138" s="334">
        <f t="shared" si="130"/>
        <v>1.5788518983357449E-2</v>
      </c>
      <c r="AT138" s="334">
        <f t="shared" si="131"/>
        <v>0.1541399307695045</v>
      </c>
      <c r="AU138" s="334">
        <f t="shared" si="132"/>
        <v>9.1214215712047333E-4</v>
      </c>
      <c r="AV138" s="334"/>
      <c r="AW138" s="334">
        <f t="shared" si="133"/>
        <v>1.0968946994551775E-3</v>
      </c>
      <c r="AX138" s="334">
        <f t="shared" si="134"/>
        <v>3.3156149040209174E-6</v>
      </c>
      <c r="AY138" s="334">
        <f t="shared" si="135"/>
        <v>3.0410671244669788E-2</v>
      </c>
      <c r="AZ138" s="334"/>
      <c r="BA138" s="334">
        <f t="shared" si="136"/>
        <v>2.7317844329495405E-3</v>
      </c>
      <c r="BB138" s="334">
        <f t="shared" si="137"/>
        <v>1.2044928471067994E-3</v>
      </c>
      <c r="BC138" s="334">
        <f t="shared" si="138"/>
        <v>0.10743359802974087</v>
      </c>
      <c r="BD138" s="334"/>
      <c r="BE138" s="334">
        <f t="shared" si="139"/>
        <v>2.0924397067106547E-9</v>
      </c>
      <c r="BF138" s="334">
        <f t="shared" si="140"/>
        <v>1.170559887846063</v>
      </c>
      <c r="BG138" s="334">
        <f t="shared" si="141"/>
        <v>0.86295624589274023</v>
      </c>
      <c r="BH138" s="334"/>
      <c r="BI138" s="334">
        <f t="shared" si="142"/>
        <v>1.5963274566362439E-2</v>
      </c>
      <c r="BJ138" s="334">
        <f t="shared" si="143"/>
        <v>2.4433010965868819E-5</v>
      </c>
      <c r="BK138" s="334">
        <f t="shared" si="144"/>
        <v>6.5107267469197289E-2</v>
      </c>
      <c r="BL138" s="334"/>
      <c r="BM138" s="334">
        <f t="shared" si="145"/>
        <v>0.57349345921977768</v>
      </c>
      <c r="BN138" s="334">
        <f t="shared" si="146"/>
        <v>9.6506614241193885E-3</v>
      </c>
      <c r="BO138" s="334">
        <f t="shared" si="147"/>
        <v>0.72804534359149664</v>
      </c>
      <c r="BP138" s="334"/>
      <c r="BQ138" s="334">
        <f t="shared" si="148"/>
        <v>2.4927281762794858E-3</v>
      </c>
      <c r="BR138" s="334">
        <f t="shared" si="149"/>
        <v>3.0371764957544805E-6</v>
      </c>
      <c r="BS138" s="334">
        <f t="shared" si="150"/>
        <v>2.9342510710470304E-3</v>
      </c>
      <c r="BT138" s="334"/>
      <c r="BU138" s="334">
        <f t="shared" si="153"/>
        <v>9.3361563346705326E-3</v>
      </c>
      <c r="BV138" s="334">
        <f t="shared" si="151"/>
        <v>1.5067796717357147E-15</v>
      </c>
      <c r="BW138" s="334">
        <f t="shared" si="152"/>
        <v>4.4257313139243457E-2</v>
      </c>
    </row>
    <row r="139" spans="3:75" x14ac:dyDescent="0.2">
      <c r="C139" s="334">
        <f t="shared" si="100"/>
        <v>1.5904585111031617E-4</v>
      </c>
      <c r="D139" s="334">
        <f t="shared" si="101"/>
        <v>3.8073418264865635E-6</v>
      </c>
      <c r="E139" s="334">
        <f t="shared" si="102"/>
        <v>1.1140837843347549E-2</v>
      </c>
      <c r="G139" s="334">
        <f t="shared" si="103"/>
        <v>6.328892646156542E-2</v>
      </c>
      <c r="H139" s="334">
        <f t="shared" si="104"/>
        <v>0.10673388363714179</v>
      </c>
      <c r="I139" s="334">
        <f t="shared" si="105"/>
        <v>3.1408760130796995E-4</v>
      </c>
      <c r="J139" s="334"/>
      <c r="K139" s="334">
        <f t="shared" si="106"/>
        <v>4.5589089825172845E-4</v>
      </c>
      <c r="L139" s="334">
        <f t="shared" si="107"/>
        <v>5.4589551862926437E-9</v>
      </c>
      <c r="M139" s="334">
        <f t="shared" si="108"/>
        <v>1.1325038956943644E-3</v>
      </c>
      <c r="N139" s="334"/>
      <c r="O139" s="334">
        <f t="shared" si="109"/>
        <v>9.5635057978520509E-7</v>
      </c>
      <c r="P139" s="334">
        <f t="shared" si="110"/>
        <v>1.3194954538629092E-3</v>
      </c>
      <c r="Q139" s="334">
        <f t="shared" si="111"/>
        <v>4.1030710057416146E-2</v>
      </c>
      <c r="R139" s="334"/>
      <c r="S139" s="334">
        <f t="shared" si="112"/>
        <v>0.55633545270794271</v>
      </c>
      <c r="T139" s="334">
        <f t="shared" si="113"/>
        <v>1.1818978797539372</v>
      </c>
      <c r="U139" s="334">
        <f t="shared" si="114"/>
        <v>0.87707393698439617</v>
      </c>
      <c r="W139" s="334">
        <f t="shared" si="115"/>
        <v>1.6700020942386322E-3</v>
      </c>
      <c r="X139" s="334">
        <f t="shared" si="116"/>
        <v>1.1993293332962971E-7</v>
      </c>
      <c r="Y139" s="334">
        <f t="shared" si="117"/>
        <v>2.2489531514067081E-2</v>
      </c>
      <c r="Z139" s="334"/>
      <c r="AA139" s="334">
        <f t="shared" si="118"/>
        <v>7.5917907885273611E-2</v>
      </c>
      <c r="AB139" s="334">
        <f t="shared" si="119"/>
        <v>6.9315983693917903E-3</v>
      </c>
      <c r="AC139" s="334">
        <f t="shared" si="120"/>
        <v>5.0167821775709831E-2</v>
      </c>
      <c r="AD139" s="334"/>
      <c r="AE139" s="334">
        <f t="shared" si="121"/>
        <v>8.1767031113502405E-5</v>
      </c>
      <c r="AF139" s="334">
        <f t="shared" si="122"/>
        <v>4.0968625720328468E-11</v>
      </c>
      <c r="AG139" s="334">
        <f t="shared" si="123"/>
        <v>8.6964125112116809E-5</v>
      </c>
      <c r="AH139" s="334"/>
      <c r="AI139" s="334">
        <f t="shared" si="124"/>
        <v>2.6869732965618406E-4</v>
      </c>
      <c r="AJ139" s="334">
        <f t="shared" si="125"/>
        <v>1.3559832304290199E-32</v>
      </c>
      <c r="AK139" s="334">
        <f t="shared" si="126"/>
        <v>2.9443427298019766E-3</v>
      </c>
      <c r="AL139" s="334"/>
      <c r="AM139" s="334"/>
      <c r="AN139" s="334"/>
      <c r="AO139" s="334">
        <f t="shared" si="127"/>
        <v>3.4296139933084411E-6</v>
      </c>
      <c r="AP139" s="334">
        <f t="shared" si="128"/>
        <v>7.6425261050155327E-7</v>
      </c>
      <c r="AQ139" s="334">
        <f t="shared" si="129"/>
        <v>7.6540277493641048E-2</v>
      </c>
      <c r="AR139" s="334"/>
      <c r="AS139" s="334">
        <f t="shared" si="130"/>
        <v>7.8224754120286687E-3</v>
      </c>
      <c r="AT139" s="334">
        <f t="shared" si="131"/>
        <v>0.11615657456926469</v>
      </c>
      <c r="AU139" s="334">
        <f t="shared" si="132"/>
        <v>2.8717922078208352E-4</v>
      </c>
      <c r="AV139" s="334"/>
      <c r="AW139" s="334">
        <f t="shared" si="133"/>
        <v>3.1048337413719439E-4</v>
      </c>
      <c r="AX139" s="334">
        <f t="shared" si="134"/>
        <v>2.606120480771716E-7</v>
      </c>
      <c r="AY139" s="334">
        <f t="shared" si="135"/>
        <v>1.8304068434319296E-2</v>
      </c>
      <c r="AZ139" s="334"/>
      <c r="BA139" s="334">
        <f t="shared" si="136"/>
        <v>1.3846656797330166E-3</v>
      </c>
      <c r="BB139" s="334">
        <f t="shared" si="137"/>
        <v>5.1438506875941029E-4</v>
      </c>
      <c r="BC139" s="334">
        <f t="shared" si="138"/>
        <v>9.340432505291936E-2</v>
      </c>
      <c r="BD139" s="334"/>
      <c r="BE139" s="334">
        <f t="shared" si="139"/>
        <v>2.2521364900890867E-11</v>
      </c>
      <c r="BF139" s="334">
        <f t="shared" si="140"/>
        <v>0.9687642589354194</v>
      </c>
      <c r="BG139" s="334">
        <f t="shared" si="141"/>
        <v>0.70598749586856657</v>
      </c>
      <c r="BH139" s="334"/>
      <c r="BI139" s="334">
        <f t="shared" si="142"/>
        <v>7.5304848837956457E-3</v>
      </c>
      <c r="BJ139" s="334">
        <f t="shared" si="143"/>
        <v>2.7069377713348802E-6</v>
      </c>
      <c r="BK139" s="334">
        <f t="shared" si="144"/>
        <v>4.5106448887215017E-2</v>
      </c>
      <c r="BL139" s="334"/>
      <c r="BM139" s="334">
        <f t="shared" si="145"/>
        <v>0.49050480764448429</v>
      </c>
      <c r="BN139" s="334">
        <f t="shared" si="146"/>
        <v>3.1290302091984846E-3</v>
      </c>
      <c r="BO139" s="334">
        <f t="shared" si="147"/>
        <v>0.64207313855834169</v>
      </c>
      <c r="BP139" s="334"/>
      <c r="BQ139" s="334">
        <f t="shared" si="148"/>
        <v>5.1905923279854855E-4</v>
      </c>
      <c r="BR139" s="334">
        <f t="shared" si="149"/>
        <v>8.9013869487478532E-8</v>
      </c>
      <c r="BS139" s="334">
        <f t="shared" si="150"/>
        <v>1.0637578907167528E-3</v>
      </c>
      <c r="BT139" s="334"/>
      <c r="BU139" s="334">
        <f t="shared" si="153"/>
        <v>5.2891502929868946E-3</v>
      </c>
      <c r="BV139" s="334">
        <f t="shared" si="151"/>
        <v>1.8716493878297061E-17</v>
      </c>
      <c r="BW139" s="334">
        <f t="shared" si="152"/>
        <v>2.8048760329581417E-2</v>
      </c>
    </row>
    <row r="140" spans="3:75" x14ac:dyDescent="0.2">
      <c r="C140" s="334">
        <f t="shared" si="100"/>
        <v>6.472571611786458E-5</v>
      </c>
      <c r="D140" s="334">
        <f t="shared" si="101"/>
        <v>7.3257055798191935E-7</v>
      </c>
      <c r="E140" s="334">
        <f t="shared" si="102"/>
        <v>6.7226540139268195E-3</v>
      </c>
      <c r="G140" s="334">
        <f t="shared" si="103"/>
        <v>4.4576082415845292E-2</v>
      </c>
      <c r="H140" s="334">
        <f t="shared" si="104"/>
        <v>7.628785628718103E-2</v>
      </c>
      <c r="I140" s="334">
        <f t="shared" si="105"/>
        <v>8.0347205564578917E-5</v>
      </c>
      <c r="J140" s="334"/>
      <c r="K140" s="334">
        <f t="shared" si="106"/>
        <v>1.0254911537458598E-4</v>
      </c>
      <c r="L140" s="334">
        <f t="shared" si="107"/>
        <v>3.5659431369037172E-10</v>
      </c>
      <c r="M140" s="334">
        <f t="shared" si="108"/>
        <v>4.3459327166745962E-4</v>
      </c>
      <c r="N140" s="334"/>
      <c r="O140" s="334">
        <f t="shared" si="109"/>
        <v>1.8138260289121526E-7</v>
      </c>
      <c r="P140" s="334">
        <f t="shared" si="110"/>
        <v>6.5124915360465906E-4</v>
      </c>
      <c r="Q140" s="334">
        <f t="shared" si="111"/>
        <v>3.0023813650701048E-2</v>
      </c>
      <c r="R140" s="334"/>
      <c r="S140" s="334">
        <f t="shared" si="112"/>
        <v>0.36755463694421936</v>
      </c>
      <c r="T140" s="334">
        <f t="shared" si="113"/>
        <v>1.0655697695528659</v>
      </c>
      <c r="U140" s="334">
        <f t="shared" si="114"/>
        <v>0.79785722526775538</v>
      </c>
      <c r="W140" s="334">
        <f t="shared" si="115"/>
        <v>5.9596831513387125E-4</v>
      </c>
      <c r="X140" s="334">
        <f t="shared" si="116"/>
        <v>5.3049674227839419E-9</v>
      </c>
      <c r="Y140" s="334">
        <f t="shared" si="117"/>
        <v>1.4099989951115482E-2</v>
      </c>
      <c r="Z140" s="334"/>
      <c r="AA140" s="334">
        <f t="shared" si="118"/>
        <v>4.2832141650955724E-2</v>
      </c>
      <c r="AB140" s="334">
        <f t="shared" si="119"/>
        <v>2.1806997596075573E-3</v>
      </c>
      <c r="AC140" s="334">
        <f t="shared" si="120"/>
        <v>2.7506312705527215E-2</v>
      </c>
      <c r="AD140" s="334"/>
      <c r="AE140" s="334">
        <f t="shared" si="121"/>
        <v>6.6134756649925906E-6</v>
      </c>
      <c r="AF140" s="334">
        <f t="shared" si="122"/>
        <v>1.2775075762954901E-13</v>
      </c>
      <c r="AG140" s="334">
        <f t="shared" si="123"/>
        <v>1.3479848112119317E-5</v>
      </c>
      <c r="AH140" s="334"/>
      <c r="AI140" s="334">
        <f t="shared" si="124"/>
        <v>1.025558355845517E-4</v>
      </c>
      <c r="AJ140" s="334">
        <f t="shared" si="125"/>
        <v>1.8703400964747515E-36</v>
      </c>
      <c r="AK140" s="334">
        <f t="shared" si="126"/>
        <v>1.2386850923126681E-3</v>
      </c>
      <c r="AL140" s="334"/>
      <c r="AM140" s="334"/>
      <c r="AN140" s="334"/>
      <c r="AO140" s="334">
        <f t="shared" si="127"/>
        <v>6.4499604290200973E-7</v>
      </c>
      <c r="AP140" s="334">
        <f t="shared" si="128"/>
        <v>1.2148548862251096E-7</v>
      </c>
      <c r="AQ140" s="334">
        <f t="shared" si="129"/>
        <v>5.8790792760373807E-2</v>
      </c>
      <c r="AR140" s="334"/>
      <c r="AS140" s="334">
        <f t="shared" si="130"/>
        <v>3.6329427236932608E-3</v>
      </c>
      <c r="AT140" s="334">
        <f t="shared" si="131"/>
        <v>8.4797742120866965E-2</v>
      </c>
      <c r="AU140" s="334">
        <f t="shared" si="132"/>
        <v>8.2222444767984554E-5</v>
      </c>
      <c r="AV140" s="334"/>
      <c r="AW140" s="334">
        <f t="shared" si="133"/>
        <v>7.7257577850252629E-5</v>
      </c>
      <c r="AX140" s="334">
        <f t="shared" si="134"/>
        <v>1.5953608619236564E-8</v>
      </c>
      <c r="AY140" s="334">
        <f t="shared" si="135"/>
        <v>1.0416057824355725E-2</v>
      </c>
      <c r="AZ140" s="334"/>
      <c r="BA140" s="334">
        <f t="shared" si="136"/>
        <v>6.676245723382558E-4</v>
      </c>
      <c r="BB140" s="334">
        <f t="shared" si="137"/>
        <v>2.0602774291114104E-4</v>
      </c>
      <c r="BC140" s="334">
        <f t="shared" si="138"/>
        <v>8.0171711565088011E-2</v>
      </c>
      <c r="BD140" s="334"/>
      <c r="BE140" s="334">
        <f t="shared" si="139"/>
        <v>1.60095680632839E-13</v>
      </c>
      <c r="BF140" s="334">
        <f t="shared" si="140"/>
        <v>0.78455687558523224</v>
      </c>
      <c r="BG140" s="334">
        <f t="shared" si="141"/>
        <v>0.56736128870726044</v>
      </c>
      <c r="BH140" s="334"/>
      <c r="BI140" s="334">
        <f t="shared" si="142"/>
        <v>3.2791098547779638E-3</v>
      </c>
      <c r="BJ140" s="334">
        <f t="shared" si="143"/>
        <v>2.4167092218339521E-7</v>
      </c>
      <c r="BK140" s="334">
        <f t="shared" si="144"/>
        <v>3.0069539539297148E-2</v>
      </c>
      <c r="BL140" s="334"/>
      <c r="BM140" s="334">
        <f t="shared" si="145"/>
        <v>0.41301361851849616</v>
      </c>
      <c r="BN140" s="334">
        <f t="shared" si="146"/>
        <v>9.1696003305071394E-4</v>
      </c>
      <c r="BO140" s="334">
        <f t="shared" si="147"/>
        <v>0.55725912654791121</v>
      </c>
      <c r="BP140" s="334"/>
      <c r="BQ140" s="334">
        <f t="shared" si="148"/>
        <v>8.6709113404266947E-5</v>
      </c>
      <c r="BR140" s="334">
        <f t="shared" si="149"/>
        <v>1.6507963514839033E-9</v>
      </c>
      <c r="BS140" s="334">
        <f t="shared" si="150"/>
        <v>3.4767691224291255E-4</v>
      </c>
      <c r="BT140" s="334"/>
      <c r="BU140" s="334">
        <f t="shared" si="153"/>
        <v>2.8857917338421246E-3</v>
      </c>
      <c r="BV140" s="334">
        <f t="shared" si="151"/>
        <v>1.7870935751819757E-19</v>
      </c>
      <c r="BW140" s="334">
        <f t="shared" si="152"/>
        <v>1.7075832979744288E-2</v>
      </c>
    </row>
    <row r="141" spans="3:75" x14ac:dyDescent="0.2">
      <c r="C141" s="334">
        <f t="shared" si="100"/>
        <v>2.4959629691348634E-5</v>
      </c>
      <c r="D141" s="334">
        <f t="shared" si="101"/>
        <v>1.2583987965417853E-7</v>
      </c>
      <c r="E141" s="334">
        <f t="shared" si="102"/>
        <v>3.9177200219222786E-3</v>
      </c>
      <c r="G141" s="334">
        <f t="shared" si="103"/>
        <v>3.039969491883935E-2</v>
      </c>
      <c r="H141" s="334">
        <f t="shared" si="104"/>
        <v>5.2728571600811458E-2</v>
      </c>
      <c r="I141" s="334">
        <f t="shared" si="105"/>
        <v>1.8371990620267681E-5</v>
      </c>
      <c r="J141" s="334"/>
      <c r="K141" s="334">
        <f t="shared" si="106"/>
        <v>1.9787885346872534E-5</v>
      </c>
      <c r="L141" s="334">
        <f t="shared" si="107"/>
        <v>1.9211296199844758E-11</v>
      </c>
      <c r="M141" s="334">
        <f t="shared" si="108"/>
        <v>1.5443433493435646E-4</v>
      </c>
      <c r="N141" s="334"/>
      <c r="O141" s="334">
        <f t="shared" si="109"/>
        <v>3.1035278000987378E-8</v>
      </c>
      <c r="P141" s="334">
        <f t="shared" si="110"/>
        <v>3.0673239226845268E-4</v>
      </c>
      <c r="Q141" s="334">
        <f t="shared" si="111"/>
        <v>2.1466608871788789E-2</v>
      </c>
      <c r="R141" s="334"/>
      <c r="S141" s="334">
        <f t="shared" si="112"/>
        <v>0.23339740656363125</v>
      </c>
      <c r="T141" s="334">
        <f t="shared" si="113"/>
        <v>0.94911535232344379</v>
      </c>
      <c r="U141" s="334">
        <f t="shared" si="114"/>
        <v>0.72052414003007992</v>
      </c>
      <c r="W141" s="334">
        <f t="shared" si="115"/>
        <v>1.9459686560736099E-4</v>
      </c>
      <c r="X141" s="334">
        <f t="shared" si="116"/>
        <v>1.7662899039557513E-10</v>
      </c>
      <c r="Y141" s="334">
        <f t="shared" si="117"/>
        <v>8.5092825396660843E-3</v>
      </c>
      <c r="Z141" s="334"/>
      <c r="AA141" s="334">
        <f t="shared" si="118"/>
        <v>2.3075293019562432E-2</v>
      </c>
      <c r="AB141" s="334">
        <f t="shared" si="119"/>
        <v>6.2012886088980872E-4</v>
      </c>
      <c r="AC141" s="334">
        <f t="shared" si="120"/>
        <v>1.4403920806968911E-2</v>
      </c>
      <c r="AD141" s="334"/>
      <c r="AE141" s="334">
        <f t="shared" si="121"/>
        <v>3.856075576183926E-7</v>
      </c>
      <c r="AF141" s="334">
        <f t="shared" si="122"/>
        <v>2.1044694175803728E-16</v>
      </c>
      <c r="AG141" s="334">
        <f t="shared" si="123"/>
        <v>1.7297789626469816E-6</v>
      </c>
      <c r="AH141" s="334"/>
      <c r="AI141" s="334">
        <f t="shared" si="124"/>
        <v>3.6999730355008049E-5</v>
      </c>
      <c r="AJ141" s="334">
        <f t="shared" si="125"/>
        <v>1.558607876165179E-40</v>
      </c>
      <c r="AK141" s="334">
        <f t="shared" si="126"/>
        <v>4.8817871862416536E-4</v>
      </c>
      <c r="AL141" s="334"/>
      <c r="AM141" s="334"/>
      <c r="AN141" s="334"/>
      <c r="AO141" s="334">
        <f t="shared" si="127"/>
        <v>1.0808261664248641E-7</v>
      </c>
      <c r="AP141" s="334">
        <f t="shared" si="128"/>
        <v>1.7071233443346897E-8</v>
      </c>
      <c r="AQ141" s="334">
        <f t="shared" si="129"/>
        <v>4.407499581351617E-2</v>
      </c>
      <c r="AR141" s="334"/>
      <c r="AS141" s="334">
        <f t="shared" si="130"/>
        <v>1.5815554613239904E-3</v>
      </c>
      <c r="AT141" s="334">
        <f t="shared" si="131"/>
        <v>5.9970357322559981E-2</v>
      </c>
      <c r="AU141" s="334">
        <f t="shared" si="132"/>
        <v>2.1407928581898559E-5</v>
      </c>
      <c r="AV141" s="334"/>
      <c r="AW141" s="334">
        <f t="shared" si="133"/>
        <v>1.6899472712411859E-5</v>
      </c>
      <c r="AX141" s="334">
        <f t="shared" si="134"/>
        <v>7.6060191772326365E-10</v>
      </c>
      <c r="AY141" s="334">
        <f t="shared" si="135"/>
        <v>5.603937208087148E-3</v>
      </c>
      <c r="AZ141" s="334"/>
      <c r="BA141" s="334">
        <f t="shared" si="136"/>
        <v>3.0620239299532313E-4</v>
      </c>
      <c r="BB141" s="334">
        <f t="shared" si="137"/>
        <v>7.7395601262856222E-5</v>
      </c>
      <c r="BC141" s="334">
        <f t="shared" si="138"/>
        <v>6.7936415273844378E-2</v>
      </c>
      <c r="BD141" s="334"/>
      <c r="BE141" s="334">
        <f t="shared" si="139"/>
        <v>7.5163617788144829E-16</v>
      </c>
      <c r="BF141" s="334">
        <f t="shared" si="140"/>
        <v>0.62174544568493662</v>
      </c>
      <c r="BG141" s="334">
        <f t="shared" si="141"/>
        <v>0.44789565590637037</v>
      </c>
      <c r="BH141" s="334"/>
      <c r="BI141" s="334">
        <f t="shared" si="142"/>
        <v>1.3180171442518914E-3</v>
      </c>
      <c r="BJ141" s="334">
        <f t="shared" si="143"/>
        <v>1.7386628376506194E-8</v>
      </c>
      <c r="BK141" s="334">
        <f t="shared" si="144"/>
        <v>1.9288297190735909E-2</v>
      </c>
      <c r="BL141" s="334"/>
      <c r="BM141" s="334">
        <f t="shared" si="145"/>
        <v>0.34236690757932153</v>
      </c>
      <c r="BN141" s="334">
        <f t="shared" si="146"/>
        <v>2.4287288494781128E-4</v>
      </c>
      <c r="BO141" s="334">
        <f t="shared" si="147"/>
        <v>0.47596661762843584</v>
      </c>
      <c r="BP141" s="334"/>
      <c r="BQ141" s="334">
        <f t="shared" si="148"/>
        <v>1.1620328301998509E-5</v>
      </c>
      <c r="BR141" s="334">
        <f t="shared" si="149"/>
        <v>1.9372135131931319E-11</v>
      </c>
      <c r="BS141" s="334">
        <f t="shared" si="150"/>
        <v>1.024463391736045E-4</v>
      </c>
      <c r="BT141" s="334"/>
      <c r="BU141" s="334">
        <f t="shared" si="153"/>
        <v>1.5163705706394042E-3</v>
      </c>
      <c r="BV141" s="334">
        <f t="shared" si="151"/>
        <v>1.3116505425530187E-21</v>
      </c>
      <c r="BW141" s="334">
        <f t="shared" si="152"/>
        <v>9.9859577599101419E-3</v>
      </c>
    </row>
    <row r="142" spans="3:75" x14ac:dyDescent="0.2">
      <c r="C142" s="334">
        <f t="shared" si="100"/>
        <v>9.1202378663570442E-6</v>
      </c>
      <c r="D142" s="334">
        <f t="shared" si="101"/>
        <v>1.9298714068030107E-8</v>
      </c>
      <c r="E142" s="334">
        <f t="shared" si="102"/>
        <v>2.2049348396331551E-3</v>
      </c>
      <c r="G142" s="334">
        <f t="shared" si="103"/>
        <v>2.0073805483734025E-2</v>
      </c>
      <c r="H142" s="334">
        <f t="shared" si="104"/>
        <v>3.5243099666487962E-2</v>
      </c>
      <c r="I142" s="334">
        <f t="shared" si="105"/>
        <v>3.7549754976634754E-6</v>
      </c>
      <c r="J142" s="334"/>
      <c r="K142" s="334">
        <f t="shared" si="106"/>
        <v>3.2753922925590938E-6</v>
      </c>
      <c r="L142" s="334">
        <f t="shared" si="107"/>
        <v>8.5360370695120544E-13</v>
      </c>
      <c r="M142" s="334">
        <f t="shared" si="108"/>
        <v>5.0818553145698455E-5</v>
      </c>
      <c r="N142" s="334"/>
      <c r="O142" s="334">
        <f t="shared" si="109"/>
        <v>4.7906799260530744E-9</v>
      </c>
      <c r="P142" s="334">
        <f t="shared" si="110"/>
        <v>1.37862232791825E-4</v>
      </c>
      <c r="Q142" s="334">
        <f t="shared" si="111"/>
        <v>1.4996910348215039E-2</v>
      </c>
      <c r="R142" s="334"/>
      <c r="S142" s="334">
        <f t="shared" si="112"/>
        <v>0.14244889881160377</v>
      </c>
      <c r="T142" s="334">
        <f t="shared" si="113"/>
        <v>0.83520151927941189</v>
      </c>
      <c r="U142" s="334">
        <f t="shared" si="114"/>
        <v>0.64596095230470751</v>
      </c>
      <c r="W142" s="334">
        <f t="shared" si="115"/>
        <v>5.8137322322877538E-5</v>
      </c>
      <c r="X142" s="334">
        <f t="shared" si="116"/>
        <v>4.4266608693385902E-12</v>
      </c>
      <c r="Y142" s="334">
        <f t="shared" si="117"/>
        <v>4.9431390971847863E-3</v>
      </c>
      <c r="Z142" s="334"/>
      <c r="AA142" s="334">
        <f t="shared" si="118"/>
        <v>1.1870705614194592E-2</v>
      </c>
      <c r="AB142" s="334">
        <f t="shared" si="119"/>
        <v>1.5940120334143236E-4</v>
      </c>
      <c r="AC142" s="334">
        <f t="shared" si="120"/>
        <v>7.2039433980117008E-3</v>
      </c>
      <c r="AD142" s="334"/>
      <c r="AE142" s="334">
        <f t="shared" si="121"/>
        <v>1.6207855687198606E-8</v>
      </c>
      <c r="AF142" s="334">
        <f t="shared" si="122"/>
        <v>1.8314235710884109E-19</v>
      </c>
      <c r="AG142" s="334">
        <f t="shared" si="123"/>
        <v>1.8376253317328312E-7</v>
      </c>
      <c r="AH142" s="334"/>
      <c r="AI142" s="334">
        <f t="shared" si="124"/>
        <v>1.2617633116007152E-5</v>
      </c>
      <c r="AJ142" s="334">
        <f t="shared" si="125"/>
        <v>7.846991190666828E-45</v>
      </c>
      <c r="AK142" s="334">
        <f t="shared" si="126"/>
        <v>1.8023625648798844E-4</v>
      </c>
      <c r="AL142" s="334"/>
      <c r="AM142" s="334"/>
      <c r="AN142" s="334"/>
      <c r="AO142" s="334">
        <f t="shared" si="127"/>
        <v>1.6137700184120527E-8</v>
      </c>
      <c r="AP142" s="334">
        <f t="shared" si="128"/>
        <v>2.1205983547565158E-9</v>
      </c>
      <c r="AQ142" s="334">
        <f t="shared" si="129"/>
        <v>3.2250683426967103E-2</v>
      </c>
      <c r="AR142" s="334"/>
      <c r="AS142" s="334">
        <f t="shared" si="130"/>
        <v>6.4538940643923113E-4</v>
      </c>
      <c r="AT142" s="334">
        <f t="shared" si="131"/>
        <v>4.1086660170768306E-2</v>
      </c>
      <c r="AU142" s="334">
        <f t="shared" si="132"/>
        <v>5.068807489219202E-6</v>
      </c>
      <c r="AV142" s="334"/>
      <c r="AW142" s="334">
        <f t="shared" si="133"/>
        <v>3.2496347295599077E-6</v>
      </c>
      <c r="AX142" s="334">
        <f t="shared" si="134"/>
        <v>2.8241641567728064E-11</v>
      </c>
      <c r="AY142" s="334">
        <f t="shared" si="135"/>
        <v>2.8504751903616452E-3</v>
      </c>
      <c r="AZ142" s="334"/>
      <c r="BA142" s="334">
        <f t="shared" si="136"/>
        <v>1.3358993263551619E-4</v>
      </c>
      <c r="BB142" s="334">
        <f t="shared" si="137"/>
        <v>2.726842630021016E-5</v>
      </c>
      <c r="BC142" s="334">
        <f t="shared" si="138"/>
        <v>5.6834416046148251E-2</v>
      </c>
      <c r="BD142" s="334"/>
      <c r="BE142" s="334">
        <f t="shared" si="139"/>
        <v>2.3306598200990423E-18</v>
      </c>
      <c r="BF142" s="334">
        <f t="shared" si="140"/>
        <v>0.48215052911095135</v>
      </c>
      <c r="BG142" s="334">
        <f t="shared" si="141"/>
        <v>0.34733492852363645</v>
      </c>
      <c r="BH142" s="334"/>
      <c r="BI142" s="334">
        <f t="shared" si="142"/>
        <v>4.8901054035649046E-4</v>
      </c>
      <c r="BJ142" s="334">
        <f t="shared" si="143"/>
        <v>1.0079783146011692E-9</v>
      </c>
      <c r="BK142" s="334">
        <f t="shared" si="144"/>
        <v>1.1905289793811107E-2</v>
      </c>
      <c r="BL142" s="334"/>
      <c r="BM142" s="334">
        <f t="shared" si="145"/>
        <v>0.27939941495178144</v>
      </c>
      <c r="BN142" s="334">
        <f t="shared" si="146"/>
        <v>5.8142758245647409E-5</v>
      </c>
      <c r="BO142" s="334">
        <f t="shared" si="147"/>
        <v>0.40007592136514308</v>
      </c>
      <c r="BP142" s="334"/>
      <c r="BQ142" s="334">
        <f t="shared" si="148"/>
        <v>1.2493320400024134E-6</v>
      </c>
      <c r="BR142" s="334">
        <f t="shared" si="149"/>
        <v>1.438499280408609E-13</v>
      </c>
      <c r="BS142" s="334">
        <f t="shared" si="150"/>
        <v>2.7214763861967779E-5</v>
      </c>
      <c r="BT142" s="334"/>
      <c r="BU142" s="334">
        <f t="shared" si="153"/>
        <v>7.6737384737255647E-4</v>
      </c>
      <c r="BV142" s="334">
        <f t="shared" si="151"/>
        <v>7.4000907519324563E-24</v>
      </c>
      <c r="BW142" s="334">
        <f t="shared" si="152"/>
        <v>5.6096678938369017E-3</v>
      </c>
    </row>
    <row r="143" spans="3:75" x14ac:dyDescent="0.2">
      <c r="C143" s="334">
        <f t="shared" si="100"/>
        <v>3.1577732908288954E-6</v>
      </c>
      <c r="D143" s="334">
        <f t="shared" si="101"/>
        <v>2.6422852010312061E-9</v>
      </c>
      <c r="E143" s="334">
        <f t="shared" si="102"/>
        <v>1.1984718876605115E-3</v>
      </c>
      <c r="G143" s="334">
        <f t="shared" si="103"/>
        <v>1.2834630099566003E-2</v>
      </c>
      <c r="H143" s="334">
        <f t="shared" si="104"/>
        <v>2.2779263882623774E-2</v>
      </c>
      <c r="I143" s="334">
        <f t="shared" si="105"/>
        <v>6.8599895495398874E-7</v>
      </c>
      <c r="J143" s="334"/>
      <c r="K143" s="334">
        <f t="shared" si="106"/>
        <v>4.6507578790915011E-7</v>
      </c>
      <c r="L143" s="334">
        <f t="shared" si="107"/>
        <v>3.1280471223022682E-14</v>
      </c>
      <c r="M143" s="334">
        <f t="shared" si="108"/>
        <v>1.5485252816140064E-5</v>
      </c>
      <c r="N143" s="334"/>
      <c r="O143" s="334">
        <f t="shared" si="109"/>
        <v>6.6714491082498299E-10</v>
      </c>
      <c r="P143" s="334">
        <f t="shared" si="110"/>
        <v>5.9129495075343306E-5</v>
      </c>
      <c r="Q143" s="334">
        <f t="shared" si="111"/>
        <v>1.0237193482227003E-2</v>
      </c>
      <c r="R143" s="334"/>
      <c r="S143" s="334">
        <f t="shared" si="112"/>
        <v>8.3562440810532657E-2</v>
      </c>
      <c r="T143" s="334">
        <f t="shared" si="113"/>
        <v>0.7261038222982289</v>
      </c>
      <c r="U143" s="334">
        <f t="shared" si="114"/>
        <v>0.5749080283259228</v>
      </c>
      <c r="W143" s="334">
        <f t="shared" si="115"/>
        <v>1.5892079333486252E-5</v>
      </c>
      <c r="X143" s="334">
        <f t="shared" si="116"/>
        <v>8.3507506558301434E-14</v>
      </c>
      <c r="Y143" s="334">
        <f t="shared" si="117"/>
        <v>2.7640663587114563E-3</v>
      </c>
      <c r="Z143" s="334"/>
      <c r="AA143" s="334">
        <f t="shared" si="118"/>
        <v>5.8311970975458557E-3</v>
      </c>
      <c r="AB143" s="334">
        <f t="shared" si="119"/>
        <v>3.7036064410660374E-5</v>
      </c>
      <c r="AC143" s="334">
        <f t="shared" si="120"/>
        <v>3.4411299754797354E-3</v>
      </c>
      <c r="AD143" s="334"/>
      <c r="AE143" s="334">
        <f t="shared" si="121"/>
        <v>4.9109988423162923E-10</v>
      </c>
      <c r="AF143" s="334">
        <f t="shared" si="122"/>
        <v>8.4198048534394129E-23</v>
      </c>
      <c r="AG143" s="334">
        <f t="shared" si="123"/>
        <v>1.616158954316766E-8</v>
      </c>
      <c r="AH143" s="334"/>
      <c r="AI143" s="334">
        <f t="shared" si="124"/>
        <v>4.0672267572740391E-6</v>
      </c>
      <c r="AJ143" s="334">
        <f t="shared" si="125"/>
        <v>2.3868189647559876E-49</v>
      </c>
      <c r="AK143" s="334">
        <f t="shared" si="126"/>
        <v>6.2337711830290224E-5</v>
      </c>
      <c r="AL143" s="334"/>
      <c r="AM143" s="334"/>
      <c r="AN143" s="334"/>
      <c r="AO143" s="334">
        <f t="shared" si="127"/>
        <v>2.146912908821361E-9</v>
      </c>
      <c r="AP143" s="334">
        <f t="shared" si="128"/>
        <v>2.3286539854088806E-10</v>
      </c>
      <c r="AQ143" s="334">
        <f t="shared" si="129"/>
        <v>2.303293298496107E-2</v>
      </c>
      <c r="AR143" s="334"/>
      <c r="AS143" s="334">
        <f t="shared" si="130"/>
        <v>2.4687139433329547E-4</v>
      </c>
      <c r="AT143" s="334">
        <f t="shared" si="131"/>
        <v>2.7269482676374066E-2</v>
      </c>
      <c r="AU143" s="334">
        <f t="shared" si="132"/>
        <v>1.0913997142469553E-6</v>
      </c>
      <c r="AV143" s="334"/>
      <c r="AW143" s="334">
        <f t="shared" si="133"/>
        <v>5.493198186244351E-7</v>
      </c>
      <c r="AX143" s="334">
        <f t="shared" si="134"/>
        <v>8.1668860451174793E-13</v>
      </c>
      <c r="AY143" s="334">
        <f t="shared" si="135"/>
        <v>1.3708041079253783E-3</v>
      </c>
      <c r="AZ143" s="334"/>
      <c r="BA143" s="334">
        <f t="shared" si="136"/>
        <v>5.5440579873748341E-5</v>
      </c>
      <c r="BB143" s="334">
        <f t="shared" si="137"/>
        <v>9.0106701928752326E-6</v>
      </c>
      <c r="BC143" s="334">
        <f t="shared" si="138"/>
        <v>4.6940475013982311E-2</v>
      </c>
      <c r="BD143" s="334"/>
      <c r="BE143" s="334">
        <f t="shared" si="139"/>
        <v>4.7730200181453016E-21</v>
      </c>
      <c r="BF143" s="334">
        <f t="shared" si="140"/>
        <v>0.36587651829746726</v>
      </c>
      <c r="BG143" s="334">
        <f t="shared" si="141"/>
        <v>0.26459066996115571</v>
      </c>
      <c r="BH143" s="334"/>
      <c r="BI143" s="334">
        <f t="shared" si="142"/>
        <v>1.6747402138554682E-4</v>
      </c>
      <c r="BJ143" s="334">
        <f t="shared" si="143"/>
        <v>4.7090342728844411E-11</v>
      </c>
      <c r="BK143" s="334">
        <f t="shared" si="144"/>
        <v>7.070742551957456E-3</v>
      </c>
      <c r="BL143" s="334"/>
      <c r="BM143" s="334">
        <f t="shared" si="145"/>
        <v>0.2244737226831679</v>
      </c>
      <c r="BN143" s="334">
        <f t="shared" si="146"/>
        <v>1.2580566668084479E-5</v>
      </c>
      <c r="BO143" s="334">
        <f t="shared" si="147"/>
        <v>0.33094433375885612</v>
      </c>
      <c r="BP143" s="334"/>
      <c r="BQ143" s="334">
        <f t="shared" si="148"/>
        <v>1.0775642762388286E-7</v>
      </c>
      <c r="BR143" s="334">
        <f t="shared" si="149"/>
        <v>6.7591172120353092E-16</v>
      </c>
      <c r="BS143" s="334">
        <f t="shared" si="150"/>
        <v>6.5177880157769722E-6</v>
      </c>
      <c r="BT143" s="334"/>
      <c r="BU143" s="334">
        <f t="shared" si="153"/>
        <v>3.7399855633973595E-4</v>
      </c>
      <c r="BV143" s="334">
        <f t="shared" si="151"/>
        <v>3.2092533347923536E-26</v>
      </c>
      <c r="BW143" s="334">
        <f t="shared" si="152"/>
        <v>3.0270819355410904E-3</v>
      </c>
    </row>
    <row r="146" spans="3:75" x14ac:dyDescent="0.2">
      <c r="C146" s="303">
        <f t="array" ref="C146:C175">FREQUENCY(C5:C35,C82:C111)</f>
        <v>1</v>
      </c>
      <c r="D146" s="303">
        <f t="array" ref="D146:D175">FREQUENCY(D5:D35,D82:D111)</f>
        <v>0</v>
      </c>
      <c r="E146" s="303">
        <f t="array" ref="E146:E175">FREQUENCY(E5:E35,E82:E111)</f>
        <v>0</v>
      </c>
      <c r="F146" s="303"/>
      <c r="G146" s="303">
        <f t="array" ref="G146:G175">FREQUENCY(G5:G35,G82:G111)</f>
        <v>0</v>
      </c>
      <c r="H146" s="303">
        <f t="array" ref="H146:H175">FREQUENCY(H5:H35,H82:H111)</f>
        <v>0</v>
      </c>
      <c r="I146" s="303">
        <f t="array" ref="I146:I175">FREQUENCY(I5:I35,I82:I111)</f>
        <v>0</v>
      </c>
      <c r="J146" s="303"/>
      <c r="K146" s="303">
        <f t="array" ref="K146:K175">FREQUENCY(K5:K35,K82:K111)</f>
        <v>0</v>
      </c>
      <c r="L146" s="303">
        <f t="array" ref="L146:L175">FREQUENCY(L5:L35,L82:L111)</f>
        <v>0</v>
      </c>
      <c r="M146" s="303">
        <f t="array" ref="M146:M175">FREQUENCY(M5:M35,M82:M111)</f>
        <v>0</v>
      </c>
      <c r="N146" s="303"/>
      <c r="O146" s="303">
        <f t="array" ref="O146:O175">FREQUENCY(O5:O35,O82:O111)</f>
        <v>0</v>
      </c>
      <c r="P146" s="303">
        <f t="array" ref="P146:P175">FREQUENCY(P5:P35,P82:P111)</f>
        <v>0</v>
      </c>
      <c r="Q146" s="303">
        <f t="array" ref="Q146:Q175">FREQUENCY(Q5:Q35,Q82:Q111)</f>
        <v>0</v>
      </c>
      <c r="R146" s="303"/>
      <c r="S146" s="303">
        <f t="array" ref="S146:S175">FREQUENCY(S5:S35,S82:S111)</f>
        <v>0</v>
      </c>
      <c r="T146" s="303">
        <f t="array" ref="T146:T175">FREQUENCY(T5:T35,T82:T111)</f>
        <v>0</v>
      </c>
      <c r="U146" s="303">
        <f t="array" ref="U146:U175">FREQUENCY(U5:U35,U82:U111)</f>
        <v>3</v>
      </c>
      <c r="V146" s="303"/>
      <c r="W146" s="303">
        <f t="array" ref="W146:W175">FREQUENCY(W5:W35,W82:W111)</f>
        <v>0</v>
      </c>
      <c r="X146" s="303">
        <f t="array" ref="X146:X175">FREQUENCY(X5:X35,X82:X111)</f>
        <v>0</v>
      </c>
      <c r="Y146" s="303">
        <f t="array" ref="Y146:Y175">FREQUENCY(Y5:Y35,Y82:Y111)</f>
        <v>0</v>
      </c>
      <c r="Z146" s="303"/>
      <c r="AA146" s="303">
        <f t="array" ref="AA146:AA175">FREQUENCY(AA5:AA35,AA82:AA111)</f>
        <v>0</v>
      </c>
      <c r="AB146" s="303">
        <f t="array" ref="AB146:AB175">FREQUENCY(AB5:AB35,AB82:AB111)</f>
        <v>0</v>
      </c>
      <c r="AC146" s="303">
        <f t="array" ref="AC146:AC175">FREQUENCY(AC5:AC35,AC82:AC111)</f>
        <v>0</v>
      </c>
      <c r="AD146" s="303"/>
      <c r="AE146" s="303">
        <f t="array" ref="AE146:AE175">FREQUENCY(AE5:AE35,AE82:AE111)</f>
        <v>0</v>
      </c>
      <c r="AF146" s="303">
        <f t="array" ref="AF146:AF175">FREQUENCY(AF5:AF35,AF82:AF111)</f>
        <v>0</v>
      </c>
      <c r="AG146" s="303">
        <f t="array" ref="AG146:AG175">FREQUENCY(AG5:AG35,AG82:AG111)</f>
        <v>0</v>
      </c>
      <c r="AH146" s="303"/>
      <c r="AI146" s="303">
        <f t="array" ref="AI146:AI175">FREQUENCY(AI5:AI35,AI82:AI111)</f>
        <v>0</v>
      </c>
      <c r="AJ146" s="303">
        <f t="array" ref="AJ146:AJ175">FREQUENCY(AJ5:AJ35,AJ82:AJ111)</f>
        <v>0</v>
      </c>
      <c r="AK146" s="303">
        <f t="array" ref="AK146:AK175">FREQUENCY(AK5:AK35,AK82:AK111)</f>
        <v>0</v>
      </c>
      <c r="AL146" s="303"/>
      <c r="AM146" s="303"/>
      <c r="AN146" s="303"/>
      <c r="AO146" s="303">
        <f t="array" ref="AO146:AO175">FREQUENCY(AO5:AO35,AO82:AO111)</f>
        <v>0</v>
      </c>
      <c r="AP146" s="303">
        <f t="array" ref="AP146:AP175">FREQUENCY(AP5:AP35,AP82:AP111)</f>
        <v>0</v>
      </c>
      <c r="AQ146" s="303">
        <f t="array" ref="AQ146:AQ175">FREQUENCY(AQ5:AQ35,AQ82:AQ111)</f>
        <v>0</v>
      </c>
      <c r="AR146" s="303"/>
      <c r="AS146" s="303">
        <f t="array" ref="AS146:AS175">FREQUENCY(AS5:AS35,AS82:AS111)</f>
        <v>0</v>
      </c>
      <c r="AT146" s="303">
        <f t="array" ref="AT146:AT175">FREQUENCY(AT5:AT35,AT82:AT111)</f>
        <v>0</v>
      </c>
      <c r="AU146" s="303">
        <f t="array" ref="AU146:AU175">FREQUENCY(AU5:AU35,AU82:AU111)</f>
        <v>0</v>
      </c>
      <c r="AV146" s="303"/>
      <c r="AW146" s="303">
        <f t="array" ref="AW146:AW175">FREQUENCY(AW5:AW35,AW82:AW111)</f>
        <v>0</v>
      </c>
      <c r="AX146" s="303">
        <f t="array" ref="AX146:AX175">FREQUENCY(AX5:AX35,AX82:AX111)</f>
        <v>0</v>
      </c>
      <c r="AY146" s="303">
        <f t="array" ref="AY146:AY175">FREQUENCY(AY5:AY35,AY82:AY111)</f>
        <v>0</v>
      </c>
      <c r="AZ146" s="303"/>
      <c r="BA146" s="303">
        <f t="array" ref="BA146:BA175">FREQUENCY(BA5:BA35,BA82:BA111)</f>
        <v>0</v>
      </c>
      <c r="BB146" s="303">
        <f t="array" ref="BB146:BB175">FREQUENCY(BB5:BB35,BB82:BB111)</f>
        <v>0</v>
      </c>
      <c r="BC146" s="303">
        <f t="array" ref="BC146:BC175">FREQUENCY(BC5:BC35,BC82:BC111)</f>
        <v>2</v>
      </c>
      <c r="BD146" s="303"/>
      <c r="BE146" s="303">
        <f t="array" ref="BE146:BE175">FREQUENCY(BE5:BE35,BE82:BE111)</f>
        <v>0</v>
      </c>
      <c r="BF146" s="303">
        <f t="array" ref="BF146:BF175">FREQUENCY(BF5:BF35,BF82:BF111)</f>
        <v>0</v>
      </c>
      <c r="BG146" s="303">
        <f t="array" ref="BG146:BG175">FREQUENCY(BG5:BG35,BG82:BG111)</f>
        <v>1</v>
      </c>
      <c r="BH146" s="303"/>
      <c r="BI146" s="303">
        <f t="array" ref="BI146:BI175">FREQUENCY(BI5:BI35,BI82:BI111)</f>
        <v>0</v>
      </c>
      <c r="BJ146" s="303">
        <f t="array" ref="BJ146:BJ175">FREQUENCY(BJ5:BJ35,BJ82:BJ111)</f>
        <v>0</v>
      </c>
      <c r="BK146" s="303">
        <f t="array" ref="BK146:BK175">FREQUENCY(BK5:BK35,BK82:BK111)</f>
        <v>0</v>
      </c>
      <c r="BL146" s="303"/>
      <c r="BM146" s="303">
        <f t="array" ref="BM146:BM175">FREQUENCY(BM5:BM35,BM82:BM111)</f>
        <v>0</v>
      </c>
      <c r="BN146" s="303">
        <f t="array" ref="BN146:BN175">FREQUENCY(BN5:BN35,BN82:BN111)</f>
        <v>0</v>
      </c>
      <c r="BO146" s="303">
        <f t="array" ref="BO146:BO175">FREQUENCY(BO5:BO35,BO82:BO111)</f>
        <v>0</v>
      </c>
      <c r="BP146" s="303"/>
      <c r="BQ146" s="303">
        <f t="array" ref="BQ146:BQ175">FREQUENCY(BQ5:BQ35,BQ82:BQ111)</f>
        <v>0</v>
      </c>
      <c r="BR146" s="303">
        <f t="array" ref="BR146:BR175">FREQUENCY(BR5:BR35,BR82:BR111)</f>
        <v>0</v>
      </c>
      <c r="BS146" s="303">
        <f t="array" ref="BS146:BS175">FREQUENCY(BS5:BS35,BS82:BS111)</f>
        <v>0</v>
      </c>
      <c r="BT146" s="303"/>
      <c r="BU146" s="303">
        <f t="array" ref="BU146:BU175">FREQUENCY(BU5:BU35,BU82:BU111)</f>
        <v>0</v>
      </c>
      <c r="BV146" s="303">
        <f t="array" ref="BV146:BV175">FREQUENCY(BV5:BV35,BV82:BV111)</f>
        <v>0</v>
      </c>
      <c r="BW146" s="303">
        <f t="array" ref="BW146:BW175">FREQUENCY(BW5:BW35,BW82:BW111)</f>
        <v>0</v>
      </c>
    </row>
    <row r="147" spans="3:75" x14ac:dyDescent="0.2">
      <c r="C147" s="303">
        <v>0</v>
      </c>
      <c r="D147" s="303">
        <v>0</v>
      </c>
      <c r="E147" s="303">
        <v>2</v>
      </c>
      <c r="F147" s="303"/>
      <c r="G147" s="303">
        <v>0</v>
      </c>
      <c r="H147" s="303">
        <v>0</v>
      </c>
      <c r="I147" s="303">
        <v>0</v>
      </c>
      <c r="J147" s="303"/>
      <c r="K147" s="303">
        <v>0</v>
      </c>
      <c r="L147" s="303">
        <v>0</v>
      </c>
      <c r="M147" s="303">
        <v>0</v>
      </c>
      <c r="N147" s="303"/>
      <c r="O147" s="303">
        <v>0</v>
      </c>
      <c r="P147" s="303">
        <v>0</v>
      </c>
      <c r="Q147" s="303">
        <v>0</v>
      </c>
      <c r="R147" s="303"/>
      <c r="S147" s="303">
        <v>0</v>
      </c>
      <c r="T147" s="303">
        <v>0</v>
      </c>
      <c r="U147" s="303">
        <v>0</v>
      </c>
      <c r="V147" s="303"/>
      <c r="W147" s="303">
        <v>0</v>
      </c>
      <c r="X147" s="303">
        <v>0</v>
      </c>
      <c r="Y147" s="303">
        <v>0</v>
      </c>
      <c r="Z147" s="303"/>
      <c r="AA147" s="303">
        <v>0</v>
      </c>
      <c r="AB147" s="303">
        <v>0</v>
      </c>
      <c r="AC147" s="303">
        <v>0</v>
      </c>
      <c r="AD147" s="303"/>
      <c r="AE147" s="303">
        <v>0</v>
      </c>
      <c r="AF147" s="303">
        <v>0</v>
      </c>
      <c r="AG147" s="303">
        <v>0</v>
      </c>
      <c r="AH147" s="303"/>
      <c r="AI147" s="303">
        <v>0</v>
      </c>
      <c r="AJ147" s="303">
        <v>0</v>
      </c>
      <c r="AK147" s="303">
        <v>0</v>
      </c>
      <c r="AL147" s="303"/>
      <c r="AM147" s="303"/>
      <c r="AN147" s="303"/>
      <c r="AO147" s="303">
        <v>0</v>
      </c>
      <c r="AP147" s="303">
        <v>0</v>
      </c>
      <c r="AQ147" s="303">
        <v>0</v>
      </c>
      <c r="AR147" s="303"/>
      <c r="AS147" s="303">
        <v>0</v>
      </c>
      <c r="AT147" s="303">
        <v>0</v>
      </c>
      <c r="AU147" s="303">
        <v>0</v>
      </c>
      <c r="AV147" s="303"/>
      <c r="AW147" s="303">
        <v>0</v>
      </c>
      <c r="AX147" s="303">
        <v>0</v>
      </c>
      <c r="AY147" s="303">
        <v>0</v>
      </c>
      <c r="AZ147" s="303"/>
      <c r="BA147" s="303">
        <v>1</v>
      </c>
      <c r="BB147" s="303">
        <v>0</v>
      </c>
      <c r="BC147" s="303">
        <v>2</v>
      </c>
      <c r="BD147" s="303"/>
      <c r="BE147" s="303">
        <v>0</v>
      </c>
      <c r="BF147" s="303">
        <v>0</v>
      </c>
      <c r="BG147" s="303">
        <v>0</v>
      </c>
      <c r="BH147" s="303"/>
      <c r="BI147" s="303">
        <v>0</v>
      </c>
      <c r="BJ147" s="303">
        <v>0</v>
      </c>
      <c r="BK147" s="303">
        <v>0</v>
      </c>
      <c r="BL147" s="303"/>
      <c r="BM147" s="303">
        <v>0</v>
      </c>
      <c r="BN147" s="303">
        <v>0</v>
      </c>
      <c r="BO147" s="303">
        <v>0</v>
      </c>
      <c r="BP147" s="303"/>
      <c r="BQ147" s="303">
        <v>0</v>
      </c>
      <c r="BR147" s="303">
        <v>0</v>
      </c>
      <c r="BS147" s="303">
        <v>0</v>
      </c>
      <c r="BT147" s="303"/>
      <c r="BU147" s="303">
        <v>0</v>
      </c>
      <c r="BV147" s="303">
        <v>0</v>
      </c>
      <c r="BW147" s="303">
        <v>0</v>
      </c>
    </row>
    <row r="148" spans="3:75" x14ac:dyDescent="0.2">
      <c r="C148" s="303">
        <v>1</v>
      </c>
      <c r="D148" s="303">
        <v>0</v>
      </c>
      <c r="E148" s="303">
        <v>0</v>
      </c>
      <c r="F148" s="303"/>
      <c r="G148" s="303">
        <v>0</v>
      </c>
      <c r="H148" s="303">
        <v>0</v>
      </c>
      <c r="I148" s="303">
        <v>0</v>
      </c>
      <c r="J148" s="303"/>
      <c r="K148" s="303">
        <v>0</v>
      </c>
      <c r="L148" s="303">
        <v>0</v>
      </c>
      <c r="M148" s="303">
        <v>0</v>
      </c>
      <c r="N148" s="303"/>
      <c r="O148" s="303">
        <v>0</v>
      </c>
      <c r="P148" s="303">
        <v>1</v>
      </c>
      <c r="Q148" s="303">
        <v>1</v>
      </c>
      <c r="R148" s="303"/>
      <c r="S148" s="303">
        <v>0</v>
      </c>
      <c r="T148" s="303">
        <v>0</v>
      </c>
      <c r="U148" s="303">
        <v>2</v>
      </c>
      <c r="V148" s="303"/>
      <c r="W148" s="303">
        <v>0</v>
      </c>
      <c r="X148" s="303">
        <v>0</v>
      </c>
      <c r="Y148" s="303">
        <v>0</v>
      </c>
      <c r="Z148" s="303"/>
      <c r="AA148" s="303">
        <v>0</v>
      </c>
      <c r="AB148" s="303">
        <v>0</v>
      </c>
      <c r="AC148" s="303">
        <v>0</v>
      </c>
      <c r="AD148" s="303"/>
      <c r="AE148" s="303">
        <v>0</v>
      </c>
      <c r="AF148" s="303">
        <v>0</v>
      </c>
      <c r="AG148" s="303">
        <v>0</v>
      </c>
      <c r="AH148" s="303"/>
      <c r="AI148" s="303">
        <v>0</v>
      </c>
      <c r="AJ148" s="303">
        <v>0</v>
      </c>
      <c r="AK148" s="303">
        <v>0</v>
      </c>
      <c r="AL148" s="303"/>
      <c r="AM148" s="303"/>
      <c r="AN148" s="303"/>
      <c r="AO148" s="303">
        <v>0</v>
      </c>
      <c r="AP148" s="303">
        <v>0</v>
      </c>
      <c r="AQ148" s="303">
        <v>0</v>
      </c>
      <c r="AR148" s="303"/>
      <c r="AS148" s="303">
        <v>0</v>
      </c>
      <c r="AT148" s="303">
        <v>0</v>
      </c>
      <c r="AU148" s="303">
        <v>0</v>
      </c>
      <c r="AV148" s="303"/>
      <c r="AW148" s="303">
        <v>0</v>
      </c>
      <c r="AX148" s="303">
        <v>0</v>
      </c>
      <c r="AY148" s="303">
        <v>0</v>
      </c>
      <c r="AZ148" s="303"/>
      <c r="BA148" s="303">
        <v>0</v>
      </c>
      <c r="BB148" s="303">
        <v>0</v>
      </c>
      <c r="BC148" s="303">
        <v>1</v>
      </c>
      <c r="BD148" s="303"/>
      <c r="BE148" s="303">
        <v>0</v>
      </c>
      <c r="BF148" s="303">
        <v>0</v>
      </c>
      <c r="BG148" s="303">
        <v>0</v>
      </c>
      <c r="BH148" s="303"/>
      <c r="BI148" s="303">
        <v>0</v>
      </c>
      <c r="BJ148" s="303">
        <v>0</v>
      </c>
      <c r="BK148" s="303">
        <v>0</v>
      </c>
      <c r="BL148" s="303"/>
      <c r="BM148" s="303">
        <v>0</v>
      </c>
      <c r="BN148" s="303">
        <v>0</v>
      </c>
      <c r="BO148" s="303">
        <v>0</v>
      </c>
      <c r="BP148" s="303"/>
      <c r="BQ148" s="303">
        <v>0</v>
      </c>
      <c r="BR148" s="303">
        <v>0</v>
      </c>
      <c r="BS148" s="303">
        <v>0</v>
      </c>
      <c r="BT148" s="303"/>
      <c r="BU148" s="303">
        <v>0</v>
      </c>
      <c r="BV148" s="303">
        <v>0</v>
      </c>
      <c r="BW148" s="303">
        <v>0</v>
      </c>
    </row>
    <row r="149" spans="3:75" x14ac:dyDescent="0.2">
      <c r="C149" s="303">
        <v>0</v>
      </c>
      <c r="D149" s="303">
        <v>0</v>
      </c>
      <c r="E149" s="303">
        <v>1</v>
      </c>
      <c r="F149" s="303"/>
      <c r="G149" s="303">
        <v>0</v>
      </c>
      <c r="H149" s="303">
        <v>0</v>
      </c>
      <c r="I149" s="303">
        <v>0</v>
      </c>
      <c r="J149" s="303"/>
      <c r="K149" s="303">
        <v>0</v>
      </c>
      <c r="L149" s="303">
        <v>0</v>
      </c>
      <c r="M149" s="303">
        <v>0</v>
      </c>
      <c r="N149" s="303"/>
      <c r="O149" s="303">
        <v>0</v>
      </c>
      <c r="P149" s="303">
        <v>0</v>
      </c>
      <c r="Q149" s="303">
        <v>0</v>
      </c>
      <c r="R149" s="303"/>
      <c r="S149" s="303">
        <v>0</v>
      </c>
      <c r="T149" s="303">
        <v>0</v>
      </c>
      <c r="U149" s="303">
        <v>0</v>
      </c>
      <c r="V149" s="303"/>
      <c r="W149" s="303">
        <v>0</v>
      </c>
      <c r="X149" s="303">
        <v>0</v>
      </c>
      <c r="Y149" s="303">
        <v>1</v>
      </c>
      <c r="Z149" s="303"/>
      <c r="AA149" s="303">
        <v>0</v>
      </c>
      <c r="AB149" s="303">
        <v>0</v>
      </c>
      <c r="AC149" s="303">
        <v>0</v>
      </c>
      <c r="AD149" s="303"/>
      <c r="AE149" s="303">
        <v>0</v>
      </c>
      <c r="AF149" s="303">
        <v>0</v>
      </c>
      <c r="AG149" s="303">
        <v>0</v>
      </c>
      <c r="AH149" s="303"/>
      <c r="AI149" s="303">
        <v>0</v>
      </c>
      <c r="AJ149" s="303">
        <v>0</v>
      </c>
      <c r="AK149" s="303">
        <v>0</v>
      </c>
      <c r="AL149" s="303"/>
      <c r="AM149" s="303"/>
      <c r="AN149" s="303"/>
      <c r="AO149" s="303">
        <v>0</v>
      </c>
      <c r="AP149" s="303">
        <v>0</v>
      </c>
      <c r="AQ149" s="303">
        <v>0</v>
      </c>
      <c r="AR149" s="303"/>
      <c r="AS149" s="303">
        <v>0</v>
      </c>
      <c r="AT149" s="303">
        <v>0</v>
      </c>
      <c r="AU149" s="303">
        <v>1</v>
      </c>
      <c r="AV149" s="303"/>
      <c r="AW149" s="303">
        <v>0</v>
      </c>
      <c r="AX149" s="303">
        <v>0</v>
      </c>
      <c r="AY149" s="303">
        <v>0</v>
      </c>
      <c r="AZ149" s="303"/>
      <c r="BA149" s="303">
        <v>0</v>
      </c>
      <c r="BB149" s="303">
        <v>0</v>
      </c>
      <c r="BC149" s="303">
        <v>0</v>
      </c>
      <c r="BD149" s="303"/>
      <c r="BE149" s="303">
        <v>0</v>
      </c>
      <c r="BF149" s="303">
        <v>0</v>
      </c>
      <c r="BG149" s="303">
        <v>2</v>
      </c>
      <c r="BH149" s="303"/>
      <c r="BI149" s="303">
        <v>0</v>
      </c>
      <c r="BJ149" s="303">
        <v>0</v>
      </c>
      <c r="BK149" s="303">
        <v>0</v>
      </c>
      <c r="BL149" s="303"/>
      <c r="BM149" s="303">
        <v>0</v>
      </c>
      <c r="BN149" s="303">
        <v>0</v>
      </c>
      <c r="BO149" s="303">
        <v>0</v>
      </c>
      <c r="BP149" s="303"/>
      <c r="BQ149" s="303">
        <v>0</v>
      </c>
      <c r="BR149" s="303">
        <v>0</v>
      </c>
      <c r="BS149" s="303">
        <v>0</v>
      </c>
      <c r="BT149" s="303"/>
      <c r="BU149" s="303">
        <v>0</v>
      </c>
      <c r="BV149" s="303">
        <v>0</v>
      </c>
      <c r="BW149" s="303">
        <v>0</v>
      </c>
    </row>
    <row r="150" spans="3:75" x14ac:dyDescent="0.2">
      <c r="C150" s="303">
        <v>2</v>
      </c>
      <c r="D150" s="303">
        <v>0</v>
      </c>
      <c r="E150" s="303">
        <v>0</v>
      </c>
      <c r="F150" s="303"/>
      <c r="G150" s="303">
        <v>0</v>
      </c>
      <c r="H150" s="303">
        <v>0</v>
      </c>
      <c r="I150" s="303">
        <v>0</v>
      </c>
      <c r="J150" s="303"/>
      <c r="K150" s="303">
        <v>0</v>
      </c>
      <c r="L150" s="303">
        <v>0</v>
      </c>
      <c r="M150" s="303">
        <v>0</v>
      </c>
      <c r="N150" s="303"/>
      <c r="O150" s="303">
        <v>1</v>
      </c>
      <c r="P150" s="303">
        <v>0</v>
      </c>
      <c r="Q150" s="303">
        <v>1</v>
      </c>
      <c r="R150" s="303"/>
      <c r="S150" s="303">
        <v>0</v>
      </c>
      <c r="T150" s="303">
        <v>0</v>
      </c>
      <c r="U150" s="303">
        <v>0</v>
      </c>
      <c r="V150" s="303"/>
      <c r="W150" s="303">
        <v>0</v>
      </c>
      <c r="X150" s="303">
        <v>0</v>
      </c>
      <c r="Y150" s="303">
        <v>0</v>
      </c>
      <c r="Z150" s="303"/>
      <c r="AA150" s="303">
        <v>0</v>
      </c>
      <c r="AB150" s="303">
        <v>0</v>
      </c>
      <c r="AC150" s="303">
        <v>0</v>
      </c>
      <c r="AD150" s="303"/>
      <c r="AE150" s="303">
        <v>0</v>
      </c>
      <c r="AF150" s="303">
        <v>0</v>
      </c>
      <c r="AG150" s="303">
        <v>0</v>
      </c>
      <c r="AH150" s="303"/>
      <c r="AI150" s="303">
        <v>0</v>
      </c>
      <c r="AJ150" s="303">
        <v>0</v>
      </c>
      <c r="AK150" s="303">
        <v>0</v>
      </c>
      <c r="AL150" s="303"/>
      <c r="AM150" s="303"/>
      <c r="AN150" s="303"/>
      <c r="AO150" s="303">
        <v>0</v>
      </c>
      <c r="AP150" s="303">
        <v>1</v>
      </c>
      <c r="AQ150" s="303">
        <v>0</v>
      </c>
      <c r="AR150" s="303"/>
      <c r="AS150" s="303">
        <v>0</v>
      </c>
      <c r="AT150" s="303">
        <v>0</v>
      </c>
      <c r="AU150" s="303">
        <v>0</v>
      </c>
      <c r="AV150" s="303"/>
      <c r="AW150" s="303">
        <v>0</v>
      </c>
      <c r="AX150" s="303">
        <v>0</v>
      </c>
      <c r="AY150" s="303">
        <v>0</v>
      </c>
      <c r="AZ150" s="303"/>
      <c r="BA150" s="303">
        <v>1</v>
      </c>
      <c r="BB150" s="303">
        <v>0</v>
      </c>
      <c r="BC150" s="303">
        <v>0</v>
      </c>
      <c r="BD150" s="303"/>
      <c r="BE150" s="303">
        <v>0</v>
      </c>
      <c r="BF150" s="303">
        <v>0</v>
      </c>
      <c r="BG150" s="303">
        <v>0</v>
      </c>
      <c r="BH150" s="303"/>
      <c r="BI150" s="303">
        <v>0</v>
      </c>
      <c r="BJ150" s="303">
        <v>0</v>
      </c>
      <c r="BK150" s="303">
        <v>0</v>
      </c>
      <c r="BL150" s="303"/>
      <c r="BM150" s="303">
        <v>0</v>
      </c>
      <c r="BN150" s="303">
        <v>0</v>
      </c>
      <c r="BO150" s="303">
        <v>0</v>
      </c>
      <c r="BP150" s="303"/>
      <c r="BQ150" s="303">
        <v>0</v>
      </c>
      <c r="BR150" s="303">
        <v>0</v>
      </c>
      <c r="BS150" s="303">
        <v>1</v>
      </c>
      <c r="BT150" s="303"/>
      <c r="BU150" s="303">
        <v>0</v>
      </c>
      <c r="BV150" s="303">
        <v>0</v>
      </c>
      <c r="BW150" s="303">
        <v>0</v>
      </c>
    </row>
    <row r="151" spans="3:75" x14ac:dyDescent="0.2">
      <c r="C151" s="303">
        <v>0</v>
      </c>
      <c r="D151" s="303">
        <v>1</v>
      </c>
      <c r="E151" s="303">
        <v>0</v>
      </c>
      <c r="F151" s="303"/>
      <c r="G151" s="303">
        <v>0</v>
      </c>
      <c r="H151" s="303">
        <v>0</v>
      </c>
      <c r="I151" s="303">
        <v>0</v>
      </c>
      <c r="J151" s="303"/>
      <c r="K151" s="303">
        <v>0</v>
      </c>
      <c r="L151" s="303">
        <v>0</v>
      </c>
      <c r="M151" s="303">
        <v>0</v>
      </c>
      <c r="N151" s="303"/>
      <c r="O151" s="303">
        <v>1</v>
      </c>
      <c r="P151" s="303">
        <v>1</v>
      </c>
      <c r="Q151" s="303">
        <v>2</v>
      </c>
      <c r="R151" s="303"/>
      <c r="S151" s="303">
        <v>0</v>
      </c>
      <c r="T151" s="303">
        <v>0</v>
      </c>
      <c r="U151" s="303">
        <v>0</v>
      </c>
      <c r="V151" s="303"/>
      <c r="W151" s="303">
        <v>0</v>
      </c>
      <c r="X151" s="303">
        <v>0</v>
      </c>
      <c r="Y151" s="303">
        <v>0</v>
      </c>
      <c r="Z151" s="303"/>
      <c r="AA151" s="303">
        <v>0</v>
      </c>
      <c r="AB151" s="303">
        <v>0</v>
      </c>
      <c r="AC151" s="303">
        <v>1</v>
      </c>
      <c r="AD151" s="303"/>
      <c r="AE151" s="303">
        <v>0</v>
      </c>
      <c r="AF151" s="303">
        <v>0</v>
      </c>
      <c r="AG151" s="303">
        <v>0</v>
      </c>
      <c r="AH151" s="303"/>
      <c r="AI151" s="303">
        <v>1</v>
      </c>
      <c r="AJ151" s="303">
        <v>0</v>
      </c>
      <c r="AK151" s="303">
        <v>0</v>
      </c>
      <c r="AL151" s="303"/>
      <c r="AM151" s="303"/>
      <c r="AN151" s="303"/>
      <c r="AO151" s="303">
        <v>0</v>
      </c>
      <c r="AP151" s="303">
        <v>0</v>
      </c>
      <c r="AQ151" s="303">
        <v>0</v>
      </c>
      <c r="AR151" s="303"/>
      <c r="AS151" s="303">
        <v>0</v>
      </c>
      <c r="AT151" s="303">
        <v>0</v>
      </c>
      <c r="AU151" s="303">
        <v>0</v>
      </c>
      <c r="AV151" s="303"/>
      <c r="AW151" s="303">
        <v>0</v>
      </c>
      <c r="AX151" s="303">
        <v>0</v>
      </c>
      <c r="AY151" s="303">
        <v>0</v>
      </c>
      <c r="AZ151" s="303"/>
      <c r="BA151" s="303">
        <v>1</v>
      </c>
      <c r="BB151" s="303">
        <v>0</v>
      </c>
      <c r="BC151" s="303">
        <v>0</v>
      </c>
      <c r="BD151" s="303"/>
      <c r="BE151" s="303">
        <v>0</v>
      </c>
      <c r="BF151" s="303">
        <v>0</v>
      </c>
      <c r="BG151" s="303">
        <v>0</v>
      </c>
      <c r="BH151" s="303"/>
      <c r="BI151" s="303">
        <v>0</v>
      </c>
      <c r="BJ151" s="303">
        <v>0</v>
      </c>
      <c r="BK151" s="303">
        <v>0</v>
      </c>
      <c r="BL151" s="303"/>
      <c r="BM151" s="303">
        <v>0</v>
      </c>
      <c r="BN151" s="303">
        <v>0</v>
      </c>
      <c r="BO151" s="303">
        <v>0</v>
      </c>
      <c r="BP151" s="303"/>
      <c r="BQ151" s="303">
        <v>0</v>
      </c>
      <c r="BR151" s="303">
        <v>0</v>
      </c>
      <c r="BS151" s="303">
        <v>0</v>
      </c>
      <c r="BT151" s="303"/>
      <c r="BU151" s="303">
        <v>0</v>
      </c>
      <c r="BV151" s="303">
        <v>0</v>
      </c>
      <c r="BW151" s="303">
        <v>0</v>
      </c>
    </row>
    <row r="152" spans="3:75" x14ac:dyDescent="0.2">
      <c r="C152" s="303">
        <v>1</v>
      </c>
      <c r="D152" s="303">
        <v>0</v>
      </c>
      <c r="E152" s="303">
        <v>1</v>
      </c>
      <c r="F152" s="303"/>
      <c r="G152" s="303">
        <v>0</v>
      </c>
      <c r="H152" s="303">
        <v>0</v>
      </c>
      <c r="I152" s="303">
        <v>0</v>
      </c>
      <c r="J152" s="303"/>
      <c r="K152" s="303">
        <v>0</v>
      </c>
      <c r="L152" s="303">
        <v>0</v>
      </c>
      <c r="M152" s="303">
        <v>1</v>
      </c>
      <c r="N152" s="303"/>
      <c r="O152" s="303">
        <v>2</v>
      </c>
      <c r="P152" s="303">
        <v>3</v>
      </c>
      <c r="Q152" s="303">
        <v>2</v>
      </c>
      <c r="R152" s="303"/>
      <c r="S152" s="303">
        <v>0</v>
      </c>
      <c r="T152" s="303">
        <v>0</v>
      </c>
      <c r="U152" s="303">
        <v>0</v>
      </c>
      <c r="V152" s="303"/>
      <c r="W152" s="303">
        <v>0</v>
      </c>
      <c r="X152" s="303">
        <v>0</v>
      </c>
      <c r="Y152" s="303">
        <v>0</v>
      </c>
      <c r="Z152" s="303"/>
      <c r="AA152" s="303">
        <v>0</v>
      </c>
      <c r="AB152" s="303">
        <v>0</v>
      </c>
      <c r="AC152" s="303">
        <v>1</v>
      </c>
      <c r="AD152" s="303"/>
      <c r="AE152" s="303">
        <v>0</v>
      </c>
      <c r="AF152" s="303">
        <v>0</v>
      </c>
      <c r="AG152" s="303">
        <v>0</v>
      </c>
      <c r="AH152" s="303"/>
      <c r="AI152" s="303">
        <v>5</v>
      </c>
      <c r="AJ152" s="303">
        <v>1</v>
      </c>
      <c r="AK152" s="303">
        <v>0</v>
      </c>
      <c r="AL152" s="303"/>
      <c r="AM152" s="303"/>
      <c r="AN152" s="303"/>
      <c r="AO152" s="303">
        <v>1</v>
      </c>
      <c r="AP152" s="303">
        <v>1</v>
      </c>
      <c r="AQ152" s="303">
        <v>0</v>
      </c>
      <c r="AR152" s="303"/>
      <c r="AS152" s="303">
        <v>0</v>
      </c>
      <c r="AT152" s="303">
        <v>0</v>
      </c>
      <c r="AU152" s="303">
        <v>0</v>
      </c>
      <c r="AV152" s="303"/>
      <c r="AW152" s="303">
        <v>0</v>
      </c>
      <c r="AX152" s="303">
        <v>0</v>
      </c>
      <c r="AY152" s="303">
        <v>1</v>
      </c>
      <c r="AZ152" s="303"/>
      <c r="BA152" s="303">
        <v>1</v>
      </c>
      <c r="BB152" s="303">
        <v>3</v>
      </c>
      <c r="BC152" s="303">
        <v>0</v>
      </c>
      <c r="BD152" s="303"/>
      <c r="BE152" s="303">
        <v>0</v>
      </c>
      <c r="BF152" s="303">
        <v>0</v>
      </c>
      <c r="BG152" s="303">
        <v>0</v>
      </c>
      <c r="BH152" s="303"/>
      <c r="BI152" s="303">
        <v>0</v>
      </c>
      <c r="BJ152" s="303">
        <v>0</v>
      </c>
      <c r="BK152" s="303">
        <v>0</v>
      </c>
      <c r="BL152" s="303"/>
      <c r="BM152" s="303">
        <v>0</v>
      </c>
      <c r="BN152" s="303">
        <v>0</v>
      </c>
      <c r="BO152" s="303">
        <v>0</v>
      </c>
      <c r="BP152" s="303"/>
      <c r="BQ152" s="303">
        <v>0</v>
      </c>
      <c r="BR152" s="303">
        <v>0</v>
      </c>
      <c r="BS152" s="303">
        <v>0</v>
      </c>
      <c r="BT152" s="303"/>
      <c r="BU152" s="303">
        <v>6</v>
      </c>
      <c r="BV152" s="303">
        <v>1</v>
      </c>
      <c r="BW152" s="303">
        <v>0</v>
      </c>
    </row>
    <row r="153" spans="3:75" x14ac:dyDescent="0.2">
      <c r="C153" s="303">
        <v>2</v>
      </c>
      <c r="D153" s="303">
        <v>1</v>
      </c>
      <c r="E153" s="303">
        <v>0</v>
      </c>
      <c r="F153" s="303"/>
      <c r="G153" s="303">
        <v>0</v>
      </c>
      <c r="H153" s="303">
        <v>1</v>
      </c>
      <c r="I153" s="303">
        <v>0</v>
      </c>
      <c r="J153" s="303"/>
      <c r="K153" s="303">
        <v>0</v>
      </c>
      <c r="L153" s="303">
        <v>2</v>
      </c>
      <c r="M153" s="303">
        <v>0</v>
      </c>
      <c r="N153" s="303"/>
      <c r="O153" s="303">
        <v>2</v>
      </c>
      <c r="P153" s="303">
        <v>2</v>
      </c>
      <c r="Q153" s="303">
        <v>3</v>
      </c>
      <c r="R153" s="303"/>
      <c r="S153" s="303">
        <v>0</v>
      </c>
      <c r="T153" s="303">
        <v>0</v>
      </c>
      <c r="U153" s="303">
        <v>0</v>
      </c>
      <c r="V153" s="303"/>
      <c r="W153" s="303">
        <v>1</v>
      </c>
      <c r="X153" s="303">
        <v>0</v>
      </c>
      <c r="Y153" s="303">
        <v>1</v>
      </c>
      <c r="Z153" s="303"/>
      <c r="AA153" s="303">
        <v>1</v>
      </c>
      <c r="AB153" s="303">
        <v>1</v>
      </c>
      <c r="AC153" s="303">
        <v>0</v>
      </c>
      <c r="AD153" s="303"/>
      <c r="AE153" s="303">
        <v>0</v>
      </c>
      <c r="AF153" s="303">
        <v>0</v>
      </c>
      <c r="AG153" s="303">
        <v>0</v>
      </c>
      <c r="AH153" s="303"/>
      <c r="AI153" s="303">
        <v>4</v>
      </c>
      <c r="AJ153" s="303">
        <v>7</v>
      </c>
      <c r="AK153" s="303">
        <v>0</v>
      </c>
      <c r="AL153" s="303"/>
      <c r="AM153" s="303"/>
      <c r="AN153" s="303"/>
      <c r="AO153" s="303">
        <v>2</v>
      </c>
      <c r="AP153" s="303">
        <v>0</v>
      </c>
      <c r="AQ153" s="303">
        <v>0</v>
      </c>
      <c r="AR153" s="303"/>
      <c r="AS153" s="303">
        <v>0</v>
      </c>
      <c r="AT153" s="303">
        <v>1</v>
      </c>
      <c r="AU153" s="303">
        <v>1</v>
      </c>
      <c r="AV153" s="303"/>
      <c r="AW153" s="303">
        <v>0</v>
      </c>
      <c r="AX153" s="303">
        <v>0</v>
      </c>
      <c r="AY153" s="303">
        <v>0</v>
      </c>
      <c r="AZ153" s="303"/>
      <c r="BA153" s="303">
        <v>0</v>
      </c>
      <c r="BB153" s="303">
        <v>2</v>
      </c>
      <c r="BC153" s="303">
        <v>0</v>
      </c>
      <c r="BD153" s="303"/>
      <c r="BE153" s="303">
        <v>0</v>
      </c>
      <c r="BF153" s="303">
        <v>0</v>
      </c>
      <c r="BG153" s="303">
        <v>0</v>
      </c>
      <c r="BH153" s="303"/>
      <c r="BI153" s="303">
        <v>0</v>
      </c>
      <c r="BJ153" s="303">
        <v>0</v>
      </c>
      <c r="BK153" s="303">
        <v>2</v>
      </c>
      <c r="BL153" s="303"/>
      <c r="BM153" s="303">
        <v>0</v>
      </c>
      <c r="BN153" s="303">
        <v>1</v>
      </c>
      <c r="BO153" s="303">
        <v>0</v>
      </c>
      <c r="BP153" s="303"/>
      <c r="BQ153" s="303">
        <v>0</v>
      </c>
      <c r="BR153" s="303">
        <v>0</v>
      </c>
      <c r="BS153" s="303">
        <v>0</v>
      </c>
      <c r="BT153" s="303"/>
      <c r="BU153" s="303">
        <v>6</v>
      </c>
      <c r="BV153" s="303">
        <v>11</v>
      </c>
      <c r="BW153" s="303">
        <v>1</v>
      </c>
    </row>
    <row r="154" spans="3:75" x14ac:dyDescent="0.2">
      <c r="C154" s="303">
        <v>3</v>
      </c>
      <c r="D154" s="303">
        <v>1</v>
      </c>
      <c r="E154" s="303">
        <v>1</v>
      </c>
      <c r="F154" s="303"/>
      <c r="G154" s="303">
        <v>2</v>
      </c>
      <c r="H154" s="303">
        <v>0</v>
      </c>
      <c r="I154" s="303">
        <v>0</v>
      </c>
      <c r="J154" s="303"/>
      <c r="K154" s="303">
        <v>0</v>
      </c>
      <c r="L154" s="303">
        <v>0</v>
      </c>
      <c r="M154" s="303">
        <v>1</v>
      </c>
      <c r="N154" s="303"/>
      <c r="O154" s="303">
        <v>2</v>
      </c>
      <c r="P154" s="303">
        <v>4</v>
      </c>
      <c r="Q154" s="303">
        <v>1</v>
      </c>
      <c r="R154" s="303"/>
      <c r="S154" s="303">
        <v>0</v>
      </c>
      <c r="T154" s="303">
        <v>0</v>
      </c>
      <c r="U154" s="303">
        <v>0</v>
      </c>
      <c r="V154" s="303"/>
      <c r="W154" s="303">
        <v>0</v>
      </c>
      <c r="X154" s="303">
        <v>0</v>
      </c>
      <c r="Y154" s="303">
        <v>3</v>
      </c>
      <c r="Z154" s="303"/>
      <c r="AA154" s="303">
        <v>1</v>
      </c>
      <c r="AB154" s="303">
        <v>0</v>
      </c>
      <c r="AC154" s="303">
        <v>2</v>
      </c>
      <c r="AD154" s="303"/>
      <c r="AE154" s="303">
        <v>0</v>
      </c>
      <c r="AF154" s="303">
        <v>0</v>
      </c>
      <c r="AG154" s="303">
        <v>0</v>
      </c>
      <c r="AH154" s="303"/>
      <c r="AI154" s="303">
        <v>5</v>
      </c>
      <c r="AJ154" s="303">
        <v>5</v>
      </c>
      <c r="AK154" s="303">
        <v>0</v>
      </c>
      <c r="AL154" s="303"/>
      <c r="AM154" s="303"/>
      <c r="AN154" s="303"/>
      <c r="AO154" s="303">
        <v>2</v>
      </c>
      <c r="AP154" s="303">
        <v>0</v>
      </c>
      <c r="AQ154" s="303">
        <v>4</v>
      </c>
      <c r="AR154" s="303"/>
      <c r="AS154" s="303">
        <v>1</v>
      </c>
      <c r="AT154" s="303">
        <v>1</v>
      </c>
      <c r="AU154" s="303">
        <v>0</v>
      </c>
      <c r="AV154" s="303"/>
      <c r="AW154" s="303">
        <v>0</v>
      </c>
      <c r="AX154" s="303">
        <v>0</v>
      </c>
      <c r="AY154" s="303">
        <v>1</v>
      </c>
      <c r="AZ154" s="303"/>
      <c r="BA154" s="303">
        <v>4</v>
      </c>
      <c r="BB154" s="303">
        <v>2</v>
      </c>
      <c r="BC154" s="303">
        <v>1</v>
      </c>
      <c r="BD154" s="303"/>
      <c r="BE154" s="303">
        <v>0</v>
      </c>
      <c r="BF154" s="303">
        <v>0</v>
      </c>
      <c r="BG154" s="303">
        <v>1</v>
      </c>
      <c r="BH154" s="303"/>
      <c r="BI154" s="303">
        <v>0</v>
      </c>
      <c r="BJ154" s="303">
        <v>0</v>
      </c>
      <c r="BK154" s="303">
        <v>1</v>
      </c>
      <c r="BL154" s="303"/>
      <c r="BM154" s="303">
        <v>1</v>
      </c>
      <c r="BN154" s="303">
        <v>0</v>
      </c>
      <c r="BO154" s="303">
        <v>1</v>
      </c>
      <c r="BP154" s="303"/>
      <c r="BQ154" s="303">
        <v>0</v>
      </c>
      <c r="BR154" s="303">
        <v>0</v>
      </c>
      <c r="BS154" s="303">
        <v>0</v>
      </c>
      <c r="BT154" s="303"/>
      <c r="BU154" s="303">
        <v>3</v>
      </c>
      <c r="BV154" s="303">
        <v>6</v>
      </c>
      <c r="BW154" s="303">
        <v>0</v>
      </c>
    </row>
    <row r="155" spans="3:75" x14ac:dyDescent="0.2">
      <c r="C155" s="303">
        <v>1</v>
      </c>
      <c r="D155" s="303">
        <v>1</v>
      </c>
      <c r="E155" s="303">
        <v>2</v>
      </c>
      <c r="F155" s="303"/>
      <c r="G155" s="303">
        <v>1</v>
      </c>
      <c r="H155" s="303">
        <v>0</v>
      </c>
      <c r="I155" s="303">
        <v>0</v>
      </c>
      <c r="J155" s="303"/>
      <c r="K155" s="303">
        <v>1</v>
      </c>
      <c r="L155" s="303">
        <v>1</v>
      </c>
      <c r="M155" s="303">
        <v>2</v>
      </c>
      <c r="N155" s="303"/>
      <c r="O155" s="303">
        <v>3</v>
      </c>
      <c r="P155" s="303">
        <v>2</v>
      </c>
      <c r="Q155" s="303">
        <v>0</v>
      </c>
      <c r="R155" s="303"/>
      <c r="S155" s="303">
        <v>0</v>
      </c>
      <c r="T155" s="303">
        <v>0</v>
      </c>
      <c r="U155" s="303">
        <v>0</v>
      </c>
      <c r="V155" s="303"/>
      <c r="W155" s="303">
        <v>1</v>
      </c>
      <c r="X155" s="303">
        <v>0</v>
      </c>
      <c r="Y155" s="303">
        <v>1</v>
      </c>
      <c r="Z155" s="303"/>
      <c r="AA155" s="303">
        <v>3</v>
      </c>
      <c r="AB155" s="303">
        <v>0</v>
      </c>
      <c r="AC155" s="303">
        <v>0</v>
      </c>
      <c r="AD155" s="303"/>
      <c r="AE155" s="303">
        <v>0</v>
      </c>
      <c r="AF155" s="303">
        <v>0</v>
      </c>
      <c r="AG155" s="303">
        <v>1</v>
      </c>
      <c r="AH155" s="303"/>
      <c r="AI155" s="303">
        <v>5</v>
      </c>
      <c r="AJ155" s="303">
        <v>5</v>
      </c>
      <c r="AK155" s="303">
        <v>0</v>
      </c>
      <c r="AL155" s="303"/>
      <c r="AM155" s="303"/>
      <c r="AN155" s="303"/>
      <c r="AO155" s="303">
        <v>1</v>
      </c>
      <c r="AP155" s="303">
        <v>4</v>
      </c>
      <c r="AQ155" s="303">
        <v>1</v>
      </c>
      <c r="AR155" s="303"/>
      <c r="AS155" s="303">
        <v>3</v>
      </c>
      <c r="AT155" s="303">
        <v>1</v>
      </c>
      <c r="AU155" s="303">
        <v>0</v>
      </c>
      <c r="AV155" s="303"/>
      <c r="AW155" s="303">
        <v>0</v>
      </c>
      <c r="AX155" s="303">
        <v>0</v>
      </c>
      <c r="AY155" s="303">
        <v>0</v>
      </c>
      <c r="AZ155" s="303"/>
      <c r="BA155" s="303">
        <v>4</v>
      </c>
      <c r="BB155" s="303">
        <v>2</v>
      </c>
      <c r="BC155" s="303">
        <v>0</v>
      </c>
      <c r="BD155" s="303"/>
      <c r="BE155" s="303">
        <v>0</v>
      </c>
      <c r="BF155" s="303">
        <v>0</v>
      </c>
      <c r="BG155" s="303">
        <v>0</v>
      </c>
      <c r="BH155" s="303"/>
      <c r="BI155" s="303">
        <v>1</v>
      </c>
      <c r="BJ155" s="303">
        <v>0</v>
      </c>
      <c r="BK155" s="303">
        <v>1</v>
      </c>
      <c r="BL155" s="303"/>
      <c r="BM155" s="303">
        <v>5</v>
      </c>
      <c r="BN155" s="303">
        <v>0</v>
      </c>
      <c r="BO155" s="303">
        <v>1</v>
      </c>
      <c r="BP155" s="303"/>
      <c r="BQ155" s="303">
        <v>1</v>
      </c>
      <c r="BR155" s="303">
        <v>0</v>
      </c>
      <c r="BS155" s="303">
        <v>0</v>
      </c>
      <c r="BT155" s="303"/>
      <c r="BU155" s="303">
        <v>4</v>
      </c>
      <c r="BV155" s="303">
        <v>5</v>
      </c>
      <c r="BW155" s="303">
        <v>1</v>
      </c>
    </row>
    <row r="156" spans="3:75" x14ac:dyDescent="0.2">
      <c r="C156" s="303">
        <v>2</v>
      </c>
      <c r="D156" s="303">
        <v>3</v>
      </c>
      <c r="E156" s="303">
        <v>2</v>
      </c>
      <c r="F156" s="303"/>
      <c r="G156" s="303">
        <v>2</v>
      </c>
      <c r="H156" s="303">
        <v>4</v>
      </c>
      <c r="I156" s="303">
        <v>3</v>
      </c>
      <c r="J156" s="303"/>
      <c r="K156" s="303">
        <v>0</v>
      </c>
      <c r="L156" s="303">
        <v>6</v>
      </c>
      <c r="M156" s="303">
        <v>2</v>
      </c>
      <c r="N156" s="303"/>
      <c r="O156" s="303">
        <v>8</v>
      </c>
      <c r="P156" s="303">
        <v>0</v>
      </c>
      <c r="Q156" s="303">
        <v>1</v>
      </c>
      <c r="R156" s="303"/>
      <c r="S156" s="303">
        <v>0</v>
      </c>
      <c r="T156" s="303">
        <v>0</v>
      </c>
      <c r="U156" s="303">
        <v>0</v>
      </c>
      <c r="V156" s="303"/>
      <c r="W156" s="303">
        <v>1</v>
      </c>
      <c r="X156" s="303">
        <v>0</v>
      </c>
      <c r="Y156" s="303">
        <v>1</v>
      </c>
      <c r="Z156" s="303"/>
      <c r="AA156" s="303">
        <v>0</v>
      </c>
      <c r="AB156" s="303">
        <v>1</v>
      </c>
      <c r="AC156" s="303">
        <v>4</v>
      </c>
      <c r="AD156" s="303"/>
      <c r="AE156" s="303">
        <v>0</v>
      </c>
      <c r="AF156" s="303">
        <v>0</v>
      </c>
      <c r="AG156" s="303">
        <v>0</v>
      </c>
      <c r="AH156" s="303"/>
      <c r="AI156" s="303">
        <v>1</v>
      </c>
      <c r="AJ156" s="303">
        <v>5</v>
      </c>
      <c r="AK156" s="303">
        <v>4</v>
      </c>
      <c r="AL156" s="303"/>
      <c r="AM156" s="303"/>
      <c r="AN156" s="303"/>
      <c r="AO156" s="303">
        <v>4</v>
      </c>
      <c r="AP156" s="303">
        <v>7</v>
      </c>
      <c r="AQ156" s="303">
        <v>2</v>
      </c>
      <c r="AR156" s="303"/>
      <c r="AS156" s="303">
        <v>1</v>
      </c>
      <c r="AT156" s="303">
        <v>1</v>
      </c>
      <c r="AU156" s="303">
        <v>1</v>
      </c>
      <c r="AV156" s="303"/>
      <c r="AW156" s="303">
        <v>4</v>
      </c>
      <c r="AX156" s="303">
        <v>0</v>
      </c>
      <c r="AY156" s="303">
        <v>1</v>
      </c>
      <c r="AZ156" s="303"/>
      <c r="BA156" s="303">
        <v>1</v>
      </c>
      <c r="BB156" s="303">
        <v>3</v>
      </c>
      <c r="BC156" s="303">
        <v>0</v>
      </c>
      <c r="BD156" s="303"/>
      <c r="BE156" s="303">
        <v>0</v>
      </c>
      <c r="BF156" s="303">
        <v>0</v>
      </c>
      <c r="BG156" s="303">
        <v>1</v>
      </c>
      <c r="BH156" s="303"/>
      <c r="BI156" s="303">
        <v>0</v>
      </c>
      <c r="BJ156" s="303">
        <v>1</v>
      </c>
      <c r="BK156" s="303">
        <v>1</v>
      </c>
      <c r="BL156" s="303"/>
      <c r="BM156" s="303">
        <v>2</v>
      </c>
      <c r="BN156" s="303">
        <v>4</v>
      </c>
      <c r="BO156" s="303">
        <v>0</v>
      </c>
      <c r="BP156" s="303"/>
      <c r="BQ156" s="303">
        <v>0</v>
      </c>
      <c r="BR156" s="303">
        <v>0</v>
      </c>
      <c r="BS156" s="303">
        <v>0</v>
      </c>
      <c r="BT156" s="303"/>
      <c r="BU156" s="303">
        <v>2</v>
      </c>
      <c r="BV156" s="303">
        <v>3</v>
      </c>
      <c r="BW156" s="303">
        <v>1</v>
      </c>
    </row>
    <row r="157" spans="3:75" x14ac:dyDescent="0.2">
      <c r="C157" s="303">
        <v>5</v>
      </c>
      <c r="D157" s="303">
        <v>5</v>
      </c>
      <c r="E157" s="303">
        <v>1</v>
      </c>
      <c r="F157" s="303"/>
      <c r="G157" s="303">
        <v>2</v>
      </c>
      <c r="H157" s="303">
        <v>2</v>
      </c>
      <c r="I157" s="303">
        <v>5</v>
      </c>
      <c r="J157" s="303"/>
      <c r="K157" s="303">
        <v>0</v>
      </c>
      <c r="L157" s="303">
        <v>3</v>
      </c>
      <c r="M157" s="303">
        <v>3</v>
      </c>
      <c r="N157" s="303"/>
      <c r="O157" s="303">
        <v>4</v>
      </c>
      <c r="P157" s="303">
        <v>1</v>
      </c>
      <c r="Q157" s="303">
        <v>2</v>
      </c>
      <c r="R157" s="303"/>
      <c r="S157" s="303">
        <v>0</v>
      </c>
      <c r="T157" s="303">
        <v>5</v>
      </c>
      <c r="U157" s="303">
        <v>3</v>
      </c>
      <c r="V157" s="303"/>
      <c r="W157" s="303">
        <v>1</v>
      </c>
      <c r="X157" s="303">
        <v>1</v>
      </c>
      <c r="Y157" s="303">
        <v>2</v>
      </c>
      <c r="Z157" s="303"/>
      <c r="AA157" s="303">
        <v>5</v>
      </c>
      <c r="AB157" s="303">
        <v>1</v>
      </c>
      <c r="AC157" s="303">
        <v>2</v>
      </c>
      <c r="AD157" s="303"/>
      <c r="AE157" s="303">
        <v>0</v>
      </c>
      <c r="AF157" s="303">
        <v>0</v>
      </c>
      <c r="AG157" s="303">
        <v>0</v>
      </c>
      <c r="AH157" s="303"/>
      <c r="AI157" s="303">
        <v>0</v>
      </c>
      <c r="AJ157" s="303">
        <v>1</v>
      </c>
      <c r="AK157" s="303">
        <v>5</v>
      </c>
      <c r="AL157" s="303"/>
      <c r="AM157" s="303"/>
      <c r="AN157" s="303"/>
      <c r="AO157" s="303">
        <v>4</v>
      </c>
      <c r="AP157" s="303">
        <v>6</v>
      </c>
      <c r="AQ157" s="303">
        <v>3</v>
      </c>
      <c r="AR157" s="303"/>
      <c r="AS157" s="303">
        <v>2</v>
      </c>
      <c r="AT157" s="303">
        <v>3</v>
      </c>
      <c r="AU157" s="303">
        <v>5</v>
      </c>
      <c r="AV157" s="303"/>
      <c r="AW157" s="303">
        <v>0</v>
      </c>
      <c r="AX157" s="303">
        <v>1</v>
      </c>
      <c r="AY157" s="303">
        <v>1</v>
      </c>
      <c r="AZ157" s="303"/>
      <c r="BA157" s="303">
        <v>2</v>
      </c>
      <c r="BB157" s="303">
        <v>3</v>
      </c>
      <c r="BC157" s="303">
        <v>1</v>
      </c>
      <c r="BD157" s="303"/>
      <c r="BE157" s="303">
        <v>0</v>
      </c>
      <c r="BF157" s="303">
        <v>2</v>
      </c>
      <c r="BG157" s="303">
        <v>1</v>
      </c>
      <c r="BH157" s="303"/>
      <c r="BI157" s="303">
        <v>3</v>
      </c>
      <c r="BJ157" s="303">
        <v>1</v>
      </c>
      <c r="BK157" s="303">
        <v>4</v>
      </c>
      <c r="BL157" s="303"/>
      <c r="BM157" s="303">
        <v>3</v>
      </c>
      <c r="BN157" s="303">
        <v>2</v>
      </c>
      <c r="BO157" s="303">
        <v>1</v>
      </c>
      <c r="BP157" s="303"/>
      <c r="BQ157" s="303">
        <v>0</v>
      </c>
      <c r="BR157" s="303">
        <v>0</v>
      </c>
      <c r="BS157" s="303">
        <v>1</v>
      </c>
      <c r="BT157" s="303"/>
      <c r="BU157" s="303">
        <v>1</v>
      </c>
      <c r="BV157" s="303">
        <v>1</v>
      </c>
      <c r="BW157" s="303">
        <v>5</v>
      </c>
    </row>
    <row r="158" spans="3:75" x14ac:dyDescent="0.2">
      <c r="C158" s="303">
        <v>1</v>
      </c>
      <c r="D158" s="303">
        <v>5</v>
      </c>
      <c r="E158" s="303">
        <v>5</v>
      </c>
      <c r="F158" s="303"/>
      <c r="G158" s="303">
        <v>3</v>
      </c>
      <c r="H158" s="303">
        <v>2</v>
      </c>
      <c r="I158" s="303">
        <v>2</v>
      </c>
      <c r="J158" s="303"/>
      <c r="K158" s="303">
        <v>0</v>
      </c>
      <c r="L158" s="303">
        <v>4</v>
      </c>
      <c r="M158" s="303">
        <v>1</v>
      </c>
      <c r="N158" s="303"/>
      <c r="O158" s="303">
        <v>0</v>
      </c>
      <c r="P158" s="303">
        <v>3</v>
      </c>
      <c r="Q158" s="303">
        <v>1</v>
      </c>
      <c r="R158" s="303"/>
      <c r="S158" s="303">
        <v>3</v>
      </c>
      <c r="T158" s="303">
        <v>4</v>
      </c>
      <c r="U158" s="303">
        <v>0</v>
      </c>
      <c r="V158" s="303"/>
      <c r="W158" s="303">
        <v>4</v>
      </c>
      <c r="X158" s="303">
        <v>0</v>
      </c>
      <c r="Y158" s="303">
        <v>3</v>
      </c>
      <c r="Z158" s="303"/>
      <c r="AA158" s="303">
        <v>3</v>
      </c>
      <c r="AB158" s="303">
        <v>2</v>
      </c>
      <c r="AC158" s="303">
        <v>4</v>
      </c>
      <c r="AD158" s="303"/>
      <c r="AE158" s="303">
        <v>0</v>
      </c>
      <c r="AF158" s="303">
        <v>0</v>
      </c>
      <c r="AG158" s="303">
        <v>0</v>
      </c>
      <c r="AH158" s="303"/>
      <c r="AI158" s="303">
        <v>1</v>
      </c>
      <c r="AJ158" s="303">
        <v>0</v>
      </c>
      <c r="AK158" s="303">
        <v>5</v>
      </c>
      <c r="AL158" s="303"/>
      <c r="AM158" s="303"/>
      <c r="AN158" s="303"/>
      <c r="AO158" s="303">
        <v>6</v>
      </c>
      <c r="AP158" s="303">
        <v>4</v>
      </c>
      <c r="AQ158" s="303">
        <v>2</v>
      </c>
      <c r="AR158" s="303"/>
      <c r="AS158" s="303">
        <v>5</v>
      </c>
      <c r="AT158" s="303">
        <v>2</v>
      </c>
      <c r="AU158" s="303">
        <v>4</v>
      </c>
      <c r="AV158" s="303"/>
      <c r="AW158" s="303">
        <v>1</v>
      </c>
      <c r="AX158" s="303">
        <v>4</v>
      </c>
      <c r="AY158" s="303">
        <v>1</v>
      </c>
      <c r="AZ158" s="303"/>
      <c r="BA158" s="303">
        <v>1</v>
      </c>
      <c r="BB158" s="303">
        <v>2</v>
      </c>
      <c r="BC158" s="303">
        <v>3</v>
      </c>
      <c r="BD158" s="303"/>
      <c r="BE158" s="303">
        <v>3</v>
      </c>
      <c r="BF158" s="303">
        <v>6</v>
      </c>
      <c r="BG158" s="303">
        <v>0</v>
      </c>
      <c r="BH158" s="303"/>
      <c r="BI158" s="303">
        <v>2</v>
      </c>
      <c r="BJ158" s="303">
        <v>0</v>
      </c>
      <c r="BK158" s="303">
        <v>2</v>
      </c>
      <c r="BL158" s="303"/>
      <c r="BM158" s="303">
        <v>2</v>
      </c>
      <c r="BN158" s="303">
        <v>4</v>
      </c>
      <c r="BO158" s="303">
        <v>2</v>
      </c>
      <c r="BP158" s="303"/>
      <c r="BQ158" s="303">
        <v>0</v>
      </c>
      <c r="BR158" s="303">
        <v>0</v>
      </c>
      <c r="BS158" s="303">
        <v>4</v>
      </c>
      <c r="BT158" s="303"/>
      <c r="BU158" s="303">
        <v>1</v>
      </c>
      <c r="BV158" s="303">
        <v>1</v>
      </c>
      <c r="BW158" s="303">
        <v>8</v>
      </c>
    </row>
    <row r="159" spans="3:75" x14ac:dyDescent="0.2">
      <c r="C159" s="303">
        <v>1</v>
      </c>
      <c r="D159" s="303">
        <v>3</v>
      </c>
      <c r="E159" s="303">
        <v>2</v>
      </c>
      <c r="F159" s="303"/>
      <c r="G159" s="303">
        <v>5</v>
      </c>
      <c r="H159" s="303">
        <v>2</v>
      </c>
      <c r="I159" s="303">
        <v>4</v>
      </c>
      <c r="J159" s="303"/>
      <c r="K159" s="303">
        <v>1</v>
      </c>
      <c r="L159" s="303">
        <v>7</v>
      </c>
      <c r="M159" s="303">
        <v>3</v>
      </c>
      <c r="N159" s="303"/>
      <c r="O159" s="303">
        <v>0</v>
      </c>
      <c r="P159" s="303">
        <v>1</v>
      </c>
      <c r="Q159" s="303">
        <v>1</v>
      </c>
      <c r="R159" s="303"/>
      <c r="S159" s="303">
        <v>3</v>
      </c>
      <c r="T159" s="303">
        <v>4</v>
      </c>
      <c r="U159" s="303">
        <v>1</v>
      </c>
      <c r="V159" s="303"/>
      <c r="W159" s="303">
        <v>2</v>
      </c>
      <c r="X159" s="303">
        <v>2</v>
      </c>
      <c r="Y159" s="303">
        <v>2</v>
      </c>
      <c r="Z159" s="303"/>
      <c r="AA159" s="303">
        <v>1</v>
      </c>
      <c r="AB159" s="303">
        <v>5</v>
      </c>
      <c r="AC159" s="303">
        <v>0</v>
      </c>
      <c r="AD159" s="303"/>
      <c r="AE159" s="303">
        <v>1</v>
      </c>
      <c r="AF159" s="303">
        <v>0</v>
      </c>
      <c r="AG159" s="303">
        <v>0</v>
      </c>
      <c r="AH159" s="303"/>
      <c r="AI159" s="303">
        <v>0</v>
      </c>
      <c r="AJ159" s="303">
        <v>0</v>
      </c>
      <c r="AK159" s="303">
        <v>5</v>
      </c>
      <c r="AL159" s="303"/>
      <c r="AM159" s="303"/>
      <c r="AN159" s="303"/>
      <c r="AO159" s="303">
        <v>2</v>
      </c>
      <c r="AP159" s="303">
        <v>0</v>
      </c>
      <c r="AQ159" s="303">
        <v>2</v>
      </c>
      <c r="AR159" s="303"/>
      <c r="AS159" s="303">
        <v>3</v>
      </c>
      <c r="AT159" s="303">
        <v>1</v>
      </c>
      <c r="AU159" s="303">
        <v>6</v>
      </c>
      <c r="AV159" s="303"/>
      <c r="AW159" s="303">
        <v>2</v>
      </c>
      <c r="AX159" s="303">
        <v>3</v>
      </c>
      <c r="AY159" s="303">
        <v>2</v>
      </c>
      <c r="AZ159" s="303"/>
      <c r="BA159" s="303">
        <v>2</v>
      </c>
      <c r="BB159" s="303">
        <v>1</v>
      </c>
      <c r="BC159" s="303">
        <v>1</v>
      </c>
      <c r="BD159" s="303"/>
      <c r="BE159" s="303">
        <v>11</v>
      </c>
      <c r="BF159" s="303">
        <v>5</v>
      </c>
      <c r="BG159" s="303">
        <v>3</v>
      </c>
      <c r="BH159" s="303"/>
      <c r="BI159" s="303">
        <v>4</v>
      </c>
      <c r="BJ159" s="303">
        <v>4</v>
      </c>
      <c r="BK159" s="303">
        <v>0</v>
      </c>
      <c r="BL159" s="303"/>
      <c r="BM159" s="303">
        <v>2</v>
      </c>
      <c r="BN159" s="303">
        <v>3</v>
      </c>
      <c r="BO159" s="303">
        <v>5</v>
      </c>
      <c r="BP159" s="303"/>
      <c r="BQ159" s="303">
        <v>0</v>
      </c>
      <c r="BR159" s="303">
        <v>1</v>
      </c>
      <c r="BS159" s="303">
        <v>0</v>
      </c>
      <c r="BT159" s="303"/>
      <c r="BU159" s="303">
        <v>2</v>
      </c>
      <c r="BV159" s="303">
        <v>0</v>
      </c>
      <c r="BW159" s="303">
        <v>5</v>
      </c>
    </row>
    <row r="160" spans="3:75" x14ac:dyDescent="0.2">
      <c r="C160" s="303">
        <v>1</v>
      </c>
      <c r="D160" s="303">
        <v>1</v>
      </c>
      <c r="E160" s="303">
        <v>1</v>
      </c>
      <c r="F160" s="303"/>
      <c r="G160" s="303">
        <v>2</v>
      </c>
      <c r="H160" s="303">
        <v>0</v>
      </c>
      <c r="I160" s="303">
        <v>3</v>
      </c>
      <c r="J160" s="303"/>
      <c r="K160" s="303">
        <v>4</v>
      </c>
      <c r="L160" s="303">
        <v>1</v>
      </c>
      <c r="M160" s="303">
        <v>2</v>
      </c>
      <c r="N160" s="303"/>
      <c r="O160" s="303">
        <v>2</v>
      </c>
      <c r="P160" s="303">
        <v>4</v>
      </c>
      <c r="Q160" s="303">
        <v>3</v>
      </c>
      <c r="R160" s="303"/>
      <c r="S160" s="303">
        <v>9</v>
      </c>
      <c r="T160" s="303">
        <v>3</v>
      </c>
      <c r="U160" s="303">
        <v>1</v>
      </c>
      <c r="V160" s="303"/>
      <c r="W160" s="303">
        <v>4</v>
      </c>
      <c r="X160" s="303">
        <v>8</v>
      </c>
      <c r="Y160" s="303">
        <v>2</v>
      </c>
      <c r="Z160" s="303"/>
      <c r="AA160" s="303">
        <v>1</v>
      </c>
      <c r="AB160" s="303">
        <v>0</v>
      </c>
      <c r="AC160" s="303">
        <v>1</v>
      </c>
      <c r="AD160" s="303"/>
      <c r="AE160" s="303">
        <v>0</v>
      </c>
      <c r="AF160" s="303">
        <v>1</v>
      </c>
      <c r="AG160" s="303">
        <v>3</v>
      </c>
      <c r="AH160" s="303"/>
      <c r="AI160" s="303">
        <v>0</v>
      </c>
      <c r="AJ160" s="303">
        <v>0</v>
      </c>
      <c r="AK160" s="303">
        <v>2</v>
      </c>
      <c r="AL160" s="303"/>
      <c r="AM160" s="303"/>
      <c r="AN160" s="303"/>
      <c r="AO160" s="303">
        <v>3</v>
      </c>
      <c r="AP160" s="303">
        <v>3</v>
      </c>
      <c r="AQ160" s="303">
        <v>3</v>
      </c>
      <c r="AR160" s="303"/>
      <c r="AS160" s="303">
        <v>1</v>
      </c>
      <c r="AT160" s="303">
        <v>2</v>
      </c>
      <c r="AU160" s="303">
        <v>3</v>
      </c>
      <c r="AV160" s="303"/>
      <c r="AW160" s="303">
        <v>2</v>
      </c>
      <c r="AX160" s="303">
        <v>4</v>
      </c>
      <c r="AY160" s="303">
        <v>3</v>
      </c>
      <c r="AZ160" s="303"/>
      <c r="BA160" s="303">
        <v>2</v>
      </c>
      <c r="BB160" s="303">
        <v>3</v>
      </c>
      <c r="BC160" s="303">
        <v>3</v>
      </c>
      <c r="BD160" s="303"/>
      <c r="BE160" s="303">
        <v>5</v>
      </c>
      <c r="BF160" s="303">
        <v>1</v>
      </c>
      <c r="BG160" s="303">
        <v>2</v>
      </c>
      <c r="BH160" s="303"/>
      <c r="BI160" s="303">
        <v>3</v>
      </c>
      <c r="BJ160" s="303">
        <v>8</v>
      </c>
      <c r="BK160" s="303">
        <v>0</v>
      </c>
      <c r="BL160" s="303"/>
      <c r="BM160" s="303">
        <v>2</v>
      </c>
      <c r="BN160" s="303">
        <v>3</v>
      </c>
      <c r="BO160" s="303">
        <v>2</v>
      </c>
      <c r="BP160" s="303"/>
      <c r="BQ160" s="303">
        <v>0</v>
      </c>
      <c r="BR160" s="303">
        <v>0</v>
      </c>
      <c r="BS160" s="303">
        <v>2</v>
      </c>
      <c r="BT160" s="303"/>
      <c r="BU160" s="303">
        <v>2</v>
      </c>
      <c r="BV160" s="303">
        <v>0</v>
      </c>
      <c r="BW160" s="303">
        <v>1</v>
      </c>
    </row>
    <row r="161" spans="3:75" x14ac:dyDescent="0.2">
      <c r="C161" s="303">
        <v>1</v>
      </c>
      <c r="D161" s="303">
        <v>1</v>
      </c>
      <c r="E161" s="303">
        <v>0</v>
      </c>
      <c r="F161" s="303"/>
      <c r="G161" s="303">
        <v>1</v>
      </c>
      <c r="H161" s="303">
        <v>1</v>
      </c>
      <c r="I161" s="303">
        <v>2</v>
      </c>
      <c r="J161" s="303"/>
      <c r="K161" s="303">
        <v>5</v>
      </c>
      <c r="L161" s="303">
        <v>3</v>
      </c>
      <c r="M161" s="303">
        <v>6</v>
      </c>
      <c r="N161" s="303"/>
      <c r="O161" s="303">
        <v>1</v>
      </c>
      <c r="P161" s="303">
        <v>1</v>
      </c>
      <c r="Q161" s="303">
        <v>0</v>
      </c>
      <c r="R161" s="303"/>
      <c r="S161" s="303">
        <v>5</v>
      </c>
      <c r="T161" s="303">
        <v>3</v>
      </c>
      <c r="U161" s="303">
        <v>1</v>
      </c>
      <c r="V161" s="303"/>
      <c r="W161" s="303">
        <v>3</v>
      </c>
      <c r="X161" s="303">
        <v>9</v>
      </c>
      <c r="Y161" s="303">
        <v>0</v>
      </c>
      <c r="Z161" s="303"/>
      <c r="AA161" s="303">
        <v>3</v>
      </c>
      <c r="AB161" s="303">
        <v>7</v>
      </c>
      <c r="AC161" s="303">
        <v>2</v>
      </c>
      <c r="AD161" s="303"/>
      <c r="AE161" s="303">
        <v>0</v>
      </c>
      <c r="AF161" s="303">
        <v>3</v>
      </c>
      <c r="AG161" s="303">
        <v>3</v>
      </c>
      <c r="AH161" s="303"/>
      <c r="AI161" s="303">
        <v>0</v>
      </c>
      <c r="AJ161" s="303">
        <v>0</v>
      </c>
      <c r="AK161" s="303">
        <v>0</v>
      </c>
      <c r="AL161" s="303"/>
      <c r="AM161" s="303"/>
      <c r="AN161" s="303"/>
      <c r="AO161" s="303">
        <v>2</v>
      </c>
      <c r="AP161" s="303">
        <v>1</v>
      </c>
      <c r="AQ161" s="303">
        <v>3</v>
      </c>
      <c r="AR161" s="303"/>
      <c r="AS161" s="303">
        <v>2</v>
      </c>
      <c r="AT161" s="303">
        <v>3</v>
      </c>
      <c r="AU161" s="303">
        <v>3</v>
      </c>
      <c r="AV161" s="303"/>
      <c r="AW161" s="303">
        <v>6</v>
      </c>
      <c r="AX161" s="303">
        <v>5</v>
      </c>
      <c r="AY161" s="303">
        <v>2</v>
      </c>
      <c r="AZ161" s="303"/>
      <c r="BA161" s="303">
        <v>2</v>
      </c>
      <c r="BB161" s="303">
        <v>4</v>
      </c>
      <c r="BC161" s="303">
        <v>2</v>
      </c>
      <c r="BD161" s="303"/>
      <c r="BE161" s="303">
        <v>4</v>
      </c>
      <c r="BF161" s="303">
        <v>3</v>
      </c>
      <c r="BG161" s="303">
        <v>1</v>
      </c>
      <c r="BH161" s="303"/>
      <c r="BI161" s="303">
        <v>1</v>
      </c>
      <c r="BJ161" s="303">
        <v>7</v>
      </c>
      <c r="BK161" s="303">
        <v>3</v>
      </c>
      <c r="BL161" s="303"/>
      <c r="BM161" s="303">
        <v>3</v>
      </c>
      <c r="BN161" s="303">
        <v>3</v>
      </c>
      <c r="BO161" s="303">
        <v>2</v>
      </c>
      <c r="BP161" s="303"/>
      <c r="BQ161" s="303">
        <v>2</v>
      </c>
      <c r="BR161" s="303">
        <v>2</v>
      </c>
      <c r="BS161" s="303">
        <v>4</v>
      </c>
      <c r="BT161" s="303"/>
      <c r="BU161" s="303">
        <v>0</v>
      </c>
      <c r="BV161" s="303">
        <v>1</v>
      </c>
      <c r="BW161" s="303">
        <v>1</v>
      </c>
    </row>
    <row r="162" spans="3:75" x14ac:dyDescent="0.2">
      <c r="C162" s="303">
        <v>0</v>
      </c>
      <c r="D162" s="303">
        <v>1</v>
      </c>
      <c r="E162" s="303">
        <v>2</v>
      </c>
      <c r="F162" s="303"/>
      <c r="G162" s="303">
        <v>2</v>
      </c>
      <c r="H162" s="303">
        <v>2</v>
      </c>
      <c r="I162" s="303">
        <v>2</v>
      </c>
      <c r="J162" s="303"/>
      <c r="K162" s="303">
        <v>5</v>
      </c>
      <c r="L162" s="303">
        <v>1</v>
      </c>
      <c r="M162" s="303">
        <v>1</v>
      </c>
      <c r="N162" s="303"/>
      <c r="O162" s="303">
        <v>1</v>
      </c>
      <c r="P162" s="303">
        <v>2</v>
      </c>
      <c r="Q162" s="303">
        <v>1</v>
      </c>
      <c r="R162" s="303"/>
      <c r="S162" s="303">
        <v>4</v>
      </c>
      <c r="T162" s="303">
        <v>0</v>
      </c>
      <c r="U162" s="303">
        <v>2</v>
      </c>
      <c r="V162" s="303"/>
      <c r="W162" s="303">
        <v>2</v>
      </c>
      <c r="X162" s="303">
        <v>4</v>
      </c>
      <c r="Y162" s="303">
        <v>2</v>
      </c>
      <c r="Z162" s="303"/>
      <c r="AA162" s="303">
        <v>0</v>
      </c>
      <c r="AB162" s="303">
        <v>1</v>
      </c>
      <c r="AC162" s="303">
        <v>2</v>
      </c>
      <c r="AD162" s="303"/>
      <c r="AE162" s="303">
        <v>2</v>
      </c>
      <c r="AF162" s="303">
        <v>4</v>
      </c>
      <c r="AG162" s="303">
        <v>6</v>
      </c>
      <c r="AH162" s="303"/>
      <c r="AI162" s="303">
        <v>1</v>
      </c>
      <c r="AJ162" s="303">
        <v>0</v>
      </c>
      <c r="AK162" s="303">
        <v>0</v>
      </c>
      <c r="AL162" s="303"/>
      <c r="AM162" s="303"/>
      <c r="AN162" s="303"/>
      <c r="AO162" s="303">
        <v>0</v>
      </c>
      <c r="AP162" s="303">
        <v>1</v>
      </c>
      <c r="AQ162" s="303">
        <v>1</v>
      </c>
      <c r="AR162" s="303"/>
      <c r="AS162" s="303">
        <v>2</v>
      </c>
      <c r="AT162" s="303">
        <v>1</v>
      </c>
      <c r="AU162" s="303">
        <v>2</v>
      </c>
      <c r="AV162" s="303"/>
      <c r="AW162" s="303">
        <v>5</v>
      </c>
      <c r="AX162" s="303">
        <v>5</v>
      </c>
      <c r="AY162" s="303">
        <v>4</v>
      </c>
      <c r="AZ162" s="303"/>
      <c r="BA162" s="303">
        <v>4</v>
      </c>
      <c r="BB162" s="303">
        <v>1</v>
      </c>
      <c r="BC162" s="303">
        <v>2</v>
      </c>
      <c r="BD162" s="303"/>
      <c r="BE162" s="303">
        <v>3</v>
      </c>
      <c r="BF162" s="303">
        <v>5</v>
      </c>
      <c r="BG162" s="303">
        <v>5</v>
      </c>
      <c r="BH162" s="303"/>
      <c r="BI162" s="303">
        <v>4</v>
      </c>
      <c r="BJ162" s="303">
        <v>4</v>
      </c>
      <c r="BK162" s="303">
        <v>1</v>
      </c>
      <c r="BL162" s="303"/>
      <c r="BM162" s="303">
        <v>2</v>
      </c>
      <c r="BN162" s="303">
        <v>3</v>
      </c>
      <c r="BO162" s="303">
        <v>1</v>
      </c>
      <c r="BP162" s="303"/>
      <c r="BQ162" s="303">
        <v>2</v>
      </c>
      <c r="BR162" s="303">
        <v>4</v>
      </c>
      <c r="BS162" s="303">
        <v>7</v>
      </c>
      <c r="BT162" s="303"/>
      <c r="BU162" s="303">
        <v>0</v>
      </c>
      <c r="BV162" s="303">
        <v>0</v>
      </c>
      <c r="BW162" s="303">
        <v>0</v>
      </c>
    </row>
    <row r="163" spans="3:75" x14ac:dyDescent="0.2">
      <c r="C163" s="303">
        <v>2</v>
      </c>
      <c r="D163" s="303">
        <v>0</v>
      </c>
      <c r="E163" s="303">
        <v>0</v>
      </c>
      <c r="F163" s="303"/>
      <c r="G163" s="303">
        <v>1</v>
      </c>
      <c r="H163" s="303">
        <v>3</v>
      </c>
      <c r="I163" s="303">
        <v>2</v>
      </c>
      <c r="J163" s="303"/>
      <c r="K163" s="303">
        <v>3</v>
      </c>
      <c r="L163" s="303">
        <v>0</v>
      </c>
      <c r="M163" s="303">
        <v>1</v>
      </c>
      <c r="N163" s="303"/>
      <c r="O163" s="303">
        <v>1</v>
      </c>
      <c r="P163" s="303">
        <v>0</v>
      </c>
      <c r="Q163" s="303">
        <v>1</v>
      </c>
      <c r="R163" s="303"/>
      <c r="S163" s="303">
        <v>1</v>
      </c>
      <c r="T163" s="303">
        <v>2</v>
      </c>
      <c r="U163" s="303">
        <v>3</v>
      </c>
      <c r="V163" s="303"/>
      <c r="W163" s="303">
        <v>4</v>
      </c>
      <c r="X163" s="303">
        <v>2</v>
      </c>
      <c r="Y163" s="303">
        <v>1</v>
      </c>
      <c r="Z163" s="303"/>
      <c r="AA163" s="303">
        <v>0</v>
      </c>
      <c r="AB163" s="303">
        <v>0</v>
      </c>
      <c r="AC163" s="303">
        <v>0</v>
      </c>
      <c r="AD163" s="303"/>
      <c r="AE163" s="303">
        <v>3</v>
      </c>
      <c r="AF163" s="303">
        <v>7</v>
      </c>
      <c r="AG163" s="303">
        <v>6</v>
      </c>
      <c r="AH163" s="303"/>
      <c r="AI163" s="303">
        <v>0</v>
      </c>
      <c r="AJ163" s="303">
        <v>0</v>
      </c>
      <c r="AK163" s="303">
        <v>0</v>
      </c>
      <c r="AL163" s="303"/>
      <c r="AM163" s="303"/>
      <c r="AN163" s="303"/>
      <c r="AO163" s="303">
        <v>0</v>
      </c>
      <c r="AP163" s="303">
        <v>0</v>
      </c>
      <c r="AQ163" s="303">
        <v>1</v>
      </c>
      <c r="AR163" s="303"/>
      <c r="AS163" s="303">
        <v>3</v>
      </c>
      <c r="AT163" s="303">
        <v>1</v>
      </c>
      <c r="AU163" s="303">
        <v>2</v>
      </c>
      <c r="AV163" s="303"/>
      <c r="AW163" s="303">
        <v>3</v>
      </c>
      <c r="AX163" s="303">
        <v>6</v>
      </c>
      <c r="AY163" s="303">
        <v>3</v>
      </c>
      <c r="AZ163" s="303"/>
      <c r="BA163" s="303">
        <v>2</v>
      </c>
      <c r="BB163" s="303">
        <v>1</v>
      </c>
      <c r="BC163" s="303">
        <v>2</v>
      </c>
      <c r="BD163" s="303"/>
      <c r="BE163" s="303">
        <v>2</v>
      </c>
      <c r="BF163" s="303">
        <v>2</v>
      </c>
      <c r="BG163" s="303">
        <v>4</v>
      </c>
      <c r="BH163" s="303"/>
      <c r="BI163" s="303">
        <v>2</v>
      </c>
      <c r="BJ163" s="303">
        <v>1</v>
      </c>
      <c r="BK163" s="303">
        <v>2</v>
      </c>
      <c r="BL163" s="303"/>
      <c r="BM163" s="303">
        <v>2</v>
      </c>
      <c r="BN163" s="303">
        <v>2</v>
      </c>
      <c r="BO163" s="303">
        <v>4</v>
      </c>
      <c r="BP163" s="303"/>
      <c r="BQ163" s="303">
        <v>4</v>
      </c>
      <c r="BR163" s="303">
        <v>6</v>
      </c>
      <c r="BS163" s="303">
        <v>5</v>
      </c>
      <c r="BT163" s="303"/>
      <c r="BU163" s="303">
        <v>0</v>
      </c>
      <c r="BV163" s="303">
        <v>0</v>
      </c>
      <c r="BW163" s="303">
        <v>1</v>
      </c>
    </row>
    <row r="164" spans="3:75" x14ac:dyDescent="0.2">
      <c r="C164" s="303">
        <v>0</v>
      </c>
      <c r="D164" s="303">
        <v>0</v>
      </c>
      <c r="E164" s="303">
        <v>2</v>
      </c>
      <c r="F164" s="303"/>
      <c r="G164" s="303">
        <v>0</v>
      </c>
      <c r="H164" s="303">
        <v>4</v>
      </c>
      <c r="I164" s="303">
        <v>2</v>
      </c>
      <c r="J164" s="303"/>
      <c r="K164" s="303">
        <v>3</v>
      </c>
      <c r="L164" s="303">
        <v>0</v>
      </c>
      <c r="M164" s="303">
        <v>1</v>
      </c>
      <c r="N164" s="303"/>
      <c r="O164" s="303">
        <v>0</v>
      </c>
      <c r="P164" s="303">
        <v>1</v>
      </c>
      <c r="Q164" s="303">
        <v>2</v>
      </c>
      <c r="R164" s="303"/>
      <c r="S164" s="303">
        <v>2</v>
      </c>
      <c r="T164" s="303">
        <v>0</v>
      </c>
      <c r="U164" s="303">
        <v>6</v>
      </c>
      <c r="V164" s="303"/>
      <c r="W164" s="303">
        <v>1</v>
      </c>
      <c r="X164" s="303">
        <v>0</v>
      </c>
      <c r="Y164" s="303">
        <v>3</v>
      </c>
      <c r="Z164" s="303"/>
      <c r="AA164" s="303">
        <v>1</v>
      </c>
      <c r="AB164" s="303">
        <v>3</v>
      </c>
      <c r="AC164" s="303">
        <v>1</v>
      </c>
      <c r="AD164" s="303"/>
      <c r="AE164" s="303">
        <v>4</v>
      </c>
      <c r="AF164" s="303">
        <v>6</v>
      </c>
      <c r="AG164" s="303">
        <v>2</v>
      </c>
      <c r="AH164" s="303"/>
      <c r="AI164" s="303">
        <v>0</v>
      </c>
      <c r="AJ164" s="303">
        <v>0</v>
      </c>
      <c r="AK164" s="303">
        <v>0</v>
      </c>
      <c r="AL164" s="303"/>
      <c r="AM164" s="303"/>
      <c r="AN164" s="303"/>
      <c r="AO164" s="303">
        <v>2</v>
      </c>
      <c r="AP164" s="303">
        <v>0</v>
      </c>
      <c r="AQ164" s="303">
        <v>0</v>
      </c>
      <c r="AR164" s="303"/>
      <c r="AS164" s="303">
        <v>3</v>
      </c>
      <c r="AT164" s="303">
        <v>1</v>
      </c>
      <c r="AU164" s="303">
        <v>0</v>
      </c>
      <c r="AV164" s="303"/>
      <c r="AW164" s="303">
        <v>2</v>
      </c>
      <c r="AX164" s="303">
        <v>1</v>
      </c>
      <c r="AY164" s="303">
        <v>2</v>
      </c>
      <c r="AZ164" s="303"/>
      <c r="BA164" s="303">
        <v>0</v>
      </c>
      <c r="BB164" s="303">
        <v>1</v>
      </c>
      <c r="BC164" s="303">
        <v>1</v>
      </c>
      <c r="BD164" s="303"/>
      <c r="BE164" s="303">
        <v>1</v>
      </c>
      <c r="BF164" s="303">
        <v>0</v>
      </c>
      <c r="BG164" s="303">
        <v>4</v>
      </c>
      <c r="BH164" s="303"/>
      <c r="BI164" s="303">
        <v>3</v>
      </c>
      <c r="BJ164" s="303">
        <v>1</v>
      </c>
      <c r="BK164" s="303">
        <v>2</v>
      </c>
      <c r="BL164" s="303"/>
      <c r="BM164" s="303">
        <v>0</v>
      </c>
      <c r="BN164" s="303">
        <v>1</v>
      </c>
      <c r="BO164" s="303">
        <v>3</v>
      </c>
      <c r="BP164" s="303"/>
      <c r="BQ164" s="303">
        <v>5</v>
      </c>
      <c r="BR164" s="303">
        <v>10</v>
      </c>
      <c r="BS164" s="303">
        <v>4</v>
      </c>
      <c r="BT164" s="303"/>
      <c r="BU164" s="303">
        <v>1</v>
      </c>
      <c r="BV164" s="303">
        <v>0</v>
      </c>
      <c r="BW164" s="303">
        <v>1</v>
      </c>
    </row>
    <row r="165" spans="3:75" x14ac:dyDescent="0.2">
      <c r="C165" s="303">
        <v>0</v>
      </c>
      <c r="D165" s="303">
        <v>1</v>
      </c>
      <c r="E165" s="303">
        <v>0</v>
      </c>
      <c r="F165" s="303"/>
      <c r="G165" s="303">
        <v>2</v>
      </c>
      <c r="H165" s="303">
        <v>2</v>
      </c>
      <c r="I165" s="303">
        <v>0</v>
      </c>
      <c r="J165" s="303"/>
      <c r="K165" s="303">
        <v>2</v>
      </c>
      <c r="L165" s="303">
        <v>0</v>
      </c>
      <c r="M165" s="303">
        <v>1</v>
      </c>
      <c r="N165" s="303"/>
      <c r="O165" s="303">
        <v>0</v>
      </c>
      <c r="P165" s="303">
        <v>2</v>
      </c>
      <c r="Q165" s="303">
        <v>2</v>
      </c>
      <c r="R165" s="303"/>
      <c r="S165" s="303">
        <v>0</v>
      </c>
      <c r="T165" s="303">
        <v>0</v>
      </c>
      <c r="U165" s="303">
        <v>1</v>
      </c>
      <c r="V165" s="303"/>
      <c r="W165" s="303">
        <v>3</v>
      </c>
      <c r="X165" s="303">
        <v>1</v>
      </c>
      <c r="Y165" s="303">
        <v>2</v>
      </c>
      <c r="Z165" s="303"/>
      <c r="AA165" s="303">
        <v>0</v>
      </c>
      <c r="AB165" s="303">
        <v>3</v>
      </c>
      <c r="AC165" s="303">
        <v>0</v>
      </c>
      <c r="AD165" s="303"/>
      <c r="AE165" s="303">
        <v>8</v>
      </c>
      <c r="AF165" s="303">
        <v>3</v>
      </c>
      <c r="AG165" s="303">
        <v>1</v>
      </c>
      <c r="AH165" s="303"/>
      <c r="AI165" s="303">
        <v>0</v>
      </c>
      <c r="AJ165" s="303">
        <v>0</v>
      </c>
      <c r="AK165" s="303">
        <v>0</v>
      </c>
      <c r="AL165" s="303"/>
      <c r="AM165" s="303"/>
      <c r="AN165" s="303"/>
      <c r="AO165" s="303">
        <v>0</v>
      </c>
      <c r="AP165" s="303">
        <v>1</v>
      </c>
      <c r="AQ165" s="303">
        <v>0</v>
      </c>
      <c r="AR165" s="303"/>
      <c r="AS165" s="303">
        <v>1</v>
      </c>
      <c r="AT165" s="303">
        <v>3</v>
      </c>
      <c r="AU165" s="303">
        <v>0</v>
      </c>
      <c r="AV165" s="303"/>
      <c r="AW165" s="303">
        <v>3</v>
      </c>
      <c r="AX165" s="303">
        <v>0</v>
      </c>
      <c r="AY165" s="303">
        <v>3</v>
      </c>
      <c r="AZ165" s="303"/>
      <c r="BA165" s="303">
        <v>0</v>
      </c>
      <c r="BB165" s="303">
        <v>0</v>
      </c>
      <c r="BC165" s="303">
        <v>3</v>
      </c>
      <c r="BD165" s="303"/>
      <c r="BE165" s="303">
        <v>0</v>
      </c>
      <c r="BF165" s="303">
        <v>0</v>
      </c>
      <c r="BG165" s="303">
        <v>2</v>
      </c>
      <c r="BH165" s="303"/>
      <c r="BI165" s="303">
        <v>2</v>
      </c>
      <c r="BJ165" s="303">
        <v>1</v>
      </c>
      <c r="BK165" s="303">
        <v>4</v>
      </c>
      <c r="BL165" s="303"/>
      <c r="BM165" s="303">
        <v>0</v>
      </c>
      <c r="BN165" s="303">
        <v>2</v>
      </c>
      <c r="BO165" s="303">
        <v>1</v>
      </c>
      <c r="BP165" s="303"/>
      <c r="BQ165" s="303">
        <v>10</v>
      </c>
      <c r="BR165" s="303">
        <v>5</v>
      </c>
      <c r="BS165" s="303">
        <v>0</v>
      </c>
      <c r="BT165" s="303"/>
      <c r="BU165" s="303">
        <v>0</v>
      </c>
      <c r="BV165" s="303">
        <v>0</v>
      </c>
      <c r="BW165" s="303">
        <v>2</v>
      </c>
    </row>
    <row r="166" spans="3:75" x14ac:dyDescent="0.2">
      <c r="C166" s="303">
        <v>0</v>
      </c>
      <c r="D166" s="303">
        <v>0</v>
      </c>
      <c r="E166" s="303">
        <v>0</v>
      </c>
      <c r="F166" s="303"/>
      <c r="G166" s="303">
        <v>1</v>
      </c>
      <c r="H166" s="303">
        <v>1</v>
      </c>
      <c r="I166" s="303">
        <v>2</v>
      </c>
      <c r="J166" s="303"/>
      <c r="K166" s="303">
        <v>2</v>
      </c>
      <c r="L166" s="303">
        <v>0</v>
      </c>
      <c r="M166" s="303">
        <v>2</v>
      </c>
      <c r="N166" s="303"/>
      <c r="O166" s="303">
        <v>0</v>
      </c>
      <c r="P166" s="303">
        <v>0</v>
      </c>
      <c r="Q166" s="303">
        <v>1</v>
      </c>
      <c r="R166" s="303"/>
      <c r="S166" s="303">
        <v>0</v>
      </c>
      <c r="T166" s="303">
        <v>1</v>
      </c>
      <c r="U166" s="303">
        <v>2</v>
      </c>
      <c r="V166" s="303"/>
      <c r="W166" s="303">
        <v>0</v>
      </c>
      <c r="X166" s="303">
        <v>1</v>
      </c>
      <c r="Y166" s="303">
        <v>1</v>
      </c>
      <c r="Z166" s="303"/>
      <c r="AA166" s="303">
        <v>3</v>
      </c>
      <c r="AB166" s="303">
        <v>0</v>
      </c>
      <c r="AC166" s="303">
        <v>1</v>
      </c>
      <c r="AD166" s="303"/>
      <c r="AE166" s="303">
        <v>5</v>
      </c>
      <c r="AF166" s="303">
        <v>0</v>
      </c>
      <c r="AG166" s="303">
        <v>2</v>
      </c>
      <c r="AH166" s="303"/>
      <c r="AI166" s="303">
        <v>0</v>
      </c>
      <c r="AJ166" s="303">
        <v>0</v>
      </c>
      <c r="AK166" s="303">
        <v>1</v>
      </c>
      <c r="AL166" s="303"/>
      <c r="AM166" s="303"/>
      <c r="AN166" s="303"/>
      <c r="AO166" s="303">
        <v>0</v>
      </c>
      <c r="AP166" s="303">
        <v>0</v>
      </c>
      <c r="AQ166" s="303">
        <v>0</v>
      </c>
      <c r="AR166" s="303"/>
      <c r="AS166" s="303">
        <v>0</v>
      </c>
      <c r="AT166" s="303">
        <v>2</v>
      </c>
      <c r="AU166" s="303">
        <v>1</v>
      </c>
      <c r="AV166" s="303"/>
      <c r="AW166" s="303">
        <v>1</v>
      </c>
      <c r="AX166" s="303">
        <v>0</v>
      </c>
      <c r="AY166" s="303">
        <v>2</v>
      </c>
      <c r="AZ166" s="303"/>
      <c r="BA166" s="303">
        <v>1</v>
      </c>
      <c r="BB166" s="303">
        <v>1</v>
      </c>
      <c r="BC166" s="303">
        <v>0</v>
      </c>
      <c r="BD166" s="303"/>
      <c r="BE166" s="303">
        <v>0</v>
      </c>
      <c r="BF166" s="303">
        <v>1</v>
      </c>
      <c r="BG166" s="303">
        <v>1</v>
      </c>
      <c r="BH166" s="303"/>
      <c r="BI166" s="303">
        <v>0</v>
      </c>
      <c r="BJ166" s="303">
        <v>0</v>
      </c>
      <c r="BK166" s="303">
        <v>1</v>
      </c>
      <c r="BL166" s="303"/>
      <c r="BM166" s="303">
        <v>1</v>
      </c>
      <c r="BN166" s="303">
        <v>1</v>
      </c>
      <c r="BO166" s="303">
        <v>1</v>
      </c>
      <c r="BP166" s="303"/>
      <c r="BQ166" s="303">
        <v>5</v>
      </c>
      <c r="BR166" s="303">
        <v>1</v>
      </c>
      <c r="BS166" s="303">
        <v>0</v>
      </c>
      <c r="BT166" s="303"/>
      <c r="BU166" s="303">
        <v>0</v>
      </c>
      <c r="BV166" s="303">
        <v>0</v>
      </c>
      <c r="BW166" s="303">
        <v>0</v>
      </c>
    </row>
    <row r="167" spans="3:75" x14ac:dyDescent="0.2">
      <c r="C167" s="303">
        <v>0</v>
      </c>
      <c r="D167" s="303">
        <v>0</v>
      </c>
      <c r="E167" s="303">
        <v>2</v>
      </c>
      <c r="F167" s="303"/>
      <c r="G167" s="303">
        <v>1</v>
      </c>
      <c r="H167" s="303">
        <v>1</v>
      </c>
      <c r="I167" s="303">
        <v>0</v>
      </c>
      <c r="J167" s="303"/>
      <c r="K167" s="303">
        <v>1</v>
      </c>
      <c r="L167" s="303">
        <v>0</v>
      </c>
      <c r="M167" s="303">
        <v>0</v>
      </c>
      <c r="N167" s="303"/>
      <c r="O167" s="303">
        <v>0</v>
      </c>
      <c r="P167" s="303">
        <v>0</v>
      </c>
      <c r="Q167" s="303">
        <v>0</v>
      </c>
      <c r="R167" s="303"/>
      <c r="S167" s="303">
        <v>0</v>
      </c>
      <c r="T167" s="303">
        <v>1</v>
      </c>
      <c r="U167" s="303">
        <v>1</v>
      </c>
      <c r="V167" s="303"/>
      <c r="W167" s="303">
        <v>0</v>
      </c>
      <c r="X167" s="303">
        <v>0</v>
      </c>
      <c r="Y167" s="303">
        <v>0</v>
      </c>
      <c r="Z167" s="303"/>
      <c r="AA167" s="303">
        <v>0</v>
      </c>
      <c r="AB167" s="303">
        <v>0</v>
      </c>
      <c r="AC167" s="303">
        <v>1</v>
      </c>
      <c r="AD167" s="303"/>
      <c r="AE167" s="303">
        <v>1</v>
      </c>
      <c r="AF167" s="303">
        <v>0</v>
      </c>
      <c r="AG167" s="303">
        <v>0</v>
      </c>
      <c r="AH167" s="303"/>
      <c r="AI167" s="303">
        <v>0</v>
      </c>
      <c r="AJ167" s="303">
        <v>0</v>
      </c>
      <c r="AK167" s="303">
        <v>0</v>
      </c>
      <c r="AL167" s="303"/>
      <c r="AM167" s="303"/>
      <c r="AN167" s="303"/>
      <c r="AO167" s="303">
        <v>0</v>
      </c>
      <c r="AP167" s="303">
        <v>0</v>
      </c>
      <c r="AQ167" s="303">
        <v>1</v>
      </c>
      <c r="AR167" s="303"/>
      <c r="AS167" s="303">
        <v>1</v>
      </c>
      <c r="AT167" s="303">
        <v>2</v>
      </c>
      <c r="AU167" s="303">
        <v>0</v>
      </c>
      <c r="AV167" s="303"/>
      <c r="AW167" s="303">
        <v>0</v>
      </c>
      <c r="AX167" s="303">
        <v>0</v>
      </c>
      <c r="AY167" s="303">
        <v>1</v>
      </c>
      <c r="AZ167" s="303"/>
      <c r="BA167" s="303">
        <v>0</v>
      </c>
      <c r="BB167" s="303">
        <v>0</v>
      </c>
      <c r="BC167" s="303">
        <v>1</v>
      </c>
      <c r="BD167" s="303"/>
      <c r="BE167" s="303">
        <v>0</v>
      </c>
      <c r="BF167" s="303">
        <v>0</v>
      </c>
      <c r="BG167" s="303">
        <v>0</v>
      </c>
      <c r="BH167" s="303"/>
      <c r="BI167" s="303">
        <v>2</v>
      </c>
      <c r="BJ167" s="303">
        <v>1</v>
      </c>
      <c r="BK167" s="303">
        <v>1</v>
      </c>
      <c r="BL167" s="303"/>
      <c r="BM167" s="303">
        <v>1</v>
      </c>
      <c r="BN167" s="303">
        <v>0</v>
      </c>
      <c r="BO167" s="303">
        <v>0</v>
      </c>
      <c r="BP167" s="303"/>
      <c r="BQ167" s="303">
        <v>0</v>
      </c>
      <c r="BR167" s="303">
        <v>0</v>
      </c>
      <c r="BS167" s="303">
        <v>1</v>
      </c>
      <c r="BT167" s="303"/>
      <c r="BU167" s="303">
        <v>0</v>
      </c>
      <c r="BV167" s="303">
        <v>0</v>
      </c>
      <c r="BW167" s="303">
        <v>1</v>
      </c>
    </row>
    <row r="168" spans="3:75" x14ac:dyDescent="0.2">
      <c r="C168" s="303">
        <v>0</v>
      </c>
      <c r="D168" s="303">
        <v>0</v>
      </c>
      <c r="E168" s="303">
        <v>0</v>
      </c>
      <c r="F168" s="303"/>
      <c r="G168" s="303">
        <v>0</v>
      </c>
      <c r="H168" s="303">
        <v>1</v>
      </c>
      <c r="I168" s="303">
        <v>0</v>
      </c>
      <c r="J168" s="303"/>
      <c r="K168" s="303">
        <v>1</v>
      </c>
      <c r="L168" s="303">
        <v>0</v>
      </c>
      <c r="M168" s="303">
        <v>0</v>
      </c>
      <c r="N168" s="303"/>
      <c r="O168" s="303">
        <v>0</v>
      </c>
      <c r="P168" s="303">
        <v>0</v>
      </c>
      <c r="Q168" s="303">
        <v>0</v>
      </c>
      <c r="R168" s="303"/>
      <c r="S168" s="303">
        <v>0</v>
      </c>
      <c r="T168" s="303">
        <v>0</v>
      </c>
      <c r="U168" s="303">
        <v>0</v>
      </c>
      <c r="V168" s="303"/>
      <c r="W168" s="303">
        <v>1</v>
      </c>
      <c r="X168" s="303">
        <v>0</v>
      </c>
      <c r="Y168" s="303">
        <v>0</v>
      </c>
      <c r="Z168" s="303"/>
      <c r="AA168" s="303">
        <v>1</v>
      </c>
      <c r="AB168" s="303">
        <v>0</v>
      </c>
      <c r="AC168" s="303">
        <v>0</v>
      </c>
      <c r="AD168" s="303"/>
      <c r="AE168" s="303">
        <v>0</v>
      </c>
      <c r="AF168" s="303">
        <v>0</v>
      </c>
      <c r="AG168" s="303">
        <v>0</v>
      </c>
      <c r="AH168" s="303"/>
      <c r="AI168" s="303">
        <v>0</v>
      </c>
      <c r="AJ168" s="303">
        <v>0</v>
      </c>
      <c r="AK168" s="303">
        <v>0</v>
      </c>
      <c r="AL168" s="303"/>
      <c r="AM168" s="303"/>
      <c r="AN168" s="303"/>
      <c r="AO168" s="303">
        <v>0</v>
      </c>
      <c r="AP168" s="303">
        <v>0</v>
      </c>
      <c r="AQ168" s="303">
        <v>1</v>
      </c>
      <c r="AR168" s="303"/>
      <c r="AS168" s="303">
        <v>0</v>
      </c>
      <c r="AT168" s="303">
        <v>1</v>
      </c>
      <c r="AU168" s="303">
        <v>0</v>
      </c>
      <c r="AV168" s="303"/>
      <c r="AW168" s="303">
        <v>0</v>
      </c>
      <c r="AX168" s="303">
        <v>0</v>
      </c>
      <c r="AY168" s="303">
        <v>0</v>
      </c>
      <c r="AZ168" s="303"/>
      <c r="BA168" s="303">
        <v>0</v>
      </c>
      <c r="BB168" s="303">
        <v>0</v>
      </c>
      <c r="BC168" s="303">
        <v>0</v>
      </c>
      <c r="BD168" s="303"/>
      <c r="BE168" s="303">
        <v>0</v>
      </c>
      <c r="BF168" s="303">
        <v>0</v>
      </c>
      <c r="BG168" s="303">
        <v>1</v>
      </c>
      <c r="BH168" s="303"/>
      <c r="BI168" s="303">
        <v>2</v>
      </c>
      <c r="BJ168" s="303">
        <v>0</v>
      </c>
      <c r="BK168" s="303">
        <v>2</v>
      </c>
      <c r="BL168" s="303"/>
      <c r="BM168" s="303">
        <v>0</v>
      </c>
      <c r="BN168" s="303">
        <v>0</v>
      </c>
      <c r="BO168" s="303">
        <v>2</v>
      </c>
      <c r="BP168" s="303"/>
      <c r="BQ168" s="303">
        <v>0</v>
      </c>
      <c r="BR168" s="303">
        <v>0</v>
      </c>
      <c r="BS168" s="303">
        <v>0</v>
      </c>
      <c r="BT168" s="303"/>
      <c r="BU168" s="303">
        <v>0</v>
      </c>
      <c r="BV168" s="303">
        <v>0</v>
      </c>
      <c r="BW168" s="303">
        <v>0</v>
      </c>
    </row>
    <row r="169" spans="3:75" x14ac:dyDescent="0.2">
      <c r="C169" s="303">
        <v>0</v>
      </c>
      <c r="D169" s="303">
        <v>0</v>
      </c>
      <c r="E169" s="303">
        <v>0</v>
      </c>
      <c r="F169" s="303"/>
      <c r="G169" s="303">
        <v>1</v>
      </c>
      <c r="H169" s="303">
        <v>0</v>
      </c>
      <c r="I169" s="303">
        <v>0</v>
      </c>
      <c r="J169" s="303"/>
      <c r="K169" s="303">
        <v>0</v>
      </c>
      <c r="L169" s="303">
        <v>0</v>
      </c>
      <c r="M169" s="303">
        <v>0</v>
      </c>
      <c r="N169" s="303"/>
      <c r="O169" s="303">
        <v>0</v>
      </c>
      <c r="P169" s="303">
        <v>0</v>
      </c>
      <c r="Q169" s="303">
        <v>0</v>
      </c>
      <c r="R169" s="303"/>
      <c r="S169" s="303">
        <v>0</v>
      </c>
      <c r="T169" s="303">
        <v>0</v>
      </c>
      <c r="U169" s="303">
        <v>0</v>
      </c>
      <c r="V169" s="303"/>
      <c r="W169" s="303">
        <v>0</v>
      </c>
      <c r="X169" s="303">
        <v>0</v>
      </c>
      <c r="Y169" s="303">
        <v>1</v>
      </c>
      <c r="Z169" s="303"/>
      <c r="AA169" s="303">
        <v>1</v>
      </c>
      <c r="AB169" s="303">
        <v>0</v>
      </c>
      <c r="AC169" s="303">
        <v>1</v>
      </c>
      <c r="AD169" s="303"/>
      <c r="AE169" s="303">
        <v>0</v>
      </c>
      <c r="AF169" s="303">
        <v>0</v>
      </c>
      <c r="AG169" s="303">
        <v>0</v>
      </c>
      <c r="AH169" s="303"/>
      <c r="AI169" s="303">
        <v>0</v>
      </c>
      <c r="AJ169" s="303">
        <v>0</v>
      </c>
      <c r="AK169" s="303">
        <v>0</v>
      </c>
      <c r="AL169" s="303"/>
      <c r="AM169" s="303"/>
      <c r="AN169" s="303"/>
      <c r="AO169" s="303">
        <v>0</v>
      </c>
      <c r="AP169" s="303">
        <v>0</v>
      </c>
      <c r="AQ169" s="303">
        <v>2</v>
      </c>
      <c r="AR169" s="303"/>
      <c r="AS169" s="303">
        <v>0</v>
      </c>
      <c r="AT169" s="303">
        <v>0</v>
      </c>
      <c r="AU169" s="303">
        <v>0</v>
      </c>
      <c r="AV169" s="303"/>
      <c r="AW169" s="303">
        <v>0</v>
      </c>
      <c r="AX169" s="303">
        <v>0</v>
      </c>
      <c r="AY169" s="303">
        <v>0</v>
      </c>
      <c r="AZ169" s="303"/>
      <c r="BA169" s="303">
        <v>0</v>
      </c>
      <c r="BB169" s="303">
        <v>0</v>
      </c>
      <c r="BC169" s="303">
        <v>0</v>
      </c>
      <c r="BD169" s="303"/>
      <c r="BE169" s="303">
        <v>0</v>
      </c>
      <c r="BF169" s="303">
        <v>0</v>
      </c>
      <c r="BG169" s="303">
        <v>0</v>
      </c>
      <c r="BH169" s="303"/>
      <c r="BI169" s="303">
        <v>0</v>
      </c>
      <c r="BJ169" s="303">
        <v>0</v>
      </c>
      <c r="BK169" s="303">
        <v>1</v>
      </c>
      <c r="BL169" s="303"/>
      <c r="BM169" s="303">
        <v>0</v>
      </c>
      <c r="BN169" s="303">
        <v>0</v>
      </c>
      <c r="BO169" s="303">
        <v>1</v>
      </c>
      <c r="BP169" s="303"/>
      <c r="BQ169" s="303">
        <v>0</v>
      </c>
      <c r="BR169" s="303">
        <v>0</v>
      </c>
      <c r="BS169" s="303">
        <v>0</v>
      </c>
      <c r="BT169" s="303"/>
      <c r="BU169" s="303">
        <v>0</v>
      </c>
      <c r="BV169" s="303">
        <v>0</v>
      </c>
      <c r="BW169" s="303">
        <v>0</v>
      </c>
    </row>
    <row r="170" spans="3:75" x14ac:dyDescent="0.2">
      <c r="C170" s="303">
        <v>0</v>
      </c>
      <c r="D170" s="303">
        <v>0</v>
      </c>
      <c r="E170" s="303">
        <v>0</v>
      </c>
      <c r="F170" s="303"/>
      <c r="G170" s="303">
        <v>1</v>
      </c>
      <c r="H170" s="303">
        <v>0</v>
      </c>
      <c r="I170" s="303">
        <v>0</v>
      </c>
      <c r="J170" s="303"/>
      <c r="K170" s="303">
        <v>0</v>
      </c>
      <c r="L170" s="303">
        <v>0</v>
      </c>
      <c r="M170" s="303">
        <v>0</v>
      </c>
      <c r="N170" s="303"/>
      <c r="O170" s="303">
        <v>0</v>
      </c>
      <c r="P170" s="303">
        <v>0</v>
      </c>
      <c r="Q170" s="303">
        <v>0</v>
      </c>
      <c r="R170" s="303"/>
      <c r="S170" s="303">
        <v>0</v>
      </c>
      <c r="T170" s="303">
        <v>0</v>
      </c>
      <c r="U170" s="303">
        <v>0</v>
      </c>
      <c r="V170" s="303"/>
      <c r="W170" s="303">
        <v>0</v>
      </c>
      <c r="X170" s="303">
        <v>0</v>
      </c>
      <c r="Y170" s="303">
        <v>0</v>
      </c>
      <c r="Z170" s="303"/>
      <c r="AA170" s="303">
        <v>0</v>
      </c>
      <c r="AB170" s="303">
        <v>0</v>
      </c>
      <c r="AC170" s="303">
        <v>0</v>
      </c>
      <c r="AD170" s="303"/>
      <c r="AE170" s="303">
        <v>0</v>
      </c>
      <c r="AF170" s="303">
        <v>0</v>
      </c>
      <c r="AG170" s="303">
        <v>0</v>
      </c>
      <c r="AH170" s="303"/>
      <c r="AI170" s="303">
        <v>0</v>
      </c>
      <c r="AJ170" s="303">
        <v>0</v>
      </c>
      <c r="AK170" s="303">
        <v>0</v>
      </c>
      <c r="AL170" s="303"/>
      <c r="AM170" s="303"/>
      <c r="AN170" s="303"/>
      <c r="AO170" s="303">
        <v>0</v>
      </c>
      <c r="AP170" s="303">
        <v>0</v>
      </c>
      <c r="AQ170" s="303">
        <v>0</v>
      </c>
      <c r="AR170" s="303"/>
      <c r="AS170" s="303">
        <v>1</v>
      </c>
      <c r="AT170" s="303">
        <v>1</v>
      </c>
      <c r="AU170" s="303">
        <v>0</v>
      </c>
      <c r="AV170" s="303"/>
      <c r="AW170" s="303">
        <v>0</v>
      </c>
      <c r="AX170" s="303">
        <v>0</v>
      </c>
      <c r="AY170" s="303">
        <v>1</v>
      </c>
      <c r="AZ170" s="303"/>
      <c r="BA170" s="303">
        <v>0</v>
      </c>
      <c r="BB170" s="303">
        <v>0</v>
      </c>
      <c r="BC170" s="303">
        <v>1</v>
      </c>
      <c r="BD170" s="303"/>
      <c r="BE170" s="303">
        <v>0</v>
      </c>
      <c r="BF170" s="303">
        <v>0</v>
      </c>
      <c r="BG170" s="303">
        <v>0</v>
      </c>
      <c r="BH170" s="303"/>
      <c r="BI170" s="303">
        <v>0</v>
      </c>
      <c r="BJ170" s="303">
        <v>0</v>
      </c>
      <c r="BK170" s="303">
        <v>0</v>
      </c>
      <c r="BL170" s="303"/>
      <c r="BM170" s="303">
        <v>1</v>
      </c>
      <c r="BN170" s="303">
        <v>0</v>
      </c>
      <c r="BO170" s="303">
        <v>0</v>
      </c>
      <c r="BP170" s="303"/>
      <c r="BQ170" s="303">
        <v>0</v>
      </c>
      <c r="BR170" s="303">
        <v>0</v>
      </c>
      <c r="BS170" s="303">
        <v>0</v>
      </c>
      <c r="BT170" s="303"/>
      <c r="BU170" s="303">
        <v>0</v>
      </c>
      <c r="BV170" s="303">
        <v>0</v>
      </c>
      <c r="BW170" s="303">
        <v>0</v>
      </c>
    </row>
    <row r="171" spans="3:75" x14ac:dyDescent="0.2">
      <c r="C171" s="303">
        <v>0</v>
      </c>
      <c r="D171" s="303">
        <v>0</v>
      </c>
      <c r="E171" s="303">
        <v>0</v>
      </c>
      <c r="F171" s="303"/>
      <c r="G171" s="303">
        <v>0</v>
      </c>
      <c r="H171" s="303">
        <v>0</v>
      </c>
      <c r="I171" s="303">
        <v>0</v>
      </c>
      <c r="J171" s="303"/>
      <c r="K171" s="303">
        <v>0</v>
      </c>
      <c r="L171" s="303">
        <v>0</v>
      </c>
      <c r="M171" s="303">
        <v>0</v>
      </c>
      <c r="N171" s="303"/>
      <c r="O171" s="303">
        <v>0</v>
      </c>
      <c r="P171" s="303">
        <v>0</v>
      </c>
      <c r="Q171" s="303">
        <v>0</v>
      </c>
      <c r="R171" s="303"/>
      <c r="S171" s="303">
        <v>0</v>
      </c>
      <c r="T171" s="303">
        <v>0</v>
      </c>
      <c r="U171" s="303">
        <v>0</v>
      </c>
      <c r="V171" s="303"/>
      <c r="W171" s="303">
        <v>0</v>
      </c>
      <c r="X171" s="303">
        <v>0</v>
      </c>
      <c r="Y171" s="303">
        <v>1</v>
      </c>
      <c r="Z171" s="303"/>
      <c r="AA171" s="303">
        <v>0</v>
      </c>
      <c r="AB171" s="303">
        <v>0</v>
      </c>
      <c r="AC171" s="303">
        <v>0</v>
      </c>
      <c r="AD171" s="303"/>
      <c r="AE171" s="303">
        <v>0</v>
      </c>
      <c r="AF171" s="303">
        <v>0</v>
      </c>
      <c r="AG171" s="303">
        <v>0</v>
      </c>
      <c r="AH171" s="303"/>
      <c r="AI171" s="303">
        <v>1</v>
      </c>
      <c r="AJ171" s="303">
        <v>0</v>
      </c>
      <c r="AK171" s="303">
        <v>0</v>
      </c>
      <c r="AL171" s="303"/>
      <c r="AM171" s="303"/>
      <c r="AN171" s="303"/>
      <c r="AO171" s="303">
        <v>0</v>
      </c>
      <c r="AP171" s="303">
        <v>0</v>
      </c>
      <c r="AQ171" s="303">
        <v>1</v>
      </c>
      <c r="AR171" s="303"/>
      <c r="AS171" s="303">
        <v>0</v>
      </c>
      <c r="AT171" s="303">
        <v>0</v>
      </c>
      <c r="AU171" s="303">
        <v>0</v>
      </c>
      <c r="AV171" s="303"/>
      <c r="AW171" s="303">
        <v>0</v>
      </c>
      <c r="AX171" s="303">
        <v>0</v>
      </c>
      <c r="AY171" s="303">
        <v>1</v>
      </c>
      <c r="AZ171" s="303"/>
      <c r="BA171" s="303">
        <v>0</v>
      </c>
      <c r="BB171" s="303">
        <v>0</v>
      </c>
      <c r="BC171" s="303">
        <v>1</v>
      </c>
      <c r="BD171" s="303"/>
      <c r="BE171" s="303">
        <v>0</v>
      </c>
      <c r="BF171" s="303">
        <v>2</v>
      </c>
      <c r="BG171" s="303">
        <v>0</v>
      </c>
      <c r="BH171" s="303"/>
      <c r="BI171" s="303">
        <v>0</v>
      </c>
      <c r="BJ171" s="303">
        <v>0</v>
      </c>
      <c r="BK171" s="303">
        <v>1</v>
      </c>
      <c r="BL171" s="303"/>
      <c r="BM171" s="303">
        <v>0</v>
      </c>
      <c r="BN171" s="303">
        <v>0</v>
      </c>
      <c r="BO171" s="303">
        <v>0</v>
      </c>
      <c r="BP171" s="303"/>
      <c r="BQ171" s="303">
        <v>0</v>
      </c>
      <c r="BR171" s="303">
        <v>0</v>
      </c>
      <c r="BS171" s="303">
        <v>0</v>
      </c>
      <c r="BT171" s="303"/>
      <c r="BU171" s="303">
        <v>0</v>
      </c>
      <c r="BV171" s="303">
        <v>0</v>
      </c>
      <c r="BW171" s="303">
        <v>0</v>
      </c>
    </row>
    <row r="172" spans="3:75" x14ac:dyDescent="0.2">
      <c r="C172" s="303">
        <v>0</v>
      </c>
      <c r="D172" s="303">
        <v>0</v>
      </c>
      <c r="E172" s="303">
        <v>0</v>
      </c>
      <c r="F172" s="303"/>
      <c r="G172" s="303">
        <v>0</v>
      </c>
      <c r="H172" s="303">
        <v>0</v>
      </c>
      <c r="I172" s="303">
        <v>0</v>
      </c>
      <c r="J172" s="303"/>
      <c r="K172" s="303">
        <v>0</v>
      </c>
      <c r="L172" s="303">
        <v>0</v>
      </c>
      <c r="M172" s="303">
        <v>0</v>
      </c>
      <c r="N172" s="303"/>
      <c r="O172" s="303">
        <v>0</v>
      </c>
      <c r="P172" s="303">
        <v>0</v>
      </c>
      <c r="Q172" s="303">
        <v>1</v>
      </c>
      <c r="R172" s="303"/>
      <c r="S172" s="303">
        <v>0</v>
      </c>
      <c r="T172" s="303">
        <v>2</v>
      </c>
      <c r="U172" s="303">
        <v>0</v>
      </c>
      <c r="V172" s="303"/>
      <c r="W172" s="303">
        <v>0</v>
      </c>
      <c r="X172" s="303">
        <v>0</v>
      </c>
      <c r="Y172" s="303">
        <v>0</v>
      </c>
      <c r="Z172" s="303"/>
      <c r="AA172" s="303">
        <v>0</v>
      </c>
      <c r="AB172" s="303">
        <v>0</v>
      </c>
      <c r="AC172" s="303">
        <v>0</v>
      </c>
      <c r="AD172" s="303"/>
      <c r="AE172" s="303">
        <v>0</v>
      </c>
      <c r="AF172" s="303">
        <v>0</v>
      </c>
      <c r="AG172" s="303">
        <v>0</v>
      </c>
      <c r="AH172" s="303"/>
      <c r="AI172" s="303">
        <v>0</v>
      </c>
      <c r="AJ172" s="303">
        <v>0</v>
      </c>
      <c r="AK172" s="303">
        <v>0</v>
      </c>
      <c r="AL172" s="303"/>
      <c r="AM172" s="303"/>
      <c r="AN172" s="303"/>
      <c r="AO172" s="303">
        <v>0</v>
      </c>
      <c r="AP172" s="303">
        <v>0</v>
      </c>
      <c r="AQ172" s="303">
        <v>0</v>
      </c>
      <c r="AR172" s="303"/>
      <c r="AS172" s="303">
        <v>0</v>
      </c>
      <c r="AT172" s="303">
        <v>0</v>
      </c>
      <c r="AU172" s="303">
        <v>0</v>
      </c>
      <c r="AV172" s="303"/>
      <c r="AW172" s="303">
        <v>0</v>
      </c>
      <c r="AX172" s="303">
        <v>0</v>
      </c>
      <c r="AY172" s="303">
        <v>0</v>
      </c>
      <c r="AZ172" s="303"/>
      <c r="BA172" s="303">
        <v>0</v>
      </c>
      <c r="BB172" s="303">
        <v>0</v>
      </c>
      <c r="BC172" s="303">
        <v>0</v>
      </c>
      <c r="BD172" s="303"/>
      <c r="BE172" s="303">
        <v>0</v>
      </c>
      <c r="BF172" s="303">
        <v>0</v>
      </c>
      <c r="BG172" s="303">
        <v>0</v>
      </c>
      <c r="BH172" s="303"/>
      <c r="BI172" s="303">
        <v>0</v>
      </c>
      <c r="BJ172" s="303">
        <v>0</v>
      </c>
      <c r="BK172" s="303">
        <v>0</v>
      </c>
      <c r="BL172" s="303"/>
      <c r="BM172" s="303">
        <v>1</v>
      </c>
      <c r="BN172" s="303">
        <v>0</v>
      </c>
      <c r="BO172" s="303">
        <v>1</v>
      </c>
      <c r="BP172" s="303"/>
      <c r="BQ172" s="303">
        <v>0</v>
      </c>
      <c r="BR172" s="303">
        <v>0</v>
      </c>
      <c r="BS172" s="303">
        <v>0</v>
      </c>
      <c r="BT172" s="303"/>
      <c r="BU172" s="303">
        <v>0</v>
      </c>
      <c r="BV172" s="303">
        <v>0</v>
      </c>
      <c r="BW172" s="303">
        <v>0</v>
      </c>
    </row>
    <row r="173" spans="3:75" x14ac:dyDescent="0.2">
      <c r="C173" s="303">
        <v>0</v>
      </c>
      <c r="D173" s="303">
        <v>0</v>
      </c>
      <c r="E173" s="303">
        <v>0</v>
      </c>
      <c r="F173" s="303"/>
      <c r="G173" s="303">
        <v>0</v>
      </c>
      <c r="H173" s="303">
        <v>1</v>
      </c>
      <c r="I173" s="303">
        <v>0</v>
      </c>
      <c r="J173" s="303"/>
      <c r="K173" s="303">
        <v>0</v>
      </c>
      <c r="L173" s="303">
        <v>0</v>
      </c>
      <c r="M173" s="303">
        <v>0</v>
      </c>
      <c r="N173" s="303"/>
      <c r="O173" s="303">
        <v>0</v>
      </c>
      <c r="P173" s="303">
        <v>0</v>
      </c>
      <c r="Q173" s="303">
        <v>1</v>
      </c>
      <c r="R173" s="303"/>
      <c r="S173" s="303">
        <v>0</v>
      </c>
      <c r="T173" s="303">
        <v>0</v>
      </c>
      <c r="U173" s="303">
        <v>0</v>
      </c>
      <c r="V173" s="303"/>
      <c r="W173" s="303">
        <v>0</v>
      </c>
      <c r="X173" s="303">
        <v>0</v>
      </c>
      <c r="Y173" s="303">
        <v>0</v>
      </c>
      <c r="Z173" s="303"/>
      <c r="AA173" s="303">
        <v>0</v>
      </c>
      <c r="AB173" s="303">
        <v>0</v>
      </c>
      <c r="AC173" s="303">
        <v>0</v>
      </c>
      <c r="AD173" s="303"/>
      <c r="AE173" s="303">
        <v>0</v>
      </c>
      <c r="AF173" s="303">
        <v>0</v>
      </c>
      <c r="AG173" s="303">
        <v>0</v>
      </c>
      <c r="AH173" s="303"/>
      <c r="AI173" s="303">
        <v>0</v>
      </c>
      <c r="AJ173" s="303">
        <v>0</v>
      </c>
      <c r="AK173" s="303">
        <v>0</v>
      </c>
      <c r="AL173" s="303"/>
      <c r="AM173" s="303"/>
      <c r="AN173" s="303"/>
      <c r="AO173" s="303">
        <v>0</v>
      </c>
      <c r="AP173" s="303">
        <v>0</v>
      </c>
      <c r="AQ173" s="303">
        <v>0</v>
      </c>
      <c r="AR173" s="303"/>
      <c r="AS173" s="303">
        <v>0</v>
      </c>
      <c r="AT173" s="303">
        <v>1</v>
      </c>
      <c r="AU173" s="303">
        <v>0</v>
      </c>
      <c r="AV173" s="303"/>
      <c r="AW173" s="303">
        <v>0</v>
      </c>
      <c r="AX173" s="303">
        <v>0</v>
      </c>
      <c r="AY173" s="303">
        <v>0</v>
      </c>
      <c r="AZ173" s="303"/>
      <c r="BA173" s="303">
        <v>0</v>
      </c>
      <c r="BB173" s="303">
        <v>0</v>
      </c>
      <c r="BC173" s="303">
        <v>0</v>
      </c>
      <c r="BD173" s="303"/>
      <c r="BE173" s="303">
        <v>0</v>
      </c>
      <c r="BF173" s="303">
        <v>1</v>
      </c>
      <c r="BG173" s="303">
        <v>0</v>
      </c>
      <c r="BH173" s="303"/>
      <c r="BI173" s="303">
        <v>0</v>
      </c>
      <c r="BJ173" s="303">
        <v>0</v>
      </c>
      <c r="BK173" s="303">
        <v>0</v>
      </c>
      <c r="BL173" s="303"/>
      <c r="BM173" s="303">
        <v>0</v>
      </c>
      <c r="BN173" s="303">
        <v>0</v>
      </c>
      <c r="BO173" s="303">
        <v>0</v>
      </c>
      <c r="BP173" s="303"/>
      <c r="BQ173" s="303">
        <v>0</v>
      </c>
      <c r="BR173" s="303">
        <v>0</v>
      </c>
      <c r="BS173" s="303">
        <v>0</v>
      </c>
      <c r="BT173" s="303"/>
      <c r="BU173" s="303">
        <v>0</v>
      </c>
      <c r="BV173" s="303">
        <v>0</v>
      </c>
      <c r="BW173" s="303">
        <v>0</v>
      </c>
    </row>
    <row r="174" spans="3:75" x14ac:dyDescent="0.2">
      <c r="C174" s="303">
        <v>0</v>
      </c>
      <c r="D174" s="303">
        <v>0</v>
      </c>
      <c r="E174" s="303">
        <v>0</v>
      </c>
      <c r="F174" s="303"/>
      <c r="G174" s="303">
        <v>0</v>
      </c>
      <c r="H174" s="303">
        <v>0</v>
      </c>
      <c r="I174" s="303">
        <v>0</v>
      </c>
      <c r="J174" s="303"/>
      <c r="K174" s="303">
        <v>0</v>
      </c>
      <c r="L174" s="303">
        <v>0</v>
      </c>
      <c r="M174" s="303">
        <v>0</v>
      </c>
      <c r="N174" s="303"/>
      <c r="O174" s="303">
        <v>0</v>
      </c>
      <c r="P174" s="303">
        <v>0</v>
      </c>
      <c r="Q174" s="303">
        <v>0</v>
      </c>
      <c r="R174" s="303"/>
      <c r="S174" s="303">
        <v>0</v>
      </c>
      <c r="T174" s="303">
        <v>1</v>
      </c>
      <c r="U174" s="303">
        <v>0</v>
      </c>
      <c r="V174" s="303"/>
      <c r="W174" s="303">
        <v>0</v>
      </c>
      <c r="X174" s="303">
        <v>0</v>
      </c>
      <c r="Y174" s="303">
        <v>0</v>
      </c>
      <c r="Z174" s="303"/>
      <c r="AA174" s="303">
        <v>0</v>
      </c>
      <c r="AB174" s="303">
        <v>0</v>
      </c>
      <c r="AC174" s="303">
        <v>0</v>
      </c>
      <c r="AD174" s="303"/>
      <c r="AE174" s="303">
        <v>0</v>
      </c>
      <c r="AF174" s="303">
        <v>0</v>
      </c>
      <c r="AG174" s="303">
        <v>0</v>
      </c>
      <c r="AH174" s="303"/>
      <c r="AI174" s="303">
        <v>0</v>
      </c>
      <c r="AJ174" s="303">
        <v>0</v>
      </c>
      <c r="AK174" s="303">
        <v>1</v>
      </c>
      <c r="AL174" s="303"/>
      <c r="AM174" s="303"/>
      <c r="AN174" s="303"/>
      <c r="AO174" s="303">
        <v>0</v>
      </c>
      <c r="AP174" s="303">
        <v>0</v>
      </c>
      <c r="AQ174" s="303">
        <v>0</v>
      </c>
      <c r="AR174" s="303"/>
      <c r="AS174" s="303">
        <v>0</v>
      </c>
      <c r="AT174" s="303">
        <v>0</v>
      </c>
      <c r="AU174" s="303">
        <v>0</v>
      </c>
      <c r="AV174" s="303"/>
      <c r="AW174" s="303">
        <v>0</v>
      </c>
      <c r="AX174" s="303">
        <v>0</v>
      </c>
      <c r="AY174" s="303">
        <v>0</v>
      </c>
      <c r="AZ174" s="303"/>
      <c r="BA174" s="303">
        <v>0</v>
      </c>
      <c r="BB174" s="303">
        <v>0</v>
      </c>
      <c r="BC174" s="303">
        <v>1</v>
      </c>
      <c r="BD174" s="303"/>
      <c r="BE174" s="303">
        <v>0</v>
      </c>
      <c r="BF174" s="303">
        <v>0</v>
      </c>
      <c r="BG174" s="303">
        <v>0</v>
      </c>
      <c r="BH174" s="303"/>
      <c r="BI174" s="303">
        <v>0</v>
      </c>
      <c r="BJ174" s="303">
        <v>0</v>
      </c>
      <c r="BK174" s="303">
        <v>0</v>
      </c>
      <c r="BL174" s="303"/>
      <c r="BM174" s="303">
        <v>0</v>
      </c>
      <c r="BN174" s="303">
        <v>0</v>
      </c>
      <c r="BO174" s="303">
        <v>0</v>
      </c>
      <c r="BP174" s="303"/>
      <c r="BQ174" s="303">
        <v>0</v>
      </c>
      <c r="BR174" s="303">
        <v>0</v>
      </c>
      <c r="BS174" s="303">
        <v>0</v>
      </c>
      <c r="BT174" s="303"/>
      <c r="BU174" s="303">
        <v>0</v>
      </c>
      <c r="BV174" s="303">
        <v>0</v>
      </c>
      <c r="BW174" s="303">
        <v>0</v>
      </c>
    </row>
    <row r="175" spans="3:75" x14ac:dyDescent="0.2">
      <c r="C175" s="303">
        <v>0</v>
      </c>
      <c r="D175" s="303">
        <v>0</v>
      </c>
      <c r="E175" s="303">
        <v>0</v>
      </c>
      <c r="F175" s="303"/>
      <c r="G175" s="303">
        <v>0</v>
      </c>
      <c r="H175" s="303">
        <v>0</v>
      </c>
      <c r="I175" s="303">
        <v>0</v>
      </c>
      <c r="J175" s="303"/>
      <c r="K175" s="303">
        <v>0</v>
      </c>
      <c r="L175" s="303">
        <v>0</v>
      </c>
      <c r="M175" s="303">
        <v>0</v>
      </c>
      <c r="N175" s="303"/>
      <c r="O175" s="303">
        <v>0</v>
      </c>
      <c r="P175" s="303">
        <v>0</v>
      </c>
      <c r="Q175" s="303">
        <v>0</v>
      </c>
      <c r="R175" s="303"/>
      <c r="S175" s="303">
        <v>0</v>
      </c>
      <c r="T175" s="303">
        <v>0</v>
      </c>
      <c r="U175" s="303">
        <v>0</v>
      </c>
      <c r="V175" s="303"/>
      <c r="W175" s="303">
        <v>0</v>
      </c>
      <c r="X175" s="303">
        <v>0</v>
      </c>
      <c r="Y175" s="303">
        <v>0</v>
      </c>
      <c r="Z175" s="303"/>
      <c r="AA175" s="303">
        <v>0</v>
      </c>
      <c r="AB175" s="303">
        <v>0</v>
      </c>
      <c r="AC175" s="303">
        <v>0</v>
      </c>
      <c r="AD175" s="303"/>
      <c r="AE175" s="303">
        <v>0</v>
      </c>
      <c r="AF175" s="303">
        <v>0</v>
      </c>
      <c r="AG175" s="303">
        <v>0</v>
      </c>
      <c r="AH175" s="303"/>
      <c r="AI175" s="303">
        <v>0</v>
      </c>
      <c r="AJ175" s="303">
        <v>0</v>
      </c>
      <c r="AK175" s="303">
        <v>0</v>
      </c>
      <c r="AL175" s="303"/>
      <c r="AM175" s="303"/>
      <c r="AN175" s="303"/>
      <c r="AO175" s="303">
        <v>0</v>
      </c>
      <c r="AP175" s="303">
        <v>0</v>
      </c>
      <c r="AQ175" s="303">
        <v>1</v>
      </c>
      <c r="AR175" s="303"/>
      <c r="AS175" s="303">
        <v>0</v>
      </c>
      <c r="AT175" s="303">
        <v>0</v>
      </c>
      <c r="AU175" s="303">
        <v>0</v>
      </c>
      <c r="AV175" s="303"/>
      <c r="AW175" s="303">
        <v>0</v>
      </c>
      <c r="AX175" s="303">
        <v>0</v>
      </c>
      <c r="AY175" s="303">
        <v>0</v>
      </c>
      <c r="AZ175" s="303"/>
      <c r="BA175" s="303">
        <v>0</v>
      </c>
      <c r="BB175" s="303">
        <v>0</v>
      </c>
      <c r="BC175" s="303">
        <v>0</v>
      </c>
      <c r="BD175" s="303"/>
      <c r="BE175" s="303">
        <v>0</v>
      </c>
      <c r="BF175" s="303">
        <v>0</v>
      </c>
      <c r="BG175" s="303">
        <v>0</v>
      </c>
      <c r="BH175" s="303"/>
      <c r="BI175" s="303">
        <v>0</v>
      </c>
      <c r="BJ175" s="303">
        <v>0</v>
      </c>
      <c r="BK175" s="303">
        <v>0</v>
      </c>
      <c r="BL175" s="303"/>
      <c r="BM175" s="303">
        <v>0</v>
      </c>
      <c r="BN175" s="303">
        <v>0</v>
      </c>
      <c r="BO175" s="303">
        <v>0</v>
      </c>
      <c r="BP175" s="303"/>
      <c r="BQ175" s="303">
        <v>0</v>
      </c>
      <c r="BR175" s="303">
        <v>0</v>
      </c>
      <c r="BS175" s="303">
        <v>0</v>
      </c>
      <c r="BT175" s="303"/>
      <c r="BU175" s="303">
        <v>0</v>
      </c>
      <c r="BV175" s="303">
        <v>0</v>
      </c>
      <c r="BW175" s="303">
        <v>0</v>
      </c>
    </row>
  </sheetData>
  <mergeCells count="24">
    <mergeCell ref="BA3:BD3"/>
    <mergeCell ref="BE3:BH3"/>
    <mergeCell ref="BI3:BL3"/>
    <mergeCell ref="C2:N2"/>
    <mergeCell ref="O2:Z2"/>
    <mergeCell ref="AA2:AL2"/>
    <mergeCell ref="AO2:AZ2"/>
    <mergeCell ref="BA2:BL2"/>
    <mergeCell ref="BM3:BP3"/>
    <mergeCell ref="BQ3:BT3"/>
    <mergeCell ref="BU3:BX3"/>
    <mergeCell ref="BM2:BX2"/>
    <mergeCell ref="C3:F3"/>
    <mergeCell ref="G3:J3"/>
    <mergeCell ref="K3:N3"/>
    <mergeCell ref="O3:R3"/>
    <mergeCell ref="S3:V3"/>
    <mergeCell ref="W3:Z3"/>
    <mergeCell ref="AA3:AD3"/>
    <mergeCell ref="AE3:AH3"/>
    <mergeCell ref="AI3:AL3"/>
    <mergeCell ref="AO3:AR3"/>
    <mergeCell ref="AS3:AV3"/>
    <mergeCell ref="AW3:AZ3"/>
  </mergeCells>
  <conditionalFormatting sqref="D52:AD52">
    <cfRule type="cellIs" dxfId="19" priority="19" operator="equal">
      <formula>"Rechazado"</formula>
    </cfRule>
    <cfRule type="cellIs" dxfId="18" priority="20" operator="equal">
      <formula>"Aceptado"</formula>
    </cfRule>
  </conditionalFormatting>
  <conditionalFormatting sqref="D54:AG54">
    <cfRule type="cellIs" dxfId="17" priority="17" operator="equal">
      <formula>"Rechazado"</formula>
    </cfRule>
    <cfRule type="cellIs" dxfId="16" priority="18" operator="equal">
      <formula>"Aceptado"</formula>
    </cfRule>
  </conditionalFormatting>
  <conditionalFormatting sqref="D65:AK65">
    <cfRule type="cellIs" dxfId="15" priority="15" operator="equal">
      <formula>"Rechazado"</formula>
    </cfRule>
    <cfRule type="cellIs" dxfId="14" priority="16" operator="equal">
      <formula>"Aceptado"</formula>
    </cfRule>
  </conditionalFormatting>
  <conditionalFormatting sqref="D69:BX69">
    <cfRule type="cellIs" dxfId="13" priority="13" operator="equal">
      <formula>"Rechazado"</formula>
    </cfRule>
    <cfRule type="cellIs" dxfId="12" priority="14" operator="equal">
      <formula>"Aceptado"</formula>
    </cfRule>
  </conditionalFormatting>
  <conditionalFormatting sqref="E71:BW71">
    <cfRule type="cellIs" dxfId="11" priority="11" operator="equal">
      <formula>"Rechazado"</formula>
    </cfRule>
    <cfRule type="cellIs" dxfId="10" priority="12" operator="equal">
      <formula>"Aceptado"</formula>
    </cfRule>
  </conditionalFormatting>
  <conditionalFormatting sqref="AY65:BK65">
    <cfRule type="cellIs" dxfId="9" priority="9" operator="equal">
      <formula>"Rechazado"</formula>
    </cfRule>
    <cfRule type="cellIs" dxfId="8" priority="10" operator="equal">
      <formula>"Aceptado"</formula>
    </cfRule>
  </conditionalFormatting>
  <conditionalFormatting sqref="BO65:BW65">
    <cfRule type="cellIs" dxfId="7" priority="7" operator="equal">
      <formula>"Rechazado"</formula>
    </cfRule>
    <cfRule type="cellIs" dxfId="6" priority="8" operator="equal">
      <formula>"Aceptado"</formula>
    </cfRule>
  </conditionalFormatting>
  <conditionalFormatting sqref="AG52:BW52">
    <cfRule type="cellIs" dxfId="5" priority="5" operator="equal">
      <formula>"Rechazado"</formula>
    </cfRule>
    <cfRule type="cellIs" dxfId="4" priority="6" operator="equal">
      <formula>"Aceptado"</formula>
    </cfRule>
  </conditionalFormatting>
  <conditionalFormatting sqref="AK54:BW54">
    <cfRule type="cellIs" dxfId="3" priority="3" operator="equal">
      <formula>"Rechazado"</formula>
    </cfRule>
    <cfRule type="cellIs" dxfId="2" priority="4" operator="equal">
      <formula>"Aceptado"</formula>
    </cfRule>
  </conditionalFormatting>
  <conditionalFormatting sqref="A63:XFD63">
    <cfRule type="cellIs" dxfId="1" priority="1" operator="equal">
      <formula>"Rechazado"</formula>
    </cfRule>
    <cfRule type="cellIs" dxfId="0" priority="2" operator="equal">
      <formula>"Aceptado"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B1:Z1979"/>
  <sheetViews>
    <sheetView zoomScale="85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I16" sqref="I16"/>
    </sheetView>
  </sheetViews>
  <sheetFormatPr defaultColWidth="9.140625" defaultRowHeight="12.75" x14ac:dyDescent="0.2"/>
  <cols>
    <col min="2" max="2" width="20.42578125" style="117" customWidth="1"/>
    <col min="3" max="3" width="29.28515625" customWidth="1"/>
    <col min="4" max="4" width="22.42578125" bestFit="1" customWidth="1"/>
    <col min="5" max="6" width="22.85546875" bestFit="1" customWidth="1"/>
    <col min="7" max="8" width="23.28515625" bestFit="1" customWidth="1"/>
    <col min="9" max="10" width="22.7109375" bestFit="1" customWidth="1"/>
    <col min="11" max="12" width="23.42578125" bestFit="1" customWidth="1"/>
    <col min="13" max="14" width="23.85546875" bestFit="1" customWidth="1"/>
    <col min="15" max="16" width="23.28515625" bestFit="1" customWidth="1"/>
    <col min="17" max="18" width="33" bestFit="1" customWidth="1"/>
    <col min="19" max="20" width="23.28515625" bestFit="1" customWidth="1"/>
    <col min="21" max="22" width="24" bestFit="1" customWidth="1"/>
    <col min="23" max="26" width="22.85546875" bestFit="1" customWidth="1"/>
  </cols>
  <sheetData>
    <row r="1" spans="2:26" x14ac:dyDescent="0.2">
      <c r="C1" s="1"/>
      <c r="D1" s="61"/>
    </row>
    <row r="2" spans="2:26" x14ac:dyDescent="0.2">
      <c r="C2" s="1"/>
      <c r="D2" s="1"/>
    </row>
    <row r="3" spans="2:26" ht="13.5" thickBot="1" x14ac:dyDescent="0.25">
      <c r="D3" s="1"/>
    </row>
    <row r="4" spans="2:26" ht="13.5" thickBot="1" x14ac:dyDescent="0.25">
      <c r="E4" s="70" t="s">
        <v>52</v>
      </c>
      <c r="F4" s="71"/>
      <c r="G4" s="71"/>
      <c r="H4" s="71"/>
      <c r="I4" s="71"/>
      <c r="J4" s="71"/>
      <c r="K4" s="72" t="s">
        <v>51</v>
      </c>
      <c r="L4" s="73"/>
      <c r="M4" s="73"/>
      <c r="N4" s="73"/>
      <c r="O4" s="74"/>
      <c r="P4" s="73"/>
      <c r="Q4" s="73"/>
      <c r="R4" s="73"/>
      <c r="S4" s="75" t="s">
        <v>53</v>
      </c>
      <c r="T4" s="76"/>
      <c r="U4" s="76"/>
      <c r="V4" s="76"/>
      <c r="W4" s="76"/>
      <c r="X4" s="76"/>
      <c r="Y4" s="76"/>
      <c r="Z4" s="76"/>
    </row>
    <row r="5" spans="2:26" x14ac:dyDescent="0.2">
      <c r="E5" s="416" t="s">
        <v>1</v>
      </c>
      <c r="F5" s="417"/>
      <c r="G5" s="416" t="s">
        <v>2</v>
      </c>
      <c r="H5" s="417"/>
      <c r="I5" s="416" t="s">
        <v>3</v>
      </c>
      <c r="J5" s="417"/>
      <c r="K5" s="418" t="s">
        <v>1</v>
      </c>
      <c r="L5" s="419"/>
      <c r="M5" s="418" t="s">
        <v>2</v>
      </c>
      <c r="N5" s="419"/>
      <c r="O5" s="418" t="s">
        <v>3</v>
      </c>
      <c r="P5" s="419"/>
      <c r="Q5" s="418" t="s">
        <v>236</v>
      </c>
      <c r="R5" s="419"/>
      <c r="S5" s="414" t="s">
        <v>1</v>
      </c>
      <c r="T5" s="415"/>
      <c r="U5" s="414" t="s">
        <v>2</v>
      </c>
      <c r="V5" s="415"/>
      <c r="W5" s="414" t="s">
        <v>3</v>
      </c>
      <c r="X5" s="415"/>
      <c r="Y5" s="414" t="s">
        <v>236</v>
      </c>
      <c r="Z5" s="415"/>
    </row>
    <row r="6" spans="2:26" ht="15" x14ac:dyDescent="0.25">
      <c r="E6" s="77" t="s">
        <v>233</v>
      </c>
      <c r="F6" s="77" t="s">
        <v>233</v>
      </c>
      <c r="G6" s="77" t="s">
        <v>234</v>
      </c>
      <c r="H6" s="77" t="s">
        <v>234</v>
      </c>
      <c r="I6" s="77" t="s">
        <v>235</v>
      </c>
      <c r="J6" s="77" t="s">
        <v>235</v>
      </c>
      <c r="K6" s="2" t="s">
        <v>230</v>
      </c>
      <c r="L6" s="2" t="s">
        <v>230</v>
      </c>
      <c r="M6" s="2" t="s">
        <v>231</v>
      </c>
      <c r="N6" s="2" t="s">
        <v>231</v>
      </c>
      <c r="O6" s="2" t="s">
        <v>232</v>
      </c>
      <c r="P6" s="2" t="s">
        <v>232</v>
      </c>
      <c r="Q6" s="2" t="s">
        <v>243</v>
      </c>
      <c r="R6" s="2" t="s">
        <v>243</v>
      </c>
      <c r="S6" s="265" t="s">
        <v>209</v>
      </c>
      <c r="T6" s="264" t="s">
        <v>209</v>
      </c>
      <c r="U6" s="264" t="s">
        <v>210</v>
      </c>
      <c r="V6" s="264" t="s">
        <v>210</v>
      </c>
      <c r="W6" s="264" t="s">
        <v>211</v>
      </c>
      <c r="X6" s="264" t="s">
        <v>211</v>
      </c>
      <c r="Y6" s="285" t="s">
        <v>242</v>
      </c>
      <c r="Z6" s="284" t="s">
        <v>242</v>
      </c>
    </row>
    <row r="7" spans="2:26" ht="13.5" thickBot="1" x14ac:dyDescent="0.25">
      <c r="C7" s="78"/>
      <c r="E7" s="79"/>
      <c r="F7" s="79"/>
      <c r="G7" s="80"/>
      <c r="H7" s="80"/>
      <c r="I7" s="81"/>
      <c r="J7" s="81"/>
      <c r="K7" s="3"/>
      <c r="L7" s="3"/>
      <c r="M7" s="3"/>
      <c r="N7" s="3"/>
      <c r="O7" s="3"/>
      <c r="P7" s="3"/>
      <c r="Q7" s="3"/>
      <c r="R7" s="3"/>
      <c r="S7" s="82"/>
      <c r="T7" s="82"/>
      <c r="U7" s="82"/>
      <c r="V7" s="82"/>
      <c r="W7" s="82"/>
      <c r="X7" s="82"/>
      <c r="Y7" s="82"/>
      <c r="Z7" s="82"/>
    </row>
    <row r="8" spans="2:26" ht="16.5" thickBot="1" x14ac:dyDescent="0.3">
      <c r="B8" s="116" t="s">
        <v>14</v>
      </c>
      <c r="C8" s="42" t="s">
        <v>46</v>
      </c>
      <c r="D8" s="43"/>
      <c r="E8" s="50" t="s">
        <v>10</v>
      </c>
      <c r="F8" s="50" t="s">
        <v>11</v>
      </c>
      <c r="G8" s="50" t="s">
        <v>10</v>
      </c>
      <c r="H8" s="50" t="s">
        <v>11</v>
      </c>
      <c r="I8" s="50" t="s">
        <v>10</v>
      </c>
      <c r="J8" s="50" t="s">
        <v>11</v>
      </c>
      <c r="K8" s="50" t="s">
        <v>10</v>
      </c>
      <c r="L8" s="50" t="s">
        <v>11</v>
      </c>
      <c r="M8" s="50" t="s">
        <v>10</v>
      </c>
      <c r="N8" s="50" t="s">
        <v>11</v>
      </c>
      <c r="O8" s="50" t="s">
        <v>10</v>
      </c>
      <c r="P8" s="50" t="s">
        <v>11</v>
      </c>
      <c r="Q8" s="50" t="s">
        <v>10</v>
      </c>
      <c r="R8" s="50" t="s">
        <v>11</v>
      </c>
      <c r="S8" s="50" t="s">
        <v>10</v>
      </c>
      <c r="T8" s="50" t="s">
        <v>11</v>
      </c>
      <c r="U8" s="50" t="s">
        <v>10</v>
      </c>
      <c r="V8" s="50" t="s">
        <v>11</v>
      </c>
      <c r="W8" s="50" t="s">
        <v>10</v>
      </c>
      <c r="X8" s="50" t="s">
        <v>11</v>
      </c>
      <c r="Y8" s="50" t="s">
        <v>10</v>
      </c>
      <c r="Z8" s="50" t="s">
        <v>11</v>
      </c>
    </row>
    <row r="9" spans="2:26" s="5" customFormat="1" ht="18.75" customHeight="1" thickBot="1" x14ac:dyDescent="0.3">
      <c r="B9" s="118">
        <f>Laboratorio_M!B7</f>
        <v>46248</v>
      </c>
      <c r="C9" s="119">
        <f>B9+18.5/24</f>
        <v>46248.770833333336</v>
      </c>
      <c r="D9" s="119">
        <f>C9+0.5</f>
        <v>46249.270833333336</v>
      </c>
      <c r="E9" s="160">
        <f>IF(ISNUMBER(_xll.PIArcVal(E$6,$C9, 0,"TPI","AUTO"))=TRUE,_xll.PIArcVal(E$6,$C9, 0,"TPI","AUTO"),"")</f>
        <v>22.597080230712891</v>
      </c>
      <c r="F9" s="160">
        <f>IF(ISNUMBER(_xll.PIArcVal(F$6,$D9, 0,"TPI","AUTO"))=TRUE,_xll.PIArcVal(F$6,$D9, 0,"TPI","AUTO"),"")</f>
        <v>22.597080230712891</v>
      </c>
      <c r="G9" s="160">
        <f>IF(ISNUMBER(_xll.PIArcVal(G$6,$C9, 0,"TPI","AUTO"))=TRUE,_xll.PIArcVal(G$6,$C9, 0,"TPI","AUTO"),"")</f>
        <v>1.4718281030654907</v>
      </c>
      <c r="H9" s="160">
        <f>IF(ISNUMBER(_xll.PIArcVal(H$6,$D9, 0,"TPI","AUTO"))=TRUE,_xll.PIArcVal(H$6,$D9, 0,"TPI","AUTO"),"")</f>
        <v>1.4718281030654907</v>
      </c>
      <c r="I9" s="160">
        <f>IF(ISNUMBER(_xll.PIArcVal(I$6,$C9, 0,"TPI","AUTO"))=TRUE,_xll.PIArcVal(I$6,$C9, 0,"TPI","AUTO"),"")</f>
        <v>27.8409423828125</v>
      </c>
      <c r="J9" s="160">
        <f>IF(ISNUMBER(_xll.PIArcVal(J$6,$D9, 0,"TPI","AUTO"))=TRUE,_xll.PIArcVal(J$6,$D9, 0,"TPI","AUTO"),"")</f>
        <v>27.8409423828125</v>
      </c>
      <c r="K9" s="160">
        <f>IF(ISNUMBER(_xll.PIArcVal(K$6,$C9, 0,"TPI","AUTO"))=TRUE,_xll.PIArcVal(K$6,$C9, 0,"TPI","AUTO"),"")</f>
        <v>21.793367385864258</v>
      </c>
      <c r="L9" s="160">
        <f>IF(ISNUMBER(_xll.PIArcVal(L$6,$D9, 0,"TPI","AUTO"))=TRUE,_xll.PIArcVal(L$6,$D9, 0,"TPI","AUTO"),"")</f>
        <v>21.793367385864258</v>
      </c>
      <c r="M9" s="160">
        <f>IF(ISNUMBER(_xll.PIArcVal(M$6,$C9, 0,"TPI","AUTO"))=TRUE,_xll.PIArcVal(M$6,$C9, 0,"TPI","AUTO"),"")</f>
        <v>0.43541663885116577</v>
      </c>
      <c r="N9" s="160">
        <f>IF(ISNUMBER(_xll.PIArcVal(N$6,$D9, 0,"TPI","AUTO"))=TRUE,_xll.PIArcVal(N$6,$D9, 0,"TPI","AUTO"),"")</f>
        <v>0.43541663885116577</v>
      </c>
      <c r="O9" s="160">
        <f>IF(ISNUMBER(_xll.PIArcVal(O$6,$C9, 0,"TPI","AUTO"))=TRUE,_xll.PIArcVal(O$6,$C9, 0,"TPI","AUTO"),"")</f>
        <v>28.034366607666016</v>
      </c>
      <c r="P9" s="160">
        <f>IF(ISNUMBER(_xll.PIArcVal(P$6,$D9, 0,"TPI","AUTO"))=TRUE,_xll.PIArcVal(P$6,$D9, 0,"TPI","AUTO"),"")</f>
        <v>28.034366607666016</v>
      </c>
      <c r="Q9" s="160"/>
      <c r="R9" s="160" cm="1">
        <f t="array" ref="R9">IF(ISNUMBER(_xll.PIAdvCalcVal($Z$6,$C9,$D9,"average (time-weighted)","time-weighted",0,1,0,"")),IF(_xll.PIAdvCalcVal($Z$6,$C9,$D9,"average (time-weighted)","time-weighted",0,1,0,"")&gt;0,_xll.PIAdvCalcVal($Z$6,$C9,$D9,"average (time-weighted)","time-weighted",0,1,0,""),""))</f>
        <v>3.0092461594859277</v>
      </c>
      <c r="S9" s="160">
        <f>IF(ISNUMBER(_xll.PIArcVal(S$6,$C9, 0,"TPI","AUTO"))=TRUE,_xll.PIArcVal(S$6,$C9, 0,"TPI","AUTO"),"")</f>
        <v>0.61717796325683594</v>
      </c>
      <c r="T9" s="160">
        <f>IF(ISNUMBER(_xll.PIArcVal(T$6,$D9, 0,"TPI","AUTO"))=TRUE,_xll.PIArcVal(T$6,$D9, 0,"TPI","AUTO"),"")</f>
        <v>0.3722979724407196</v>
      </c>
      <c r="U9" s="160">
        <f>IF(ISNUMBER(_xll.PIArcVal(U$6,$C9, 0,"TPI","AUTO"))=TRUE,_xll.PIArcVal(U$6,$C9, 0,"TPI","AUTO"),"")</f>
        <v>56.281028747558594</v>
      </c>
      <c r="V9" s="160">
        <f>IF(ISNUMBER(_xll.PIArcVal(V$6,$D9, 0,"TPI","AUTO"))=TRUE,_xll.PIArcVal(V$6,$D9, 0,"TPI","AUTO"),"")</f>
        <v>54.564903259277344</v>
      </c>
      <c r="W9" s="160">
        <f>IF(ISNUMBER(_xll.PIArcVal(W$6,$C9, 0,"TPI","AUTO"))=TRUE,_xll.PIArcVal(W$6,$C9, 0,"TPI","AUTO"),"")</f>
        <v>0.71101564168930054</v>
      </c>
      <c r="X9" s="160">
        <f>IF(ISNUMBER(_xll.PIArcVal(X$6,$D9, 0,"TPI","AUTO"))=TRUE,_xll.PIArcVal(X$6,$D9, 0,"TPI","AUTO"),"")</f>
        <v>1.0222067832946777</v>
      </c>
      <c r="Y9" s="160"/>
      <c r="Z9" s="160" cm="1">
        <f t="array" ref="Z9">IF(ISNUMBER(_xll.PIAdvCalcVal($Z$6,$C9,$D9,"average (time-weighted)","time-weighted",0,1,0,"")),IF(_xll.PIAdvCalcVal($Z$6,$C9,$D9,"average (time-weighted)","time-weighted",0,1,0,"")&gt;0,_xll.PIAdvCalcVal($Z$6,$C9,$D9,"average (time-weighted)","time-weighted",0,1,0,""),""))</f>
        <v>3.0092461594859277</v>
      </c>
    </row>
    <row r="10" spans="2:26" s="5" customFormat="1" ht="18.75" customHeight="1" thickBot="1" x14ac:dyDescent="0.3">
      <c r="B10" s="118">
        <f>Laboratorio_M!B8</f>
        <v>46249</v>
      </c>
      <c r="C10" s="119">
        <f t="shared" ref="C10:C39" si="0">B10+18.5/24</f>
        <v>46249.770833333336</v>
      </c>
      <c r="D10" s="119">
        <f>C10+0.5</f>
        <v>46250.270833333336</v>
      </c>
      <c r="E10" s="160">
        <f>IF(ISNUMBER(_xll.PIArcVal(E$6,$C10, 0,"TPI","AUTO"))=TRUE,_xll.PIArcVal(E$6,$C10, 0,"TPI","AUTO"),"")</f>
        <v>23.120279312133789</v>
      </c>
      <c r="F10" s="160">
        <f>IF(ISNUMBER(_xll.PIArcVal(F$6,$D10, 0,"TPI","AUTO"))=TRUE,_xll.PIArcVal(F$6,$D10, 0,"TPI","AUTO"),"")</f>
        <v>23.120279312133789</v>
      </c>
      <c r="G10" s="160">
        <f>IF(ISNUMBER(_xll.PIArcVal(G$6,$C10, 0,"TPI","AUTO"))=TRUE,_xll.PIArcVal(G$6,$C10, 0,"TPI","AUTO"),"")</f>
        <v>3.6074600219726563</v>
      </c>
      <c r="H10" s="160">
        <f>IF(ISNUMBER(_xll.PIArcVal(H$6,$D10, 0,"TPI","AUTO"))=TRUE,_xll.PIArcVal(H$6,$D10, 0,"TPI","AUTO"),"")</f>
        <v>3.6074600219726563</v>
      </c>
      <c r="I10" s="160">
        <f>IF(ISNUMBER(_xll.PIArcVal(I$6,$C10, 0,"TPI","AUTO"))=TRUE,_xll.PIArcVal(I$6,$C10, 0,"TPI","AUTO"),"")</f>
        <v>26.366144180297852</v>
      </c>
      <c r="J10" s="160">
        <f>IF(ISNUMBER(_xll.PIArcVal(J$6,$D10, 0,"TPI","AUTO"))=TRUE,_xll.PIArcVal(J$6,$D10, 0,"TPI","AUTO"),"")</f>
        <v>26.366144180297852</v>
      </c>
      <c r="K10" s="160">
        <f>IF(ISNUMBER(_xll.PIArcVal(K$6,$C10, 0,"TPI","AUTO"))=TRUE,_xll.PIArcVal(K$6,$C10, 0,"TPI","AUTO"),"")</f>
        <v>25.253507614135742</v>
      </c>
      <c r="L10" s="160">
        <f>IF(ISNUMBER(_xll.PIArcVal(L$6,$D10, 0,"TPI","AUTO"))=TRUE,_xll.PIArcVal(L$6,$D10, 0,"TPI","AUTO"),"")</f>
        <v>25.253507614135742</v>
      </c>
      <c r="M10" s="160">
        <f>IF(ISNUMBER(_xll.PIArcVal(M$6,$C10, 0,"TPI","AUTO"))=TRUE,_xll.PIArcVal(M$6,$C10, 0,"TPI","AUTO"),"")</f>
        <v>0.20480257272720337</v>
      </c>
      <c r="N10" s="160">
        <f>IF(ISNUMBER(_xll.PIArcVal(N$6,$D10, 0,"TPI","AUTO"))=TRUE,_xll.PIArcVal(N$6,$D10, 0,"TPI","AUTO"),"")</f>
        <v>0.20480257272720337</v>
      </c>
      <c r="O10" s="160">
        <f>IF(ISNUMBER(_xll.PIArcVal(O$6,$C10, 0,"TPI","AUTO"))=TRUE,_xll.PIArcVal(O$6,$C10, 0,"TPI","AUTO"),"")</f>
        <v>28.988348007202148</v>
      </c>
      <c r="P10" s="160">
        <f>IF(ISNUMBER(_xll.PIArcVal(P$6,$D10, 0,"TPI","AUTO"))=TRUE,_xll.PIArcVal(P$6,$D10, 0,"TPI","AUTO"),"")</f>
        <v>28.988348007202148</v>
      </c>
      <c r="Q10" s="160" t="str" cm="1">
        <f t="array" ref="Q10">IF(ISNUMBER(_xll.PIAdvCalcVal($Q$6,$D9,$C10,"average (time-weighted)","time-weighted",0,1,0,"")),IF(_xll.PIAdvCalcVal($Q$6,$D9,$C10,"average (time-weighted)","time-weighted",0,1,0,"")&gt;0,_xll.PIAdvCalcVal($Q$6,$D9,$C10,"average (time-weighted)","time-weighted",0,1,0,""),""),"")</f>
        <v/>
      </c>
      <c r="R10" s="160" cm="1">
        <f t="array" ref="R10">IF(ISNUMBER(_xll.PIAdvCalcVal($Z$6,$C10,$D10,"average (time-weighted)","time-weighted",0,1,0,"")),IF(_xll.PIAdvCalcVal($Z$6,$C10,$D10,"average (time-weighted)","time-weighted",0,1,0,"")&gt;0,_xll.PIAdvCalcVal($Z$6,$C10,$D10,"average (time-weighted)","time-weighted",0,1,0,""),""))</f>
        <v>2.7212061456456458</v>
      </c>
      <c r="S10" s="160">
        <f>IF(ISNUMBER(_xll.PIArcVal(S$6,$C10, 0,"TPI","AUTO"))=TRUE,_xll.PIArcVal(S$6,$C10, 0,"TPI","AUTO"),"")</f>
        <v>0.73687160015106201</v>
      </c>
      <c r="T10" s="160">
        <f>IF(ISNUMBER(_xll.PIArcVal(T$6,$D10, 0,"TPI","AUTO"))=TRUE,_xll.PIArcVal(T$6,$D10, 0,"TPI","AUTO"),"")</f>
        <v>0.73687160015106201</v>
      </c>
      <c r="U10" s="160">
        <f>IF(ISNUMBER(_xll.PIArcVal(U$6,$C10, 0,"TPI","AUTO"))=TRUE,_xll.PIArcVal(U$6,$C10, 0,"TPI","AUTO"),"")</f>
        <v>55.200344085693359</v>
      </c>
      <c r="V10" s="160">
        <f>IF(ISNUMBER(_xll.PIArcVal(V$6,$D10, 0,"TPI","AUTO"))=TRUE,_xll.PIArcVal(V$6,$D10, 0,"TPI","AUTO"),"")</f>
        <v>55.200344085693359</v>
      </c>
      <c r="W10" s="160">
        <f>IF(ISNUMBER(_xll.PIArcVal(W$6,$C10, 0,"TPI","AUTO"))=TRUE,_xll.PIArcVal(W$6,$C10, 0,"TPI","AUTO"),"")</f>
        <v>1.2449944019317627</v>
      </c>
      <c r="X10" s="160">
        <f>IF(ISNUMBER(_xll.PIArcVal(X$6,$D10, 0,"TPI","AUTO"))=TRUE,_xll.PIArcVal(X$6,$D10, 0,"TPI","AUTO"),"")</f>
        <v>1.2449944019317627</v>
      </c>
      <c r="Y10" s="160" t="str" cm="1">
        <f t="array" ref="Y10">IF(ISNUMBER(_xll.PIAdvCalcVal($Y$6,$D9,$C10,"average (time-weighted)","time-weighted",0,1,0,"")),IF(_xll.PIAdvCalcVal($Y$6,$D9,$C10,"average (time-weighted)","time-weighted",0,1,0,"")&gt;0,_xll.PIAdvCalcVal($Y$6,$D9,$C10,"average (time-weighted)","time-weighted",0,1,0,""),""))</f>
        <v/>
      </c>
      <c r="Z10" s="160" cm="1">
        <f t="array" ref="Z10">IF(ISNUMBER(_xll.PIAdvCalcVal($Z$6,$C10,$D10,"average (time-weighted)","time-weighted",0,1,0,"")),IF(_xll.PIAdvCalcVal($Z$6,$C10,$D10,"average (time-weighted)","time-weighted",0,1,0,"")&gt;0,_xll.PIAdvCalcVal($Z$6,$C10,$D10,"average (time-weighted)","time-weighted",0,1,0,""),""))</f>
        <v>2.7212061456456458</v>
      </c>
    </row>
    <row r="11" spans="2:26" ht="16.5" thickBot="1" x14ac:dyDescent="0.3">
      <c r="B11" s="118">
        <f>B10+1</f>
        <v>46250</v>
      </c>
      <c r="C11" s="119">
        <f t="shared" si="0"/>
        <v>46250.770833333336</v>
      </c>
      <c r="D11" s="119">
        <f>C11+0.5</f>
        <v>46251.270833333336</v>
      </c>
      <c r="E11" s="160">
        <f>IF(ISNUMBER(_xll.PIArcVal(E$6,$C11, 0,"TPI","AUTO"))=TRUE,_xll.PIArcVal(E$6,$C11, 0,"TPI","AUTO"),"")</f>
        <v>23.490447998046875</v>
      </c>
      <c r="F11" s="160">
        <f>IF(ISNUMBER(_xll.PIArcVal(F$6,$D11, 0,"TPI","AUTO"))=TRUE,_xll.PIArcVal(F$6,$D11, 0,"TPI","AUTO"),"")</f>
        <v>23.319372177124023</v>
      </c>
      <c r="G11" s="160">
        <f>IF(ISNUMBER(_xll.PIArcVal(G$6,$C11, 0,"TPI","AUTO"))=TRUE,_xll.PIArcVal(G$6,$C11, 0,"TPI","AUTO"),"")</f>
        <v>2.1859698295593262</v>
      </c>
      <c r="H11" s="160">
        <f>IF(ISNUMBER(_xll.PIArcVal(H$6,$D11, 0,"TPI","AUTO"))=TRUE,_xll.PIArcVal(H$6,$D11, 0,"TPI","AUTO"),"")</f>
        <v>2.4801154136657715</v>
      </c>
      <c r="I11" s="160">
        <f>IF(ISNUMBER(_xll.PIArcVal(I$6,$C11, 0,"TPI","AUTO"))=TRUE,_xll.PIArcVal(I$6,$C11, 0,"TPI","AUTO"),"")</f>
        <v>27.079072952270508</v>
      </c>
      <c r="J11" s="160">
        <f>IF(ISNUMBER(_xll.PIArcVal(J$6,$D11, 0,"TPI","AUTO"))=TRUE,_xll.PIArcVal(J$6,$D11, 0,"TPI","AUTO"),"")</f>
        <v>27.109212875366211</v>
      </c>
      <c r="K11" s="160">
        <f>IF(ISNUMBER(_xll.PIArcVal(K$6,$C11, 0,"TPI","AUTO"))=TRUE,_xll.PIArcVal(K$6,$C11, 0,"TPI","AUTO"),"")</f>
        <v>25.209236145019531</v>
      </c>
      <c r="L11" s="160">
        <f>IF(ISNUMBER(_xll.PIArcVal(L$6,$D11, 0,"TPI","AUTO"))=TRUE,_xll.PIArcVal(L$6,$D11, 0,"TPI","AUTO"),"")</f>
        <v>25.286367416381836</v>
      </c>
      <c r="M11" s="160">
        <f>IF(ISNUMBER(_xll.PIArcVal(M$6,$C11, 0,"TPI","AUTO"))=TRUE,_xll.PIArcVal(M$6,$C11, 0,"TPI","AUTO"),"")</f>
        <v>0.14440962672233582</v>
      </c>
      <c r="N11" s="160">
        <f>IF(ISNUMBER(_xll.PIArcVal(N$6,$D11, 0,"TPI","AUTO"))=TRUE,_xll.PIArcVal(N$6,$D11, 0,"TPI","AUTO"),"")</f>
        <v>0.10134220868349075</v>
      </c>
      <c r="O11" s="160">
        <f>IF(ISNUMBER(_xll.PIArcVal(O$6,$C11, 0,"TPI","AUTO"))=TRUE,_xll.PIArcVal(O$6,$C11, 0,"TPI","AUTO"),"")</f>
        <v>29.779209136962891</v>
      </c>
      <c r="P11" s="160">
        <f>IF(ISNUMBER(_xll.PIArcVal(P$6,$D11, 0,"TPI","AUTO"))=TRUE,_xll.PIArcVal(P$6,$D11, 0,"TPI","AUTO"),"")</f>
        <v>29.626953125</v>
      </c>
      <c r="Q11" s="160" t="str" cm="1">
        <f t="array" ref="Q11">IF(ISNUMBER(_xll.PIAdvCalcVal($Q$6,$D10,$C11,"average (time-weighted)","time-weighted",0,1,0,"")),IF(_xll.PIAdvCalcVal($Q$6,$D10,$C11,"average (time-weighted)","time-weighted",0,1,0,"")&gt;0,_xll.PIAdvCalcVal($Q$6,$D10,$C11,"average (time-weighted)","time-weighted",0,1,0,""),""),"")</f>
        <v/>
      </c>
      <c r="R11" s="160" cm="1">
        <f t="array" ref="R11">IF(ISNUMBER(_xll.PIAdvCalcVal($Z$6,$C11,$D11,"average (time-weighted)","time-weighted",0,1,0,"")),IF(_xll.PIAdvCalcVal($Z$6,$C11,$D11,"average (time-weighted)","time-weighted",0,1,0,"")&gt;0,_xll.PIAdvCalcVal($Z$6,$C11,$D11,"average (time-weighted)","time-weighted",0,1,0,""),""))</f>
        <v>3.2185908713058975</v>
      </c>
      <c r="S11" s="160">
        <f>IF(ISNUMBER(_xll.PIArcVal(S$6,$C11, 0,"TPI","AUTO"))=TRUE,_xll.PIArcVal(S$6,$C11, 0,"TPI","AUTO"),"")</f>
        <v>0.75456440448760986</v>
      </c>
      <c r="T11" s="160">
        <f>IF(ISNUMBER(_xll.PIArcVal(T$6,$D11, 0,"TPI","AUTO"))=TRUE,_xll.PIArcVal(T$6,$D11, 0,"TPI","AUTO"),"")</f>
        <v>0.80398333072662354</v>
      </c>
      <c r="U11" s="160">
        <f>IF(ISNUMBER(_xll.PIArcVal(U$6,$C11, 0,"TPI","AUTO"))=TRUE,_xll.PIArcVal(U$6,$C11, 0,"TPI","AUTO"),"")</f>
        <v>55.188297271728516</v>
      </c>
      <c r="V11" s="160">
        <f>IF(ISNUMBER(_xll.PIArcVal(V$6,$D11, 0,"TPI","AUTO"))=TRUE,_xll.PIArcVal(V$6,$D11, 0,"TPI","AUTO"),"")</f>
        <v>55.157562255859375</v>
      </c>
      <c r="W11" s="160">
        <f>IF(ISNUMBER(_xll.PIArcVal(W$6,$C11, 0,"TPI","AUTO"))=TRUE,_xll.PIArcVal(W$6,$C11, 0,"TPI","AUTO"),"")</f>
        <v>1.1859440803527832</v>
      </c>
      <c r="X11" s="160">
        <f>IF(ISNUMBER(_xll.PIArcVal(X$6,$D11, 0,"TPI","AUTO"))=TRUE,_xll.PIArcVal(X$6,$D11, 0,"TPI","AUTO"),"")</f>
        <v>1.0723105669021606</v>
      </c>
      <c r="Y11" s="160" cm="1">
        <f t="array" ref="Y11">IF(ISNUMBER(_xll.PIAdvCalcVal($Y$6,$D10,$C11,"average (time-weighted)","time-weighted",0,1,0,"")),IF(_xll.PIAdvCalcVal($Y$6,$D10,$C11,"average (time-weighted)","time-weighted",0,1,0,"")&gt;0,_xll.PIAdvCalcVal($Y$6,$D10,$C11,"average (time-weighted)","time-weighted",0,1,0,""),""))</f>
        <v>3.0391679151455384</v>
      </c>
      <c r="Z11" s="160" cm="1">
        <f t="array" ref="Z11">IF(ISNUMBER(_xll.PIAdvCalcVal($Z$6,$C11,$D11,"average (time-weighted)","time-weighted",0,1,0,"")),IF(_xll.PIAdvCalcVal($Z$6,$C11,$D11,"average (time-weighted)","time-weighted",0,1,0,"")&gt;0,_xll.PIAdvCalcVal($Z$6,$C11,$D11,"average (time-weighted)","time-weighted",0,1,0,""),""))</f>
        <v>3.2185908713058975</v>
      </c>
    </row>
    <row r="12" spans="2:26" ht="16.5" thickBot="1" x14ac:dyDescent="0.3">
      <c r="B12" s="118">
        <f t="shared" ref="B12:B18" si="1">B11+1</f>
        <v>46251</v>
      </c>
      <c r="C12" s="119">
        <f t="shared" si="0"/>
        <v>46251.770833333336</v>
      </c>
      <c r="D12" s="119">
        <f t="shared" ref="D12:D39" si="2">C12+0.5</f>
        <v>46252.270833333336</v>
      </c>
      <c r="E12" s="160">
        <f>IF(ISNUMBER(_xll.PIArcVal(E$6,$C12, 0,"TPI","AUTO"))=TRUE,_xll.PIArcVal(E$6,$C12, 0,"TPI","AUTO"),"")</f>
        <v>21.243520736694336</v>
      </c>
      <c r="F12" s="160">
        <f>IF(ISNUMBER(_xll.PIArcVal(F$6,$D12, 0,"TPI","AUTO"))=TRUE,_xll.PIArcVal(F$6,$D12, 0,"TPI","AUTO"),"")</f>
        <v>22.771310806274414</v>
      </c>
      <c r="G12" s="160">
        <f>IF(ISNUMBER(_xll.PIArcVal(G$6,$C12, 0,"TPI","AUTO"))=TRUE,_xll.PIArcVal(G$6,$C12, 0,"TPI","AUTO"),"")</f>
        <v>1.1837607622146606</v>
      </c>
      <c r="H12" s="160">
        <f>IF(ISNUMBER(_xll.PIArcVal(H$6,$D12, 0,"TPI","AUTO"))=TRUE,_xll.PIArcVal(H$6,$D12, 0,"TPI","AUTO"),"")</f>
        <v>1.6933015584945679</v>
      </c>
      <c r="I12" s="160">
        <f>IF(ISNUMBER(_xll.PIArcVal(I$6,$C12, 0,"TPI","AUTO"))=TRUE,_xll.PIArcVal(I$6,$C12, 0,"TPI","AUTO"),"")</f>
        <v>26.980056762695313</v>
      </c>
      <c r="J12" s="160">
        <f>IF(ISNUMBER(_xll.PIArcVal(J$6,$D12, 0,"TPI","AUTO"))=TRUE,_xll.PIArcVal(J$6,$D12, 0,"TPI","AUTO"),"")</f>
        <v>27.111610412597656</v>
      </c>
      <c r="K12" s="160">
        <f>IF(ISNUMBER(_xll.PIArcVal(K$6,$C12, 0,"TPI","AUTO"))=TRUE,_xll.PIArcVal(K$6,$C12, 0,"TPI","AUTO"),"")</f>
        <v>24.104804992675781</v>
      </c>
      <c r="L12" s="160">
        <f>IF(ISNUMBER(_xll.PIArcVal(L$6,$D12, 0,"TPI","AUTO"))=TRUE,_xll.PIArcVal(L$6,$D12, 0,"TPI","AUTO"),"")</f>
        <v>23.548566818237305</v>
      </c>
      <c r="M12" s="160">
        <f>IF(ISNUMBER(_xll.PIArcVal(M$6,$C12, 0,"TPI","AUTO"))=TRUE,_xll.PIArcVal(M$6,$C12, 0,"TPI","AUTO"),"")</f>
        <v>0.10239333659410477</v>
      </c>
      <c r="N12" s="160">
        <f>IF(ISNUMBER(_xll.PIArcVal(N$6,$D12, 0,"TPI","AUTO"))=TRUE,_xll.PIArcVal(N$6,$D12, 0,"TPI","AUTO"),"")</f>
        <v>8.8767431676387787E-2</v>
      </c>
      <c r="O12" s="160">
        <f>IF(ISNUMBER(_xll.PIArcVal(O$6,$C12, 0,"TPI","AUTO"))=TRUE,_xll.PIArcVal(O$6,$C12, 0,"TPI","AUTO"),"")</f>
        <v>29.65827751159668</v>
      </c>
      <c r="P12" s="160">
        <f>IF(ISNUMBER(_xll.PIArcVal(P$6,$D12, 0,"TPI","AUTO"))=TRUE,_xll.PIArcVal(P$6,$D12, 0,"TPI","AUTO"),"")</f>
        <v>29.206361770629883</v>
      </c>
      <c r="Q12" s="160" t="str" cm="1">
        <f t="array" ref="Q12">IF(ISNUMBER(_xll.PIAdvCalcVal($Q$6,$D11,$C12,"average (time-weighted)","time-weighted",0,1,0,"")),IF(_xll.PIAdvCalcVal($Q$6,$D11,$C12,"average (time-weighted)","time-weighted",0,1,0,"")&gt;0,_xll.PIAdvCalcVal($Q$6,$D11,$C12,"average (time-weighted)","time-weighted",0,1,0,""),""),"")</f>
        <v/>
      </c>
      <c r="R12" s="160" t="str" cm="1">
        <f t="array" ref="R12">IF(ISNUMBER(_xll.PIAdvCalcVal($Z$6,$C12,$D12,"average (time-weighted)","time-weighted",0,1,0,"")),IF(_xll.PIAdvCalcVal($Z$6,$C12,$D12,"average (time-weighted)","time-weighted",0,1,0,"")&gt;0,_xll.PIAdvCalcVal($Z$6,$C12,$D12,"average (time-weighted)","time-weighted",0,1,0,""),""))</f>
        <v/>
      </c>
      <c r="S12" s="160">
        <f>IF(ISNUMBER(_xll.PIArcVal(S$6,$C12, 0,"TPI","AUTO"))=TRUE,_xll.PIArcVal(S$6,$C12, 0,"TPI","AUTO"),"")</f>
        <v>0.85311043262481689</v>
      </c>
      <c r="T12" s="160">
        <f>IF(ISNUMBER(_xll.PIArcVal(T$6,$D12, 0,"TPI","AUTO"))=TRUE,_xll.PIArcVal(T$6,$D12, 0,"TPI","AUTO"),"")</f>
        <v>0.87987202405929565</v>
      </c>
      <c r="U12" s="160">
        <f>IF(ISNUMBER(_xll.PIArcVal(U$6,$C12, 0,"TPI","AUTO"))=TRUE,_xll.PIArcVal(U$6,$C12, 0,"TPI","AUTO"),"")</f>
        <v>54.821533203125</v>
      </c>
      <c r="V12" s="160">
        <f>IF(ISNUMBER(_xll.PIArcVal(V$6,$D12, 0,"TPI","AUTO"))=TRUE,_xll.PIArcVal(V$6,$D12, 0,"TPI","AUTO"),"")</f>
        <v>55.142543792724609</v>
      </c>
      <c r="W12" s="160">
        <f>IF(ISNUMBER(_xll.PIArcVal(W$6,$C12, 0,"TPI","AUTO"))=TRUE,_xll.PIArcVal(W$6,$C12, 0,"TPI","AUTO"),"")</f>
        <v>1.2263364791870117</v>
      </c>
      <c r="X12" s="160">
        <f>IF(ISNUMBER(_xll.PIArcVal(X$6,$D12, 0,"TPI","AUTO"))=TRUE,_xll.PIArcVal(X$6,$D12, 0,"TPI","AUTO"),"")</f>
        <v>1.3764969110488892</v>
      </c>
      <c r="Y12" s="160" cm="1">
        <f t="array" ref="Y12">IF(ISNUMBER(_xll.PIAdvCalcVal($Y$6,$D11,$C12,"average (time-weighted)","time-weighted",0,1,0,"")),IF(_xll.PIAdvCalcVal($Y$6,$D11,$C12,"average (time-weighted)","time-weighted",0,1,0,"")&gt;0,_xll.PIAdvCalcVal($Y$6,$D11,$C12,"average (time-weighted)","time-weighted",0,1,0,""),""))</f>
        <v>3.12261693402847</v>
      </c>
      <c r="Z12" s="160" t="str" cm="1">
        <f t="array" ref="Z12">IF(ISNUMBER(_xll.PIAdvCalcVal($Z$6,$C12,$D12,"average (time-weighted)","time-weighted",0,1,0,"")),IF(_xll.PIAdvCalcVal($Z$6,$C12,$D12,"average (time-weighted)","time-weighted",0,1,0,"")&gt;0,_xll.PIAdvCalcVal($Z$6,$C12,$D12,"average (time-weighted)","time-weighted",0,1,0,""),""))</f>
        <v/>
      </c>
    </row>
    <row r="13" spans="2:26" ht="16.5" thickBot="1" x14ac:dyDescent="0.3">
      <c r="B13" s="118">
        <f t="shared" si="1"/>
        <v>46252</v>
      </c>
      <c r="C13" s="119">
        <f t="shared" si="0"/>
        <v>46252.770833333336</v>
      </c>
      <c r="D13" s="119">
        <f t="shared" si="2"/>
        <v>46253.270833333336</v>
      </c>
      <c r="E13" s="160">
        <f>IF(ISNUMBER(_xll.PIArcVal(E$6,$C13, 0,"TPI","AUTO"))=TRUE,_xll.PIArcVal(E$6,$C13, 0,"TPI","AUTO"),"")</f>
        <v>20.552448272705078</v>
      </c>
      <c r="F13" s="160">
        <f>IF(ISNUMBER(_xll.PIArcVal(F$6,$D13, 0,"TPI","AUTO"))=TRUE,_xll.PIArcVal(F$6,$D13, 0,"TPI","AUTO"),"")</f>
        <v>23.512538909912109</v>
      </c>
      <c r="G13" s="160">
        <f>IF(ISNUMBER(_xll.PIArcVal(G$6,$C13, 0,"TPI","AUTO"))=TRUE,_xll.PIArcVal(G$6,$C13, 0,"TPI","AUTO"),"")</f>
        <v>2.1402573585510254</v>
      </c>
      <c r="H13" s="160">
        <f>IF(ISNUMBER(_xll.PIArcVal(H$6,$D13, 0,"TPI","AUTO"))=TRUE,_xll.PIArcVal(H$6,$D13, 0,"TPI","AUTO"),"")</f>
        <v>1.935106635093689</v>
      </c>
      <c r="I13" s="160">
        <f>IF(ISNUMBER(_xll.PIArcVal(I$6,$C13, 0,"TPI","AUTO"))=TRUE,_xll.PIArcVal(I$6,$C13, 0,"TPI","AUTO"),"")</f>
        <v>26.868280410766602</v>
      </c>
      <c r="J13" s="160">
        <f>IF(ISNUMBER(_xll.PIArcVal(J$6,$D13, 0,"TPI","AUTO"))=TRUE,_xll.PIArcVal(J$6,$D13, 0,"TPI","AUTO"),"")</f>
        <v>28.150907516479492</v>
      </c>
      <c r="K13" s="160">
        <f>IF(ISNUMBER(_xll.PIArcVal(K$6,$C13, 0,"TPI","AUTO"))=TRUE,_xll.PIArcVal(K$6,$C13, 0,"TPI","AUTO"),"")</f>
        <v>21.278430938720703</v>
      </c>
      <c r="L13" s="160">
        <f>IF(ISNUMBER(_xll.PIArcVal(L$6,$D13, 0,"TPI","AUTO"))=TRUE,_xll.PIArcVal(L$6,$D13, 0,"TPI","AUTO"),"")</f>
        <v>24.443809509277344</v>
      </c>
      <c r="M13" s="160">
        <f>IF(ISNUMBER(_xll.PIArcVal(M$6,$C13, 0,"TPI","AUTO"))=TRUE,_xll.PIArcVal(M$6,$C13, 0,"TPI","AUTO"),"")</f>
        <v>9.7924016416072845E-2</v>
      </c>
      <c r="N13" s="160">
        <f>IF(ISNUMBER(_xll.PIArcVal(N$6,$D13, 0,"TPI","AUTO"))=TRUE,_xll.PIArcVal(N$6,$D13, 0,"TPI","AUTO"),"")</f>
        <v>6.4414113759994507E-2</v>
      </c>
      <c r="O13" s="160">
        <f>IF(ISNUMBER(_xll.PIArcVal(O$6,$C13, 0,"TPI","AUTO"))=TRUE,_xll.PIArcVal(O$6,$C13, 0,"TPI","AUTO"),"")</f>
        <v>29.11121940612793</v>
      </c>
      <c r="P13" s="160">
        <f>IF(ISNUMBER(_xll.PIArcVal(P$6,$D13, 0,"TPI","AUTO"))=TRUE,_xll.PIArcVal(P$6,$D13, 0,"TPI","AUTO"),"")</f>
        <v>28.646036148071289</v>
      </c>
      <c r="Q13" s="160" t="str" cm="1">
        <f t="array" ref="Q13">IF(ISNUMBER(_xll.PIAdvCalcVal($Q$6,$D12,$C13,"average (time-weighted)","time-weighted",0,1,0,"")),IF(_xll.PIAdvCalcVal($Q$6,$D12,$C13,"average (time-weighted)","time-weighted",0,1,0,"")&gt;0,_xll.PIAdvCalcVal($Q$6,$D12,$C13,"average (time-weighted)","time-weighted",0,1,0,""),""),"")</f>
        <v/>
      </c>
      <c r="R13" s="160" cm="1">
        <f t="array" ref="R13">IF(ISNUMBER(_xll.PIAdvCalcVal($Z$6,$C13,$D13,"average (time-weighted)","time-weighted",0,1,0,"")),IF(_xll.PIAdvCalcVal($Z$6,$C13,$D13,"average (time-weighted)","time-weighted",0,1,0,"")&gt;0,_xll.PIAdvCalcVal($Z$6,$C13,$D13,"average (time-weighted)","time-weighted",0,1,0,""),""))</f>
        <v>3.1034439015606874</v>
      </c>
      <c r="S13" s="160">
        <f>IF(ISNUMBER(_xll.PIArcVal(S$6,$C13, 0,"TPI","AUTO"))=TRUE,_xll.PIArcVal(S$6,$C13, 0,"TPI","AUTO"),"")</f>
        <v>0.72932702302932739</v>
      </c>
      <c r="T13" s="160">
        <f>IF(ISNUMBER(_xll.PIArcVal(T$6,$D13, 0,"TPI","AUTO"))=TRUE,_xll.PIArcVal(T$6,$D13, 0,"TPI","AUTO"),"")</f>
        <v>0.8940466046333313</v>
      </c>
      <c r="U13" s="160">
        <f>IF(ISNUMBER(_xll.PIArcVal(U$6,$C13, 0,"TPI","AUTO"))=TRUE,_xll.PIArcVal(U$6,$C13, 0,"TPI","AUTO"),"")</f>
        <v>55.340721130371094</v>
      </c>
      <c r="V13" s="160">
        <f>IF(ISNUMBER(_xll.PIArcVal(V$6,$D13, 0,"TPI","AUTO"))=TRUE,_xll.PIArcVal(V$6,$D13, 0,"TPI","AUTO"),"")</f>
        <v>56.507232666015625</v>
      </c>
      <c r="W13" s="160">
        <f>IF(ISNUMBER(_xll.PIArcVal(W$6,$C13, 0,"TPI","AUTO"))=TRUE,_xll.PIArcVal(W$6,$C13, 0,"TPI","AUTO"),"")</f>
        <v>1.0783861875534058</v>
      </c>
      <c r="X13" s="160">
        <f>IF(ISNUMBER(_xll.PIArcVal(X$6,$D13, 0,"TPI","AUTO"))=TRUE,_xll.PIArcVal(X$6,$D13, 0,"TPI","AUTO"),"")</f>
        <v>0.90941131114959717</v>
      </c>
      <c r="Y13" s="160" t="str" cm="1">
        <f t="array" ref="Y13">IF(ISNUMBER(_xll.PIAdvCalcVal($Y$6,$D12,$C13,"average (time-weighted)","time-weighted",0,1,0,"")),IF(_xll.PIAdvCalcVal($Y$6,$D12,$C13,"average (time-weighted)","time-weighted",0,1,0,"")&gt;0,_xll.PIAdvCalcVal($Y$6,$D12,$C13,"average (time-weighted)","time-weighted",0,1,0,""),""))</f>
        <v/>
      </c>
      <c r="Z13" s="160" cm="1">
        <f t="array" ref="Z13">IF(ISNUMBER(_xll.PIAdvCalcVal($Z$6,$C13,$D13,"average (time-weighted)","time-weighted",0,1,0,"")),IF(_xll.PIAdvCalcVal($Z$6,$C13,$D13,"average (time-weighted)","time-weighted",0,1,0,"")&gt;0,_xll.PIAdvCalcVal($Z$6,$C13,$D13,"average (time-weighted)","time-weighted",0,1,0,""),""))</f>
        <v>3.1034439015606874</v>
      </c>
    </row>
    <row r="14" spans="2:26" ht="16.5" thickBot="1" x14ac:dyDescent="0.3">
      <c r="B14" s="118">
        <f t="shared" si="1"/>
        <v>46253</v>
      </c>
      <c r="C14" s="119">
        <f t="shared" si="0"/>
        <v>46253.770833333336</v>
      </c>
      <c r="D14" s="119">
        <f t="shared" si="2"/>
        <v>46254.270833333336</v>
      </c>
      <c r="E14" s="160">
        <f>IF(ISNUMBER(_xll.PIArcVal(E$6,$C14, 0,"TPI","AUTO"))=TRUE,_xll.PIArcVal(E$6,$C14, 0,"TPI","AUTO"),"")</f>
        <v>22.13677978515625</v>
      </c>
      <c r="F14" s="160">
        <f>IF(ISNUMBER(_xll.PIArcVal(F$6,$D14, 0,"TPI","AUTO"))=TRUE,_xll.PIArcVal(F$6,$D14, 0,"TPI","AUTO"),"")</f>
        <v>20.650722503662109</v>
      </c>
      <c r="G14" s="160">
        <f>IF(ISNUMBER(_xll.PIArcVal(G$6,$C14, 0,"TPI","AUTO"))=TRUE,_xll.PIArcVal(G$6,$C14, 0,"TPI","AUTO"),"")</f>
        <v>1.1269073486328125</v>
      </c>
      <c r="H14" s="160">
        <f>IF(ISNUMBER(_xll.PIArcVal(H$6,$D14, 0,"TPI","AUTO"))=TRUE,_xll.PIArcVal(H$6,$D14, 0,"TPI","AUTO"),"")</f>
        <v>0.90195196866989136</v>
      </c>
      <c r="I14" s="160">
        <f>IF(ISNUMBER(_xll.PIArcVal(I$6,$C14, 0,"TPI","AUTO"))=TRUE,_xll.PIArcVal(I$6,$C14, 0,"TPI","AUTO"),"")</f>
        <v>27.757684707641602</v>
      </c>
      <c r="J14" s="160">
        <f>IF(ISNUMBER(_xll.PIArcVal(J$6,$D14, 0,"TPI","AUTO"))=TRUE,_xll.PIArcVal(J$6,$D14, 0,"TPI","AUTO"),"")</f>
        <v>27.238611221313477</v>
      </c>
      <c r="K14" s="160">
        <f>IF(ISNUMBER(_xll.PIArcVal(K$6,$C14, 0,"TPI","AUTO"))=TRUE,_xll.PIArcVal(K$6,$C14, 0,"TPI","AUTO"),"")</f>
        <v>23.779850006103516</v>
      </c>
      <c r="L14" s="160">
        <f>IF(ISNUMBER(_xll.PIArcVal(L$6,$D14, 0,"TPI","AUTO"))=TRUE,_xll.PIArcVal(L$6,$D14, 0,"TPI","AUTO"),"")</f>
        <v>21.322835922241211</v>
      </c>
      <c r="M14" s="160">
        <f>IF(ISNUMBER(_xll.PIArcVal(M$6,$C14, 0,"TPI","AUTO"))=TRUE,_xll.PIArcVal(M$6,$C14, 0,"TPI","AUTO"),"")</f>
        <v>5.3388558328151703E-2</v>
      </c>
      <c r="N14" s="160">
        <f>IF(ISNUMBER(_xll.PIArcVal(N$6,$D14, 0,"TPI","AUTO"))=TRUE,_xll.PIArcVal(N$6,$D14, 0,"TPI","AUTO"),"")</f>
        <v>0.18215537071228027</v>
      </c>
      <c r="O14" s="160">
        <f>IF(ISNUMBER(_xll.PIArcVal(O$6,$C14, 0,"TPI","AUTO"))=TRUE,_xll.PIArcVal(O$6,$C14, 0,"TPI","AUTO"),"")</f>
        <v>29.30029296875</v>
      </c>
      <c r="P14" s="160">
        <f>IF(ISNUMBER(_xll.PIArcVal(P$6,$D14, 0,"TPI","AUTO"))=TRUE,_xll.PIArcVal(P$6,$D14, 0,"TPI","AUTO"),"")</f>
        <v>28.816394805908203</v>
      </c>
      <c r="Q14" s="160" t="str" cm="1">
        <f t="array" ref="Q14">IF(ISNUMBER(_xll.PIAdvCalcVal($Q$6,$D13,$C14,"average (time-weighted)","time-weighted",0,1,0,"")),IF(_xll.PIAdvCalcVal($Q$6,$D13,$C14,"average (time-weighted)","time-weighted",0,1,0,"")&gt;0,_xll.PIAdvCalcVal($Q$6,$D13,$C14,"average (time-weighted)","time-weighted",0,1,0,""),""),"")</f>
        <v/>
      </c>
      <c r="R14" s="160" cm="1">
        <f t="array" ref="R14">IF(ISNUMBER(_xll.PIAdvCalcVal($Z$6,$C14,$D14,"average (time-weighted)","time-weighted",0,1,0,"")),IF(_xll.PIAdvCalcVal($Z$6,$C14,$D14,"average (time-weighted)","time-weighted",0,1,0,"")&gt;0,_xll.PIAdvCalcVal($Z$6,$C14,$D14,"average (time-weighted)","time-weighted",0,1,0,""),""))</f>
        <v>3.2224586133576922</v>
      </c>
      <c r="S14" s="160">
        <f>IF(ISNUMBER(_xll.PIArcVal(S$6,$C14, 0,"TPI","AUTO"))=TRUE,_xll.PIArcVal(S$6,$C14, 0,"TPI","AUTO"),"")</f>
        <v>0.90129506587982178</v>
      </c>
      <c r="T14" s="160">
        <f>IF(ISNUMBER(_xll.PIArcVal(T$6,$D14, 0,"TPI","AUTO"))=TRUE,_xll.PIArcVal(T$6,$D14, 0,"TPI","AUTO"),"")</f>
        <v>0.62800890207290649</v>
      </c>
      <c r="U14" s="160">
        <f>IF(ISNUMBER(_xll.PIArcVal(U$6,$C14, 0,"TPI","AUTO"))=TRUE,_xll.PIArcVal(U$6,$C14, 0,"TPI","AUTO"),"")</f>
        <v>56.813716888427734</v>
      </c>
      <c r="V14" s="160">
        <f>IF(ISNUMBER(_xll.PIArcVal(V$6,$D14, 0,"TPI","AUTO"))=TRUE,_xll.PIArcVal(V$6,$D14, 0,"TPI","AUTO"),"")</f>
        <v>56.694122314453125</v>
      </c>
      <c r="W14" s="160">
        <f>IF(ISNUMBER(_xll.PIArcVal(W$6,$C14, 0,"TPI","AUTO"))=TRUE,_xll.PIArcVal(W$6,$C14, 0,"TPI","AUTO"),"")</f>
        <v>0.85128504037857056</v>
      </c>
      <c r="X14" s="160">
        <f>IF(ISNUMBER(_xll.PIArcVal(X$6,$D14, 0,"TPI","AUTO"))=TRUE,_xll.PIArcVal(X$6,$D14, 0,"TPI","AUTO"),"")</f>
        <v>0.71730285882949829</v>
      </c>
      <c r="Y14" s="160" cm="1">
        <f t="array" ref="Y14">IF(ISNUMBER(_xll.PIAdvCalcVal($Y$6,$D13,$C14,"average (time-weighted)","time-weighted",0,1,0,"")),IF(_xll.PIAdvCalcVal($Y$6,$D13,$C14,"average (time-weighted)","time-weighted",0,1,0,"")&gt;0,_xll.PIAdvCalcVal($Y$6,$D13,$C14,"average (time-weighted)","time-weighted",0,1,0,""),""))</f>
        <v>2.9153151352326434</v>
      </c>
      <c r="Z14" s="160" cm="1">
        <f t="array" ref="Z14">IF(ISNUMBER(_xll.PIAdvCalcVal($Z$6,$C14,$D14,"average (time-weighted)","time-weighted",0,1,0,"")),IF(_xll.PIAdvCalcVal($Z$6,$C14,$D14,"average (time-weighted)","time-weighted",0,1,0,"")&gt;0,_xll.PIAdvCalcVal($Z$6,$C14,$D14,"average (time-weighted)","time-weighted",0,1,0,""),""))</f>
        <v>3.2224586133576922</v>
      </c>
    </row>
    <row r="15" spans="2:26" ht="16.5" thickBot="1" x14ac:dyDescent="0.3">
      <c r="B15" s="118">
        <f t="shared" si="1"/>
        <v>46254</v>
      </c>
      <c r="C15" s="119">
        <f t="shared" si="0"/>
        <v>46254.770833333336</v>
      </c>
      <c r="D15" s="119">
        <f t="shared" si="2"/>
        <v>46255.270833333336</v>
      </c>
      <c r="E15" s="160">
        <f>IF(ISNUMBER(_xll.PIArcVal(E$6,$C15, 0,"TPI","AUTO"))=TRUE,_xll.PIArcVal(E$6,$C15, 0,"TPI","AUTO"),"")</f>
        <v>21.281415939331055</v>
      </c>
      <c r="F15" s="160">
        <f>IF(ISNUMBER(_xll.PIArcVal(F$6,$D15, 0,"TPI","AUTO"))=TRUE,_xll.PIArcVal(F$6,$D15, 0,"TPI","AUTO"),"")</f>
        <v>23.196371078491211</v>
      </c>
      <c r="G15" s="160">
        <f>IF(ISNUMBER(_xll.PIArcVal(G$6,$C15, 0,"TPI","AUTO"))=TRUE,_xll.PIArcVal(G$6,$C15, 0,"TPI","AUTO"),"")</f>
        <v>1.2089604139328003</v>
      </c>
      <c r="H15" s="160">
        <f>IF(ISNUMBER(_xll.PIArcVal(H$6,$D15, 0,"TPI","AUTO"))=TRUE,_xll.PIArcVal(H$6,$D15, 0,"TPI","AUTO"),"")</f>
        <v>1.2117031812667847</v>
      </c>
      <c r="I15" s="160">
        <f>IF(ISNUMBER(_xll.PIArcVal(I$6,$C15, 0,"TPI","AUTO"))=TRUE,_xll.PIArcVal(I$6,$C15, 0,"TPI","AUTO"),"")</f>
        <v>28.074106216430664</v>
      </c>
      <c r="J15" s="160">
        <f>IF(ISNUMBER(_xll.PIArcVal(J$6,$D15, 0,"TPI","AUTO"))=TRUE,_xll.PIArcVal(J$6,$D15, 0,"TPI","AUTO"),"")</f>
        <v>29.422849655151367</v>
      </c>
      <c r="K15" s="160">
        <f>IF(ISNUMBER(_xll.PIArcVal(K$6,$C15, 0,"TPI","AUTO"))=TRUE,_xll.PIArcVal(K$6,$C15, 0,"TPI","AUTO"),"")</f>
        <v>19.861064910888672</v>
      </c>
      <c r="L15" s="160">
        <f>IF(ISNUMBER(_xll.PIArcVal(L$6,$D15, 0,"TPI","AUTO"))=TRUE,_xll.PIArcVal(L$6,$D15, 0,"TPI","AUTO"),"")</f>
        <v>23.91087532043457</v>
      </c>
      <c r="M15" s="160">
        <f>IF(ISNUMBER(_xll.PIArcVal(M$6,$C15, 0,"TPI","AUTO"))=TRUE,_xll.PIArcVal(M$6,$C15, 0,"TPI","AUTO"),"")</f>
        <v>0.67277532815933228</v>
      </c>
      <c r="N15" s="160">
        <f>IF(ISNUMBER(_xll.PIArcVal(N$6,$D15, 0,"TPI","AUTO"))=TRUE,_xll.PIArcVal(N$6,$D15, 0,"TPI","AUTO"),"")</f>
        <v>0.15042237937450409</v>
      </c>
      <c r="O15" s="160">
        <f>IF(ISNUMBER(_xll.PIArcVal(O$6,$C15, 0,"TPI","AUTO"))=TRUE,_xll.PIArcVal(O$6,$C15, 0,"TPI","AUTO"),"")</f>
        <v>28.955646514892578</v>
      </c>
      <c r="P15" s="160">
        <f>IF(ISNUMBER(_xll.PIArcVal(P$6,$D15, 0,"TPI","AUTO"))=TRUE,_xll.PIArcVal(P$6,$D15, 0,"TPI","AUTO"),"")</f>
        <v>29.585695266723633</v>
      </c>
      <c r="Q15" s="160" t="str" cm="1">
        <f t="array" ref="Q15">IF(ISNUMBER(_xll.PIAdvCalcVal($Q$6,$D14,$C15,"average (time-weighted)","time-weighted",0,1,0,"")),IF(_xll.PIAdvCalcVal($Q$6,$D14,$C15,"average (time-weighted)","time-weighted",0,1,0,"")&gt;0,_xll.PIAdvCalcVal($Q$6,$D14,$C15,"average (time-weighted)","time-weighted",0,1,0,""),""),"")</f>
        <v/>
      </c>
      <c r="R15" s="160" cm="1">
        <f t="array" ref="R15">IF(ISNUMBER(_xll.PIAdvCalcVal($Z$6,$C15,$D15,"average (time-weighted)","time-weighted",0,1,0,"")),IF(_xll.PIAdvCalcVal($Z$6,$C15,$D15,"average (time-weighted)","time-weighted",0,1,0,"")&gt;0,_xll.PIAdvCalcVal($Z$6,$C15,$D15,"average (time-weighted)","time-weighted",0,1,0,""),""))</f>
        <v>2.5474700808363719</v>
      </c>
      <c r="S15" s="160">
        <f>IF(ISNUMBER(_xll.PIArcVal(S$6,$C15, 0,"TPI","AUTO"))=TRUE,_xll.PIArcVal(S$6,$C15, 0,"TPI","AUTO"),"")</f>
        <v>0.64794796705245972</v>
      </c>
      <c r="T15" s="160">
        <f>IF(ISNUMBER(_xll.PIArcVal(T$6,$D15, 0,"TPI","AUTO"))=TRUE,_xll.PIArcVal(T$6,$D15, 0,"TPI","AUTO"),"")</f>
        <v>0.52867209911346436</v>
      </c>
      <c r="U15" s="160">
        <f>IF(ISNUMBER(_xll.PIArcVal(U$6,$C15, 0,"TPI","AUTO"))=TRUE,_xll.PIArcVal(U$6,$C15, 0,"TPI","AUTO"),"")</f>
        <v>56.881526947021484</v>
      </c>
      <c r="V15" s="160">
        <f>IF(ISNUMBER(_xll.PIArcVal(V$6,$D15, 0,"TPI","AUTO"))=TRUE,_xll.PIArcVal(V$6,$D15, 0,"TPI","AUTO"),"")</f>
        <v>56.233108520507813</v>
      </c>
      <c r="W15" s="160">
        <f>IF(ISNUMBER(_xll.PIArcVal(W$6,$C15, 0,"TPI","AUTO"))=TRUE,_xll.PIArcVal(W$6,$C15, 0,"TPI","AUTO"),"")</f>
        <v>0.73414802551269531</v>
      </c>
      <c r="X15" s="160">
        <f>IF(ISNUMBER(_xll.PIArcVal(X$6,$D15, 0,"TPI","AUTO"))=TRUE,_xll.PIArcVal(X$6,$D15, 0,"TPI","AUTO"),"")</f>
        <v>0.89357143640518188</v>
      </c>
      <c r="Y15" s="160" t="str" cm="1">
        <f t="array" ref="Y15">IF(ISNUMBER(_xll.PIAdvCalcVal($Y$6,$D14,$C15,"average (time-weighted)","time-weighted",0,1,0,"")),IF(_xll.PIAdvCalcVal($Y$6,$D14,$C15,"average (time-weighted)","time-weighted",0,1,0,"")&gt;0,_xll.PIAdvCalcVal($Y$6,$D14,$C15,"average (time-weighted)","time-weighted",0,1,0,""),""))</f>
        <v/>
      </c>
      <c r="Z15" s="160" cm="1">
        <f t="array" ref="Z15">IF(ISNUMBER(_xll.PIAdvCalcVal($Z$6,$C15,$D15,"average (time-weighted)","time-weighted",0,1,0,"")),IF(_xll.PIAdvCalcVal($Z$6,$C15,$D15,"average (time-weighted)","time-weighted",0,1,0,"")&gt;0,_xll.PIAdvCalcVal($Z$6,$C15,$D15,"average (time-weighted)","time-weighted",0,1,0,""),""))</f>
        <v>2.5474700808363719</v>
      </c>
    </row>
    <row r="16" spans="2:26" ht="16.5" thickBot="1" x14ac:dyDescent="0.3">
      <c r="B16" s="118">
        <f t="shared" si="1"/>
        <v>46255</v>
      </c>
      <c r="C16" s="119">
        <f t="shared" si="0"/>
        <v>46255.770833333336</v>
      </c>
      <c r="D16" s="119">
        <f t="shared" si="2"/>
        <v>46256.270833333336</v>
      </c>
      <c r="E16" s="160">
        <f>IF(ISNUMBER(_xll.PIArcVal(E$6,$C16, 0,"TPI","AUTO"))=TRUE,_xll.PIArcVal(E$6,$C16, 0,"TPI","AUTO"),"")</f>
        <v>22.85761833190918</v>
      </c>
      <c r="F16" s="160">
        <f>IF(ISNUMBER(_xll.PIArcVal(F$6,$D16, 0,"TPI","AUTO"))=TRUE,_xll.PIArcVal(F$6,$D16, 0,"TPI","AUTO"),"")</f>
        <v>23.660287857055664</v>
      </c>
      <c r="G16" s="160">
        <f>IF(ISNUMBER(_xll.PIArcVal(G$6,$C16, 0,"TPI","AUTO"))=TRUE,_xll.PIArcVal(G$6,$C16, 0,"TPI","AUTO"),"")</f>
        <v>1.44896399974823</v>
      </c>
      <c r="H16" s="160">
        <f>IF(ISNUMBER(_xll.PIArcVal(H$6,$D16, 0,"TPI","AUTO"))=TRUE,_xll.PIArcVal(H$6,$D16, 0,"TPI","AUTO"),"")</f>
        <v>1.2693836688995361</v>
      </c>
      <c r="I16" s="160">
        <f>IF(ISNUMBER(_xll.PIArcVal(I$6,$C16, 0,"TPI","AUTO"))=TRUE,_xll.PIArcVal(I$6,$C16, 0,"TPI","AUTO"),"")</f>
        <v>29.535423278808594</v>
      </c>
      <c r="J16" s="160">
        <f>IF(ISNUMBER(_xll.PIArcVal(J$6,$D16, 0,"TPI","AUTO"))=TRUE,_xll.PIArcVal(J$6,$D16, 0,"TPI","AUTO"),"")</f>
        <v>29.418380737304688</v>
      </c>
      <c r="K16" s="160">
        <f>IF(ISNUMBER(_xll.PIArcVal(K$6,$C16, 0,"TPI","AUTO"))=TRUE,_xll.PIArcVal(K$6,$C16, 0,"TPI","AUTO"),"")</f>
        <v>22.782251358032227</v>
      </c>
      <c r="L16" s="160">
        <f>IF(ISNUMBER(_xll.PIArcVal(L$6,$D16, 0,"TPI","AUTO"))=TRUE,_xll.PIArcVal(L$6,$D16, 0,"TPI","AUTO"),"")</f>
        <v>23.487161636352539</v>
      </c>
      <c r="M16" s="160">
        <f>IF(ISNUMBER(_xll.PIArcVal(M$6,$C16, 0,"TPI","AUTO"))=TRUE,_xll.PIArcVal(M$6,$C16, 0,"TPI","AUTO"),"")</f>
        <v>0.28837582468986511</v>
      </c>
      <c r="N16" s="160">
        <f>IF(ISNUMBER(_xll.PIArcVal(N$6,$D16, 0,"TPI","AUTO"))=TRUE,_xll.PIArcVal(N$6,$D16, 0,"TPI","AUTO"),"")</f>
        <v>0.38917356729507446</v>
      </c>
      <c r="O16" s="160">
        <f>IF(ISNUMBER(_xll.PIArcVal(O$6,$C16, 0,"TPI","AUTO"))=TRUE,_xll.PIArcVal(O$6,$C16, 0,"TPI","AUTO"),"")</f>
        <v>29.079889297485352</v>
      </c>
      <c r="P16" s="160">
        <f>IF(ISNUMBER(_xll.PIArcVal(P$6,$D16, 0,"TPI","AUTO"))=TRUE,_xll.PIArcVal(P$6,$D16, 0,"TPI","AUTO"),"")</f>
        <v>29.424104690551758</v>
      </c>
      <c r="Q16" s="160" t="str" cm="1">
        <f t="array" ref="Q16">IF(ISNUMBER(_xll.PIAdvCalcVal($Q$6,$D15,$C16,"average (time-weighted)","time-weighted",0,1,0,"")),IF(_xll.PIAdvCalcVal($Q$6,$D15,$C16,"average (time-weighted)","time-weighted",0,1,0,"")&gt;0,_xll.PIAdvCalcVal($Q$6,$D15,$C16,"average (time-weighted)","time-weighted",0,1,0,""),""),"")</f>
        <v/>
      </c>
      <c r="R16" s="160" t="str" cm="1">
        <f t="array" ref="R16">IF(ISNUMBER(_xll.PIAdvCalcVal($Z$6,$C16,$D16,"average (time-weighted)","time-weighted",0,1,0,"")),IF(_xll.PIAdvCalcVal($Z$6,$C16,$D16,"average (time-weighted)","time-weighted",0,1,0,"")&gt;0,_xll.PIAdvCalcVal($Z$6,$C16,$D16,"average (time-weighted)","time-weighted",0,1,0,""),""))</f>
        <v/>
      </c>
      <c r="S16" s="160">
        <f>IF(ISNUMBER(_xll.PIArcVal(S$6,$C16, 0,"TPI","AUTO"))=TRUE,_xll.PIArcVal(S$6,$C16, 0,"TPI","AUTO"),"")</f>
        <v>0.58700937032699585</v>
      </c>
      <c r="T16" s="160">
        <f>IF(ISNUMBER(_xll.PIArcVal(T$6,$D16, 0,"TPI","AUTO"))=TRUE,_xll.PIArcVal(T$6,$D16, 0,"TPI","AUTO"),"")</f>
        <v>0.58700937032699585</v>
      </c>
      <c r="U16" s="160">
        <f>IF(ISNUMBER(_xll.PIArcVal(U$6,$C16, 0,"TPI","AUTO"))=TRUE,_xll.PIArcVal(U$6,$C16, 0,"TPI","AUTO"),"")</f>
        <v>56.782024383544922</v>
      </c>
      <c r="V16" s="160">
        <f>IF(ISNUMBER(_xll.PIArcVal(V$6,$D16, 0,"TPI","AUTO"))=TRUE,_xll.PIArcVal(V$6,$D16, 0,"TPI","AUTO"),"")</f>
        <v>56.782024383544922</v>
      </c>
      <c r="W16" s="160">
        <f>IF(ISNUMBER(_xll.PIArcVal(W$6,$C16, 0,"TPI","AUTO"))=TRUE,_xll.PIArcVal(W$6,$C16, 0,"TPI","AUTO"),"")</f>
        <v>0.76169872283935547</v>
      </c>
      <c r="X16" s="160">
        <f>IF(ISNUMBER(_xll.PIArcVal(X$6,$D16, 0,"TPI","AUTO"))=TRUE,_xll.PIArcVal(X$6,$D16, 0,"TPI","AUTO"),"")</f>
        <v>0.76169872283935547</v>
      </c>
      <c r="Y16" s="160" t="str" cm="1">
        <f t="array" ref="Y16">IF(ISNUMBER(_xll.PIAdvCalcVal($Y$6,$D15,$C16,"average (time-weighted)","time-weighted",0,1,0,"")),IF(_xll.PIAdvCalcVal($Y$6,$D15,$C16,"average (time-weighted)","time-weighted",0,1,0,"")&gt;0,_xll.PIAdvCalcVal($Y$6,$D15,$C16,"average (time-weighted)","time-weighted",0,1,0,""),""))</f>
        <v/>
      </c>
      <c r="Z16" s="160" t="str" cm="1">
        <f t="array" ref="Z16">IF(ISNUMBER(_xll.PIAdvCalcVal($Z$6,$C16,$D16,"average (time-weighted)","time-weighted",0,1,0,"")),IF(_xll.PIAdvCalcVal($Z$6,$C16,$D16,"average (time-weighted)","time-weighted",0,1,0,"")&gt;0,_xll.PIAdvCalcVal($Z$6,$C16,$D16,"average (time-weighted)","time-weighted",0,1,0,""),""))</f>
        <v/>
      </c>
    </row>
    <row r="17" spans="2:26" ht="16.5" thickBot="1" x14ac:dyDescent="0.3">
      <c r="B17" s="118">
        <f t="shared" si="1"/>
        <v>46256</v>
      </c>
      <c r="C17" s="119">
        <f t="shared" si="0"/>
        <v>46256.770833333336</v>
      </c>
      <c r="D17" s="119">
        <f t="shared" si="2"/>
        <v>46257.270833333336</v>
      </c>
      <c r="E17" s="160">
        <f>IF(ISNUMBER(_xll.PIArcVal(E$6,$C17, 0,"TPI","AUTO"))=TRUE,_xll.PIArcVal(E$6,$C17, 0,"TPI","AUTO"),"")</f>
        <v>24.543853759765625</v>
      </c>
      <c r="F17" s="160">
        <f>IF(ISNUMBER(_xll.PIArcVal(F$6,$D17, 0,"TPI","AUTO"))=TRUE,_xll.PIArcVal(F$6,$D17, 0,"TPI","AUTO"),"")</f>
        <v>24.543853759765625</v>
      </c>
      <c r="G17" s="160">
        <f>IF(ISNUMBER(_xll.PIArcVal(G$6,$C17, 0,"TPI","AUTO"))=TRUE,_xll.PIArcVal(G$6,$C17, 0,"TPI","AUTO"),"")</f>
        <v>1.3908547163009644</v>
      </c>
      <c r="H17" s="160">
        <f>IF(ISNUMBER(_xll.PIArcVal(H$6,$D17, 0,"TPI","AUTO"))=TRUE,_xll.PIArcVal(H$6,$D17, 0,"TPI","AUTO"),"")</f>
        <v>1.3908547163009644</v>
      </c>
      <c r="I17" s="160">
        <f>IF(ISNUMBER(_xll.PIArcVal(I$6,$C17, 0,"TPI","AUTO"))=TRUE,_xll.PIArcVal(I$6,$C17, 0,"TPI","AUTO"),"")</f>
        <v>29.382139205932617</v>
      </c>
      <c r="J17" s="160">
        <f>IF(ISNUMBER(_xll.PIArcVal(J$6,$D17, 0,"TPI","AUTO"))=TRUE,_xll.PIArcVal(J$6,$D17, 0,"TPI","AUTO"),"")</f>
        <v>29.382139205932617</v>
      </c>
      <c r="K17" s="160">
        <f>IF(ISNUMBER(_xll.PIArcVal(K$6,$C17, 0,"TPI","AUTO"))=TRUE,_xll.PIArcVal(K$6,$C17, 0,"TPI","AUTO"),"")</f>
        <v>25.519594192504883</v>
      </c>
      <c r="L17" s="160">
        <f>IF(ISNUMBER(_xll.PIArcVal(L$6,$D17, 0,"TPI","AUTO"))=TRUE,_xll.PIArcVal(L$6,$D17, 0,"TPI","AUTO"),"")</f>
        <v>25.519594192504883</v>
      </c>
      <c r="M17" s="160">
        <f>IF(ISNUMBER(_xll.PIArcVal(M$6,$C17, 0,"TPI","AUTO"))=TRUE,_xll.PIArcVal(M$6,$C17, 0,"TPI","AUTO"),"")</f>
        <v>0.16438183188438416</v>
      </c>
      <c r="N17" s="160">
        <f>IF(ISNUMBER(_xll.PIArcVal(N$6,$D17, 0,"TPI","AUTO"))=TRUE,_xll.PIArcVal(N$6,$D17, 0,"TPI","AUTO"),"")</f>
        <v>0.16438183188438416</v>
      </c>
      <c r="O17" s="160">
        <f>IF(ISNUMBER(_xll.PIArcVal(O$6,$C17, 0,"TPI","AUTO"))=TRUE,_xll.PIArcVal(O$6,$C17, 0,"TPI","AUTO"),"")</f>
        <v>29.57487678527832</v>
      </c>
      <c r="P17" s="160">
        <f>IF(ISNUMBER(_xll.PIArcVal(P$6,$D17, 0,"TPI","AUTO"))=TRUE,_xll.PIArcVal(P$6,$D17, 0,"TPI","AUTO"),"")</f>
        <v>29.57487678527832</v>
      </c>
      <c r="Q17" s="160" t="str" cm="1">
        <f t="array" ref="Q17">IF(ISNUMBER(_xll.PIAdvCalcVal($Q$6,$D16,$C17,"average (time-weighted)","time-weighted",0,1,0,"")),IF(_xll.PIAdvCalcVal($Q$6,$D16,$C17,"average (time-weighted)","time-weighted",0,1,0,"")&gt;0,_xll.PIAdvCalcVal($Q$6,$D16,$C17,"average (time-weighted)","time-weighted",0,1,0,""),""),"")</f>
        <v/>
      </c>
      <c r="R17" s="160" t="str" cm="1">
        <f t="array" ref="R17">IF(ISNUMBER(_xll.PIAdvCalcVal($Z$6,$C17,$D17,"average (time-weighted)","time-weighted",0,1,0,"")),IF(_xll.PIAdvCalcVal($Z$6,$C17,$D17,"average (time-weighted)","time-weighted",0,1,0,"")&gt;0,_xll.PIAdvCalcVal($Z$6,$C17,$D17,"average (time-weighted)","time-weighted",0,1,0,""),""))</f>
        <v/>
      </c>
      <c r="S17" s="160">
        <f>IF(ISNUMBER(_xll.PIArcVal(S$6,$C17, 0,"TPI","AUTO"))=TRUE,_xll.PIArcVal(S$6,$C17, 0,"TPI","AUTO"),"")</f>
        <v>0.58700937032699585</v>
      </c>
      <c r="T17" s="160">
        <f>IF(ISNUMBER(_xll.PIArcVal(T$6,$D17, 0,"TPI","AUTO"))=TRUE,_xll.PIArcVal(T$6,$D17, 0,"TPI","AUTO"),"")</f>
        <v>0.58700937032699585</v>
      </c>
      <c r="U17" s="160">
        <f>IF(ISNUMBER(_xll.PIArcVal(U$6,$C17, 0,"TPI","AUTO"))=TRUE,_xll.PIArcVal(U$6,$C17, 0,"TPI","AUTO"),"")</f>
        <v>56.782024383544922</v>
      </c>
      <c r="V17" s="160">
        <f>IF(ISNUMBER(_xll.PIArcVal(V$6,$D17, 0,"TPI","AUTO"))=TRUE,_xll.PIArcVal(V$6,$D17, 0,"TPI","AUTO"),"")</f>
        <v>56.782024383544922</v>
      </c>
      <c r="W17" s="160">
        <f>IF(ISNUMBER(_xll.PIArcVal(W$6,$C17, 0,"TPI","AUTO"))=TRUE,_xll.PIArcVal(W$6,$C17, 0,"TPI","AUTO"),"")</f>
        <v>0.76169872283935547</v>
      </c>
      <c r="X17" s="160">
        <f>IF(ISNUMBER(_xll.PIArcVal(X$6,$D17, 0,"TPI","AUTO"))=TRUE,_xll.PIArcVal(X$6,$D17, 0,"TPI","AUTO"),"")</f>
        <v>0.76169872283935547</v>
      </c>
      <c r="Y17" s="160" t="str" cm="1">
        <f t="array" ref="Y17">IF(ISNUMBER(_xll.PIAdvCalcVal($Y$6,$D16,$C17,"average (time-weighted)","time-weighted",0,1,0,"")),IF(_xll.PIAdvCalcVal($Y$6,$D16,$C17,"average (time-weighted)","time-weighted",0,1,0,"")&gt;0,_xll.PIAdvCalcVal($Y$6,$D16,$C17,"average (time-weighted)","time-weighted",0,1,0,""),""))</f>
        <v/>
      </c>
      <c r="Z17" s="160" t="str" cm="1">
        <f t="array" ref="Z17">IF(ISNUMBER(_xll.PIAdvCalcVal($Z$6,$C17,$D17,"average (time-weighted)","time-weighted",0,1,0,"")),IF(_xll.PIAdvCalcVal($Z$6,$C17,$D17,"average (time-weighted)","time-weighted",0,1,0,"")&gt;0,_xll.PIAdvCalcVal($Z$6,$C17,$D17,"average (time-weighted)","time-weighted",0,1,0,""),""))</f>
        <v/>
      </c>
    </row>
    <row r="18" spans="2:26" ht="16.5" thickBot="1" x14ac:dyDescent="0.3">
      <c r="B18" s="118">
        <f t="shared" si="1"/>
        <v>46257</v>
      </c>
      <c r="C18" s="119">
        <f t="shared" si="0"/>
        <v>46257.770833333336</v>
      </c>
      <c r="D18" s="119">
        <f t="shared" si="2"/>
        <v>46258.270833333336</v>
      </c>
      <c r="E18" s="160">
        <f>IF(ISNUMBER(_xll.PIArcVal(E$6,$C18, 0,"TPI","AUTO"))=TRUE,_xll.PIArcVal(E$6,$C18, 0,"TPI","AUTO"),"")</f>
        <v>23.831357955932617</v>
      </c>
      <c r="F18" s="160">
        <f>IF(ISNUMBER(_xll.PIArcVal(F$6,$D18, 0,"TPI","AUTO"))=TRUE,_xll.PIArcVal(F$6,$D18, 0,"TPI","AUTO"),"")</f>
        <v>22.841638565063477</v>
      </c>
      <c r="G18" s="160">
        <f>IF(ISNUMBER(_xll.PIArcVal(G$6,$C18, 0,"TPI","AUTO"))=TRUE,_xll.PIArcVal(G$6,$C18, 0,"TPI","AUTO"),"")</f>
        <v>2.3223707675933838</v>
      </c>
      <c r="H18" s="160">
        <f>IF(ISNUMBER(_xll.PIArcVal(H$6,$D18, 0,"TPI","AUTO"))=TRUE,_xll.PIArcVal(H$6,$D18, 0,"TPI","AUTO"),"")</f>
        <v>3.1678712368011475</v>
      </c>
      <c r="I18" s="160">
        <f>IF(ISNUMBER(_xll.PIArcVal(I$6,$C18, 0,"TPI","AUTO"))=TRUE,_xll.PIArcVal(I$6,$C18, 0,"TPI","AUTO"),"")</f>
        <v>28.879756927490234</v>
      </c>
      <c r="J18" s="160">
        <f>IF(ISNUMBER(_xll.PIArcVal(J$6,$D18, 0,"TPI","AUTO"))=TRUE,_xll.PIArcVal(J$6,$D18, 0,"TPI","AUTO"),"")</f>
        <v>28.103832244873047</v>
      </c>
      <c r="K18" s="160">
        <f>IF(ISNUMBER(_xll.PIArcVal(K$6,$C18, 0,"TPI","AUTO"))=TRUE,_xll.PIArcVal(K$6,$C18, 0,"TPI","AUTO"),"")</f>
        <v>25.068899154663086</v>
      </c>
      <c r="L18" s="160">
        <f>IF(ISNUMBER(_xll.PIArcVal(L$6,$D18, 0,"TPI","AUTO"))=TRUE,_xll.PIArcVal(L$6,$D18, 0,"TPI","AUTO"),"")</f>
        <v>24.310548782348633</v>
      </c>
      <c r="M18" s="160">
        <f>IF(ISNUMBER(_xll.PIArcVal(M$6,$C18, 0,"TPI","AUTO"))=TRUE,_xll.PIArcVal(M$6,$C18, 0,"TPI","AUTO"),"")</f>
        <v>0.28070893883705139</v>
      </c>
      <c r="N18" s="160">
        <f>IF(ISNUMBER(_xll.PIArcVal(N$6,$D18, 0,"TPI","AUTO"))=TRUE,_xll.PIArcVal(N$6,$D18, 0,"TPI","AUTO"),"")</f>
        <v>0.26761573553085327</v>
      </c>
      <c r="O18" s="160">
        <f>IF(ISNUMBER(_xll.PIArcVal(O$6,$C18, 0,"TPI","AUTO"))=TRUE,_xll.PIArcVal(O$6,$C18, 0,"TPI","AUTO"),"")</f>
        <v>29.135675430297852</v>
      </c>
      <c r="P18" s="160">
        <f>IF(ISNUMBER(_xll.PIArcVal(P$6,$D18, 0,"TPI","AUTO"))=TRUE,_xll.PIArcVal(P$6,$D18, 0,"TPI","AUTO"),"")</f>
        <v>28.948293685913086</v>
      </c>
      <c r="Q18" s="160" t="str" cm="1">
        <f t="array" ref="Q18">IF(ISNUMBER(_xll.PIAdvCalcVal($Q$6,$D17,$C18,"average (time-weighted)","time-weighted",0,1,0,"")),IF(_xll.PIAdvCalcVal($Q$6,$D17,$C18,"average (time-weighted)","time-weighted",0,1,0,"")&gt;0,_xll.PIAdvCalcVal($Q$6,$D17,$C18,"average (time-weighted)","time-weighted",0,1,0,""),""),"")</f>
        <v/>
      </c>
      <c r="R18" s="160" t="str" cm="1">
        <f t="array" ref="R18">IF(ISNUMBER(_xll.PIAdvCalcVal($Z$6,$C18,$D18,"average (time-weighted)","time-weighted",0,1,0,"")),IF(_xll.PIAdvCalcVal($Z$6,$C18,$D18,"average (time-weighted)","time-weighted",0,1,0,"")&gt;0,_xll.PIAdvCalcVal($Z$6,$C18,$D18,"average (time-weighted)","time-weighted",0,1,0,""),""))</f>
        <v/>
      </c>
      <c r="S18" s="160">
        <f>IF(ISNUMBER(_xll.PIArcVal(S$6,$C18, 0,"TPI","AUTO"))=TRUE,_xll.PIArcVal(S$6,$C18, 0,"TPI","AUTO"),"")</f>
        <v>0.62732428312301636</v>
      </c>
      <c r="T18" s="160">
        <f>IF(ISNUMBER(_xll.PIArcVal(T$6,$D18, 0,"TPI","AUTO"))=TRUE,_xll.PIArcVal(T$6,$D18, 0,"TPI","AUTO"),"")</f>
        <v>0.67065083980560303</v>
      </c>
      <c r="U18" s="160">
        <f>IF(ISNUMBER(_xll.PIArcVal(U$6,$C18, 0,"TPI","AUTO"))=TRUE,_xll.PIArcVal(U$6,$C18, 0,"TPI","AUTO"),"")</f>
        <v>54.337448120117188</v>
      </c>
      <c r="V18" s="160">
        <f>IF(ISNUMBER(_xll.PIArcVal(V$6,$D18, 0,"TPI","AUTO"))=TRUE,_xll.PIArcVal(V$6,$D18, 0,"TPI","AUTO"),"")</f>
        <v>53.728702545166016</v>
      </c>
      <c r="W18" s="160">
        <f>IF(ISNUMBER(_xll.PIArcVal(W$6,$C18, 0,"TPI","AUTO"))=TRUE,_xll.PIArcVal(W$6,$C18, 0,"TPI","AUTO"),"")</f>
        <v>1.2080948352813721</v>
      </c>
      <c r="X18" s="160">
        <f>IF(ISNUMBER(_xll.PIArcVal(X$6,$D18, 0,"TPI","AUTO"))=TRUE,_xll.PIArcVal(X$6,$D18, 0,"TPI","AUTO"),"")</f>
        <v>1.5019298791885376</v>
      </c>
      <c r="Y18" s="160" t="str" cm="1">
        <f t="array" ref="Y18">IF(ISNUMBER(_xll.PIAdvCalcVal($Y$6,$D17,$C18,"average (time-weighted)","time-weighted",0,1,0,"")),IF(_xll.PIAdvCalcVal($Y$6,$D17,$C18,"average (time-weighted)","time-weighted",0,1,0,"")&gt;0,_xll.PIAdvCalcVal($Y$6,$D17,$C18,"average (time-weighted)","time-weighted",0,1,0,""),""))</f>
        <v/>
      </c>
      <c r="Z18" s="160" t="str" cm="1">
        <f t="array" ref="Z18">IF(ISNUMBER(_xll.PIAdvCalcVal($Z$6,$C18,$D18,"average (time-weighted)","time-weighted",0,1,0,"")),IF(_xll.PIAdvCalcVal($Z$6,$C18,$D18,"average (time-weighted)","time-weighted",0,1,0,"")&gt;0,_xll.PIAdvCalcVal($Z$6,$C18,$D18,"average (time-weighted)","time-weighted",0,1,0,""),""))</f>
        <v/>
      </c>
    </row>
    <row r="19" spans="2:26" ht="16.5" thickBot="1" x14ac:dyDescent="0.3">
      <c r="B19" s="118">
        <f>Laboratorio_M!B17</f>
        <v>46258</v>
      </c>
      <c r="C19" s="119">
        <f t="shared" si="0"/>
        <v>46258.770833333336</v>
      </c>
      <c r="D19" s="119">
        <f t="shared" si="2"/>
        <v>46259.270833333336</v>
      </c>
      <c r="E19" s="160">
        <f>IF(ISNUMBER(_xll.PIArcVal(E$6,$C19, 0,"TPI","AUTO"))=TRUE,_xll.PIArcVal(E$6,$C19, 0,"TPI","AUTO"),"")</f>
        <v>22.674943923950195</v>
      </c>
      <c r="F19" s="160">
        <f>IF(ISNUMBER(_xll.PIArcVal(F$6,$D19, 0,"TPI","AUTO"))=TRUE,_xll.PIArcVal(F$6,$D19, 0,"TPI","AUTO"),"")</f>
        <v>23.641651153564453</v>
      </c>
      <c r="G19" s="160">
        <f>IF(ISNUMBER(_xll.PIArcVal(G$6,$C19, 0,"TPI","AUTO"))=TRUE,_xll.PIArcVal(G$6,$C19, 0,"TPI","AUTO"),"")</f>
        <v>2.301372766494751</v>
      </c>
      <c r="H19" s="160">
        <f>IF(ISNUMBER(_xll.PIArcVal(H$6,$D19, 0,"TPI","AUTO"))=TRUE,_xll.PIArcVal(H$6,$D19, 0,"TPI","AUTO"),"")</f>
        <v>1.8395191431045532</v>
      </c>
      <c r="I19" s="160">
        <f>IF(ISNUMBER(_xll.PIArcVal(I$6,$C19, 0,"TPI","AUTO"))=TRUE,_xll.PIArcVal(I$6,$C19, 0,"TPI","AUTO"),"")</f>
        <v>28.175008773803711</v>
      </c>
      <c r="J19" s="160">
        <f>IF(ISNUMBER(_xll.PIArcVal(J$6,$D19, 0,"TPI","AUTO"))=TRUE,_xll.PIArcVal(J$6,$D19, 0,"TPI","AUTO"),"")</f>
        <v>29.346792221069336</v>
      </c>
      <c r="K19" s="160">
        <f>IF(ISNUMBER(_xll.PIArcVal(K$6,$C19, 0,"TPI","AUTO"))=TRUE,_xll.PIArcVal(K$6,$C19, 0,"TPI","AUTO"),"")</f>
        <v>24.298362731933594</v>
      </c>
      <c r="L19" s="160">
        <f>IF(ISNUMBER(_xll.PIArcVal(L$6,$D19, 0,"TPI","AUTO"))=TRUE,_xll.PIArcVal(L$6,$D19, 0,"TPI","AUTO"),"")</f>
        <v>24.033393859863281</v>
      </c>
      <c r="M19" s="160">
        <f>IF(ISNUMBER(_xll.PIArcVal(M$6,$C19, 0,"TPI","AUTO"))=TRUE,_xll.PIArcVal(M$6,$C19, 0,"TPI","AUTO"),"")</f>
        <v>5.9297509491443634E-2</v>
      </c>
      <c r="N19" s="160">
        <f>IF(ISNUMBER(_xll.PIArcVal(N$6,$D19, 0,"TPI","AUTO"))=TRUE,_xll.PIArcVal(N$6,$D19, 0,"TPI","AUTO"),"")</f>
        <v>7.9983144998550415E-2</v>
      </c>
      <c r="O19" s="160">
        <f>IF(ISNUMBER(_xll.PIArcVal(O$6,$C19, 0,"TPI","AUTO"))=TRUE,_xll.PIArcVal(O$6,$C19, 0,"TPI","AUTO"),"")</f>
        <v>29.958515167236328</v>
      </c>
      <c r="P19" s="160">
        <f>IF(ISNUMBER(_xll.PIArcVal(P$6,$D19, 0,"TPI","AUTO"))=TRUE,_xll.PIArcVal(P$6,$D19, 0,"TPI","AUTO"),"")</f>
        <v>29.672199249267578</v>
      </c>
      <c r="Q19" s="160" t="str" cm="1">
        <f t="array" ref="Q19">IF(ISNUMBER(_xll.PIAdvCalcVal($Q$6,$D18,$C19,"average (time-weighted)","time-weighted",0,1,0,"")),IF(_xll.PIAdvCalcVal($Q$6,$D18,$C19,"average (time-weighted)","time-weighted",0,1,0,"")&gt;0,_xll.PIAdvCalcVal($Q$6,$D18,$C19,"average (time-weighted)","time-weighted",0,1,0,""),""),"")</f>
        <v/>
      </c>
      <c r="R19" s="160" cm="1">
        <f t="array" ref="R19">IF(ISNUMBER(_xll.PIAdvCalcVal($Z$6,$C19,$D19,"average (time-weighted)","time-weighted",0,1,0,"")),IF(_xll.PIAdvCalcVal($Z$6,$C19,$D19,"average (time-weighted)","time-weighted",0,1,0,"")&gt;0,_xll.PIAdvCalcVal($Z$6,$C19,$D19,"average (time-weighted)","time-weighted",0,1,0,""),""))</f>
        <v>2.4655806337240636</v>
      </c>
      <c r="S19" s="160">
        <f>IF(ISNUMBER(_xll.PIArcVal(S$6,$C19, 0,"TPI","AUTO"))=TRUE,_xll.PIArcVal(S$6,$C19, 0,"TPI","AUTO"),"")</f>
        <v>0.70668315887451172</v>
      </c>
      <c r="T19" s="160">
        <f>IF(ISNUMBER(_xll.PIArcVal(T$6,$D19, 0,"TPI","AUTO"))=TRUE,_xll.PIArcVal(T$6,$D19, 0,"TPI","AUTO"),"")</f>
        <v>0.81929582357406616</v>
      </c>
      <c r="U19" s="160">
        <f>IF(ISNUMBER(_xll.PIArcVal(U$6,$C19, 0,"TPI","AUTO"))=TRUE,_xll.PIArcVal(U$6,$C19, 0,"TPI","AUTO"),"")</f>
        <v>54.885494232177734</v>
      </c>
      <c r="V19" s="160">
        <f>IF(ISNUMBER(_xll.PIArcVal(V$6,$D19, 0,"TPI","AUTO"))=TRUE,_xll.PIArcVal(V$6,$D19, 0,"TPI","AUTO"),"")</f>
        <v>55.107204437255859</v>
      </c>
      <c r="W19" s="160">
        <f>IF(ISNUMBER(_xll.PIArcVal(W$6,$C19, 0,"TPI","AUTO"))=TRUE,_xll.PIArcVal(W$6,$C19, 0,"TPI","AUTO"),"")</f>
        <v>1.1374205350875854</v>
      </c>
      <c r="X19" s="160">
        <f>IF(ISNUMBER(_xll.PIArcVal(X$6,$D19, 0,"TPI","AUTO"))=TRUE,_xll.PIArcVal(X$6,$D19, 0,"TPI","AUTO"),"")</f>
        <v>1.2822182178497314</v>
      </c>
      <c r="Y19" s="160" cm="1">
        <f t="array" ref="Y19">IF(ISNUMBER(_xll.PIAdvCalcVal($Y$6,$D18,$C19,"average (time-weighted)","time-weighted",0,1,0,"")),IF(_xll.PIAdvCalcVal($Y$6,$D18,$C19,"average (time-weighted)","time-weighted",0,1,0,"")&gt;0,_xll.PIAdvCalcVal($Y$6,$D18,$C19,"average (time-weighted)","time-weighted",0,1,0,""),""))</f>
        <v>2.9173970388902997</v>
      </c>
      <c r="Z19" s="160" cm="1">
        <f t="array" ref="Z19">IF(ISNUMBER(_xll.PIAdvCalcVal($Z$6,$C19,$D19,"average (time-weighted)","time-weighted",0,1,0,"")),IF(_xll.PIAdvCalcVal($Z$6,$C19,$D19,"average (time-weighted)","time-weighted",0,1,0,"")&gt;0,_xll.PIAdvCalcVal($Z$6,$C19,$D19,"average (time-weighted)","time-weighted",0,1,0,""),""))</f>
        <v>2.4655806337240636</v>
      </c>
    </row>
    <row r="20" spans="2:26" ht="16.5" thickBot="1" x14ac:dyDescent="0.3">
      <c r="B20" s="118">
        <f>Laboratorio_M!B18</f>
        <v>46259</v>
      </c>
      <c r="C20" s="119">
        <f t="shared" si="0"/>
        <v>46259.770833333336</v>
      </c>
      <c r="D20" s="119">
        <f t="shared" si="2"/>
        <v>46260.270833333336</v>
      </c>
      <c r="E20" s="160">
        <f>IF(ISNUMBER(_xll.PIArcVal(E$6,$C20, 0,"TPI","AUTO"))=TRUE,_xll.PIArcVal(E$6,$C20, 0,"TPI","AUTO"),"")</f>
        <v>22.421327590942383</v>
      </c>
      <c r="F20" s="160">
        <f>IF(ISNUMBER(_xll.PIArcVal(F$6,$D20, 0,"TPI","AUTO"))=TRUE,_xll.PIArcVal(F$6,$D20, 0,"TPI","AUTO"),"")</f>
        <v>22.577163696289063</v>
      </c>
      <c r="G20" s="160">
        <f>IF(ISNUMBER(_xll.PIArcVal(G$6,$C20, 0,"TPI","AUTO"))=TRUE,_xll.PIArcVal(G$6,$C20, 0,"TPI","AUTO"),"")</f>
        <v>4.3784956932067871</v>
      </c>
      <c r="H20" s="160">
        <f>IF(ISNUMBER(_xll.PIArcVal(H$6,$D20, 0,"TPI","AUTO"))=TRUE,_xll.PIArcVal(H$6,$D20, 0,"TPI","AUTO"),"")</f>
        <v>4.0803060531616211</v>
      </c>
      <c r="I20" s="160">
        <f>IF(ISNUMBER(_xll.PIArcVal(I$6,$C20, 0,"TPI","AUTO"))=TRUE,_xll.PIArcVal(I$6,$C20, 0,"TPI","AUTO"),"")</f>
        <v>27.547765731811523</v>
      </c>
      <c r="J20" s="160">
        <f>IF(ISNUMBER(_xll.PIArcVal(J$6,$D20, 0,"TPI","AUTO"))=TRUE,_xll.PIArcVal(J$6,$D20, 0,"TPI","AUTO"),"")</f>
        <v>27.947559356689453</v>
      </c>
      <c r="K20" s="160">
        <f>IF(ISNUMBER(_xll.PIArcVal(K$6,$C20, 0,"TPI","AUTO"))=TRUE,_xll.PIArcVal(K$6,$C20, 0,"TPI","AUTO"),"")</f>
        <v>22.300138473510742</v>
      </c>
      <c r="L20" s="160">
        <f>IF(ISNUMBER(_xll.PIArcVal(L$6,$D20, 0,"TPI","AUTO"))=TRUE,_xll.PIArcVal(L$6,$D20, 0,"TPI","AUTO"),"")</f>
        <v>23.689096450805664</v>
      </c>
      <c r="M20" s="160">
        <f>IF(ISNUMBER(_xll.PIArcVal(M$6,$C20, 0,"TPI","AUTO"))=TRUE,_xll.PIArcVal(M$6,$C20, 0,"TPI","AUTO"),"")</f>
        <v>0.43560272455215454</v>
      </c>
      <c r="N20" s="160">
        <f>IF(ISNUMBER(_xll.PIArcVal(N$6,$D20, 0,"TPI","AUTO"))=TRUE,_xll.PIArcVal(N$6,$D20, 0,"TPI","AUTO"),"")</f>
        <v>0.14035680890083313</v>
      </c>
      <c r="O20" s="160">
        <f>IF(ISNUMBER(_xll.PIArcVal(O$6,$C20, 0,"TPI","AUTO"))=TRUE,_xll.PIArcVal(O$6,$C20, 0,"TPI","AUTO"),"")</f>
        <v>28.917024612426758</v>
      </c>
      <c r="P20" s="160">
        <f>IF(ISNUMBER(_xll.PIArcVal(P$6,$D20, 0,"TPI","AUTO"))=TRUE,_xll.PIArcVal(P$6,$D20, 0,"TPI","AUTO"),"")</f>
        <v>29.494268417358398</v>
      </c>
      <c r="Q20" s="160" t="str" cm="1">
        <f t="array" ref="Q20">IF(ISNUMBER(_xll.PIAdvCalcVal($Q$6,$D19,$C20,"average (time-weighted)","time-weighted",0,1,0,"")),IF(_xll.PIAdvCalcVal($Q$6,$D19,$C20,"average (time-weighted)","time-weighted",0,1,0,"")&gt;0,_xll.PIAdvCalcVal($Q$6,$D19,$C20,"average (time-weighted)","time-weighted",0,1,0,""),""),"")</f>
        <v/>
      </c>
      <c r="R20" s="160" cm="1">
        <f t="array" ref="R20">IF(ISNUMBER(_xll.PIAdvCalcVal($Z$6,$C20,$D20,"average (time-weighted)","time-weighted",0,1,0,"")),IF(_xll.PIAdvCalcVal($Z$6,$C20,$D20,"average (time-weighted)","time-weighted",0,1,0,"")&gt;0,_xll.PIAdvCalcVal($Z$6,$C20,$D20,"average (time-weighted)","time-weighted",0,1,0,""),""))</f>
        <v>2.6159699029383363</v>
      </c>
      <c r="S20" s="160">
        <f>IF(ISNUMBER(_xll.PIArcVal(S$6,$C20, 0,"TPI","AUTO"))=TRUE,_xll.PIArcVal(S$6,$C20, 0,"TPI","AUTO"),"")</f>
        <v>0.85306304693222046</v>
      </c>
      <c r="T20" s="160">
        <f>IF(ISNUMBER(_xll.PIArcVal(T$6,$D20, 0,"TPI","AUTO"))=TRUE,_xll.PIArcVal(T$6,$D20, 0,"TPI","AUTO"),"")</f>
        <v>0.93724614381790161</v>
      </c>
      <c r="U20" s="160">
        <f>IF(ISNUMBER(_xll.PIArcVal(U$6,$C20, 0,"TPI","AUTO"))=TRUE,_xll.PIArcVal(U$6,$C20, 0,"TPI","AUTO"),"")</f>
        <v>54.821846008300781</v>
      </c>
      <c r="V20" s="160">
        <f>IF(ISNUMBER(_xll.PIArcVal(V$6,$D20, 0,"TPI","AUTO"))=TRUE,_xll.PIArcVal(V$6,$D20, 0,"TPI","AUTO"),"")</f>
        <v>56.847740173339844</v>
      </c>
      <c r="W20" s="160">
        <f>IF(ISNUMBER(_xll.PIArcVal(W$6,$C20, 0,"TPI","AUTO"))=TRUE,_xll.PIArcVal(W$6,$C20, 0,"TPI","AUTO"),"")</f>
        <v>1.3860952854156494</v>
      </c>
      <c r="X20" s="160">
        <f>IF(ISNUMBER(_xll.PIArcVal(X$6,$D20, 0,"TPI","AUTO"))=TRUE,_xll.PIArcVal(X$6,$D20, 0,"TPI","AUTO"),"")</f>
        <v>1.0358563661575317</v>
      </c>
      <c r="Y20" s="160" t="str" cm="1">
        <f t="array" ref="Y20">IF(ISNUMBER(_xll.PIAdvCalcVal($Y$6,$D19,$C20,"average (time-weighted)","time-weighted",0,1,0,"")),IF(_xll.PIAdvCalcVal($Y$6,$D19,$C20,"average (time-weighted)","time-weighted",0,1,0,"")&gt;0,_xll.PIAdvCalcVal($Y$6,$D19,$C20,"average (time-weighted)","time-weighted",0,1,0,""),""))</f>
        <v/>
      </c>
      <c r="Z20" s="160" cm="1">
        <f t="array" ref="Z20">IF(ISNUMBER(_xll.PIAdvCalcVal($Z$6,$C20,$D20,"average (time-weighted)","time-weighted",0,1,0,"")),IF(_xll.PIAdvCalcVal($Z$6,$C20,$D20,"average (time-weighted)","time-weighted",0,1,0,"")&gt;0,_xll.PIAdvCalcVal($Z$6,$C20,$D20,"average (time-weighted)","time-weighted",0,1,0,""),""))</f>
        <v>2.6159699029383363</v>
      </c>
    </row>
    <row r="21" spans="2:26" ht="16.5" thickBot="1" x14ac:dyDescent="0.3">
      <c r="B21" s="118">
        <f t="shared" ref="B21:B39" si="3">B20+1</f>
        <v>46260</v>
      </c>
      <c r="C21" s="119">
        <f t="shared" si="0"/>
        <v>46260.770833333336</v>
      </c>
      <c r="D21" s="119">
        <f t="shared" si="2"/>
        <v>46261.270833333336</v>
      </c>
      <c r="E21" s="160">
        <f>IF(ISNUMBER(_xll.PIArcVal(E$6,$C21, 0,"TPI","AUTO"))=TRUE,_xll.PIArcVal(E$6,$C21, 0,"TPI","AUTO"),"")</f>
        <v>22.439613342285156</v>
      </c>
      <c r="F21" s="160">
        <f>IF(ISNUMBER(_xll.PIArcVal(F$6,$D21, 0,"TPI","AUTO"))=TRUE,_xll.PIArcVal(F$6,$D21, 0,"TPI","AUTO"),"")</f>
        <v>22.115400314331055</v>
      </c>
      <c r="G21" s="160">
        <f>IF(ISNUMBER(_xll.PIArcVal(G$6,$C21, 0,"TPI","AUTO"))=TRUE,_xll.PIArcVal(G$6,$C21, 0,"TPI","AUTO"),"")</f>
        <v>2.3282473087310791</v>
      </c>
      <c r="H21" s="160">
        <f>IF(ISNUMBER(_xll.PIArcVal(H$6,$D21, 0,"TPI","AUTO"))=TRUE,_xll.PIArcVal(H$6,$D21, 0,"TPI","AUTO"),"")</f>
        <v>2.5708036422729492</v>
      </c>
      <c r="I21" s="160">
        <f>IF(ISNUMBER(_xll.PIArcVal(I$6,$C21, 0,"TPI","AUTO"))=TRUE,_xll.PIArcVal(I$6,$C21, 0,"TPI","AUTO"),"")</f>
        <v>28.225917816162109</v>
      </c>
      <c r="J21" s="160">
        <f>IF(ISNUMBER(_xll.PIArcVal(J$6,$D21, 0,"TPI","AUTO"))=TRUE,_xll.PIArcVal(J$6,$D21, 0,"TPI","AUTO"),"")</f>
        <v>26.804603576660156</v>
      </c>
      <c r="K21" s="160">
        <f>IF(ISNUMBER(_xll.PIArcVal(K$6,$C21, 0,"TPI","AUTO"))=TRUE,_xll.PIArcVal(K$6,$C21, 0,"TPI","AUTO"),"")</f>
        <v>20.800651550292969</v>
      </c>
      <c r="L21" s="160">
        <f>IF(ISNUMBER(_xll.PIArcVal(L$6,$D21, 0,"TPI","AUTO"))=TRUE,_xll.PIArcVal(L$6,$D21, 0,"TPI","AUTO"),"")</f>
        <v>22.796459197998047</v>
      </c>
      <c r="M21" s="160">
        <f>IF(ISNUMBER(_xll.PIArcVal(M$6,$C21, 0,"TPI","AUTO"))=TRUE,_xll.PIArcVal(M$6,$C21, 0,"TPI","AUTO"),"")</f>
        <v>0.22028069198131561</v>
      </c>
      <c r="N21" s="160">
        <f>IF(ISNUMBER(_xll.PIArcVal(N$6,$D21, 0,"TPI","AUTO"))=TRUE,_xll.PIArcVal(N$6,$D21, 0,"TPI","AUTO"),"")</f>
        <v>0.1689692884683609</v>
      </c>
      <c r="O21" s="160">
        <f>IF(ISNUMBER(_xll.PIArcVal(O$6,$C21, 0,"TPI","AUTO"))=TRUE,_xll.PIArcVal(O$6,$C21, 0,"TPI","AUTO"),"")</f>
        <v>29.250423431396484</v>
      </c>
      <c r="P21" s="160">
        <f>IF(ISNUMBER(_xll.PIArcVal(P$6,$D21, 0,"TPI","AUTO"))=TRUE,_xll.PIArcVal(P$6,$D21, 0,"TPI","AUTO"),"")</f>
        <v>28.970615386962891</v>
      </c>
      <c r="Q21" s="160" t="str" cm="1">
        <f t="array" ref="Q21">IF(ISNUMBER(_xll.PIAdvCalcVal($Q$6,$D20,$C21,"average (time-weighted)","time-weighted",0,1,0,"")),IF(_xll.PIAdvCalcVal($Q$6,$D20,$C21,"average (time-weighted)","time-weighted",0,1,0,"")&gt;0,_xll.PIAdvCalcVal($Q$6,$D20,$C21,"average (time-weighted)","time-weighted",0,1,0,""),""),"")</f>
        <v/>
      </c>
      <c r="R21" s="160" t="str" cm="1">
        <f t="array" ref="R21">IF(ISNUMBER(_xll.PIAdvCalcVal($Z$6,$C21,$D21,"average (time-weighted)","time-weighted",0,1,0,"")),IF(_xll.PIAdvCalcVal($Z$6,$C21,$D21,"average (time-weighted)","time-weighted",0,1,0,"")&gt;0,_xll.PIAdvCalcVal($Z$6,$C21,$D21,"average (time-weighted)","time-weighted",0,1,0,""),""))</f>
        <v/>
      </c>
      <c r="S21" s="160">
        <f>IF(ISNUMBER(_xll.PIArcVal(S$6,$C21, 0,"TPI","AUTO"))=TRUE,_xll.PIArcVal(S$6,$C21, 0,"TPI","AUTO"),"")</f>
        <v>0.90241354703903198</v>
      </c>
      <c r="T21" s="160">
        <f>IF(ISNUMBER(_xll.PIArcVal(T$6,$D21, 0,"TPI","AUTO"))=TRUE,_xll.PIArcVal(T$6,$D21, 0,"TPI","AUTO"),"")</f>
        <v>0.77111351490020752</v>
      </c>
      <c r="U21" s="160">
        <f>IF(ISNUMBER(_xll.PIArcVal(U$6,$C21, 0,"TPI","AUTO"))=TRUE,_xll.PIArcVal(U$6,$C21, 0,"TPI","AUTO"),"")</f>
        <v>56.794994354248047</v>
      </c>
      <c r="V21" s="160">
        <f>IF(ISNUMBER(_xll.PIArcVal(V$6,$D21, 0,"TPI","AUTO"))=TRUE,_xll.PIArcVal(V$6,$D21, 0,"TPI","AUTO"),"")</f>
        <v>56.340744018554688</v>
      </c>
      <c r="W21" s="160">
        <f>IF(ISNUMBER(_xll.PIArcVal(W$6,$C21, 0,"TPI","AUTO"))=TRUE,_xll.PIArcVal(W$6,$C21, 0,"TPI","AUTO"),"")</f>
        <v>0.92830365896224976</v>
      </c>
      <c r="X21" s="160">
        <f>IF(ISNUMBER(_xll.PIArcVal(X$6,$D21, 0,"TPI","AUTO"))=TRUE,_xll.PIArcVal(X$6,$D21, 0,"TPI","AUTO"),"")</f>
        <v>0.78384280204772949</v>
      </c>
      <c r="Y21" s="160" cm="1">
        <f t="array" ref="Y21">IF(ISNUMBER(_xll.PIAdvCalcVal($Y$6,$D20,$C21,"average (time-weighted)","time-weighted",0,1,0,"")),IF(_xll.PIAdvCalcVal($Y$6,$D20,$C21,"average (time-weighted)","time-weighted",0,1,0,"")&gt;0,_xll.PIAdvCalcVal($Y$6,$D20,$C21,"average (time-weighted)","time-weighted",0,1,0,""),""))</f>
        <v>2.7132976953725172</v>
      </c>
      <c r="Z21" s="160" t="str" cm="1">
        <f t="array" ref="Z21">IF(ISNUMBER(_xll.PIAdvCalcVal($Z$6,$C21,$D21,"average (time-weighted)","time-weighted",0,1,0,"")),IF(_xll.PIAdvCalcVal($Z$6,$C21,$D21,"average (time-weighted)","time-weighted",0,1,0,"")&gt;0,_xll.PIAdvCalcVal($Z$6,$C21,$D21,"average (time-weighted)","time-weighted",0,1,0,""),""))</f>
        <v/>
      </c>
    </row>
    <row r="22" spans="2:26" ht="16.5" thickBot="1" x14ac:dyDescent="0.3">
      <c r="B22" s="118">
        <f t="shared" si="3"/>
        <v>46261</v>
      </c>
      <c r="C22" s="119">
        <f t="shared" si="0"/>
        <v>46261.770833333336</v>
      </c>
      <c r="D22" s="119">
        <f t="shared" si="2"/>
        <v>46262.270833333336</v>
      </c>
      <c r="E22" s="160">
        <f>IF(ISNUMBER(_xll.PIArcVal(E$6,$C22, 0,"TPI","AUTO"))=TRUE,_xll.PIArcVal(E$6,$C22, 0,"TPI","AUTO"),"")</f>
        <v>22.115400314331055</v>
      </c>
      <c r="F22" s="160">
        <f>IF(ISNUMBER(_xll.PIArcVal(F$6,$D22, 0,"TPI","AUTO"))=TRUE,_xll.PIArcVal(F$6,$D22, 0,"TPI","AUTO"),"")</f>
        <v>22.430482864379883</v>
      </c>
      <c r="G22" s="160">
        <f>IF(ISNUMBER(_xll.PIArcVal(G$6,$C22, 0,"TPI","AUTO"))=TRUE,_xll.PIArcVal(G$6,$C22, 0,"TPI","AUTO"),"")</f>
        <v>2.5708036422729492</v>
      </c>
      <c r="H22" s="160">
        <f>IF(ISNUMBER(_xll.PIArcVal(H$6,$D22, 0,"TPI","AUTO"))=TRUE,_xll.PIArcVal(H$6,$D22, 0,"TPI","AUTO"),"")</f>
        <v>0.68110287189483643</v>
      </c>
      <c r="I22" s="160">
        <f>IF(ISNUMBER(_xll.PIArcVal(I$6,$C22, 0,"TPI","AUTO"))=TRUE,_xll.PIArcVal(I$6,$C22, 0,"TPI","AUTO"),"")</f>
        <v>26.804603576660156</v>
      </c>
      <c r="J22" s="160">
        <f>IF(ISNUMBER(_xll.PIArcVal(J$6,$D22, 0,"TPI","AUTO"))=TRUE,_xll.PIArcVal(J$6,$D22, 0,"TPI","AUTO"),"")</f>
        <v>27.774629592895508</v>
      </c>
      <c r="K22" s="160">
        <f>IF(ISNUMBER(_xll.PIArcVal(K$6,$C22, 0,"TPI","AUTO"))=TRUE,_xll.PIArcVal(K$6,$C22, 0,"TPI","AUTO"),"")</f>
        <v>22.796459197998047</v>
      </c>
      <c r="L22" s="160">
        <f>IF(ISNUMBER(_xll.PIArcVal(L$6,$D22, 0,"TPI","AUTO"))=TRUE,_xll.PIArcVal(L$6,$D22, 0,"TPI","AUTO"),"")</f>
        <v>21.517040252685547</v>
      </c>
      <c r="M22" s="160">
        <f>IF(ISNUMBER(_xll.PIArcVal(M$6,$C22, 0,"TPI","AUTO"))=TRUE,_xll.PIArcVal(M$6,$C22, 0,"TPI","AUTO"),"")</f>
        <v>0.1689692884683609</v>
      </c>
      <c r="N22" s="160">
        <f>IF(ISNUMBER(_xll.PIArcVal(N$6,$D22, 0,"TPI","AUTO"))=TRUE,_xll.PIArcVal(N$6,$D22, 0,"TPI","AUTO"),"")</f>
        <v>6.8032629787921906E-2</v>
      </c>
      <c r="O22" s="160">
        <f>IF(ISNUMBER(_xll.PIArcVal(O$6,$C22, 0,"TPI","AUTO"))=TRUE,_xll.PIArcVal(O$6,$C22, 0,"TPI","AUTO"),"")</f>
        <v>28.970615386962891</v>
      </c>
      <c r="P22" s="160">
        <f>IF(ISNUMBER(_xll.PIArcVal(P$6,$D22, 0,"TPI","AUTO"))=TRUE,_xll.PIArcVal(P$6,$D22, 0,"TPI","AUTO"),"")</f>
        <v>29.194454193115234</v>
      </c>
      <c r="Q22" s="160" t="str" cm="1">
        <f t="array" ref="Q22">IF(ISNUMBER(_xll.PIAdvCalcVal($Q$6,$D21,$C22,"average (time-weighted)","time-weighted",0,1,0,"")),IF(_xll.PIAdvCalcVal($Q$6,$D21,$C22,"average (time-weighted)","time-weighted",0,1,0,"")&gt;0,_xll.PIAdvCalcVal($Q$6,$D21,$C22,"average (time-weighted)","time-weighted",0,1,0,""),""),"")</f>
        <v/>
      </c>
      <c r="R22" s="160" t="str" cm="1">
        <f t="array" ref="R22">IF(ISNUMBER(_xll.PIAdvCalcVal($Z$6,$C22,$D22,"average (time-weighted)","time-weighted",0,1,0,"")),IF(_xll.PIAdvCalcVal($Z$6,$C22,$D22,"average (time-weighted)","time-weighted",0,1,0,"")&gt;0,_xll.PIAdvCalcVal($Z$6,$C22,$D22,"average (time-weighted)","time-weighted",0,1,0,""),""))</f>
        <v/>
      </c>
      <c r="S22" s="160">
        <f>IF(ISNUMBER(_xll.PIArcVal(S$6,$C22, 0,"TPI","AUTO"))=TRUE,_xll.PIArcVal(S$6,$C22, 0,"TPI","AUTO"),"")</f>
        <v>0.77111351490020752</v>
      </c>
      <c r="T22" s="160">
        <f>IF(ISNUMBER(_xll.PIArcVal(T$6,$D22, 0,"TPI","AUTO"))=TRUE,_xll.PIArcVal(T$6,$D22, 0,"TPI","AUTO"),"")</f>
        <v>0.75849008560180664</v>
      </c>
      <c r="U22" s="160">
        <f>IF(ISNUMBER(_xll.PIArcVal(U$6,$C22, 0,"TPI","AUTO"))=TRUE,_xll.PIArcVal(U$6,$C22, 0,"TPI","AUTO"),"")</f>
        <v>56.340744018554688</v>
      </c>
      <c r="V22" s="160">
        <f>IF(ISNUMBER(_xll.PIArcVal(V$6,$D22, 0,"TPI","AUTO"))=TRUE,_xll.PIArcVal(V$6,$D22, 0,"TPI","AUTO"),"")</f>
        <v>57.260551452636719</v>
      </c>
      <c r="W22" s="160">
        <f>IF(ISNUMBER(_xll.PIArcVal(W$6,$C22, 0,"TPI","AUTO"))=TRUE,_xll.PIArcVal(W$6,$C22, 0,"TPI","AUTO"),"")</f>
        <v>0.78384280204772949</v>
      </c>
      <c r="X22" s="160">
        <f>IF(ISNUMBER(_xll.PIArcVal(X$6,$D22, 0,"TPI","AUTO"))=TRUE,_xll.PIArcVal(X$6,$D22, 0,"TPI","AUTO"),"")</f>
        <v>0.76695138216018677</v>
      </c>
      <c r="Y22" s="160" t="str" cm="1">
        <f t="array" ref="Y22">IF(ISNUMBER(_xll.PIAdvCalcVal($Y$6,$D21,$C22,"average (time-weighted)","time-weighted",0,1,0,"")),IF(_xll.PIAdvCalcVal($Y$6,$D21,$C22,"average (time-weighted)","time-weighted",0,1,0,"")&gt;0,_xll.PIAdvCalcVal($Y$6,$D21,$C22,"average (time-weighted)","time-weighted",0,1,0,""),""))</f>
        <v/>
      </c>
      <c r="Z22" s="160" t="str" cm="1">
        <f t="array" ref="Z22">IF(ISNUMBER(_xll.PIAdvCalcVal($Z$6,$C22,$D22,"average (time-weighted)","time-weighted",0,1,0,"")),IF(_xll.PIAdvCalcVal($Z$6,$C22,$D22,"average (time-weighted)","time-weighted",0,1,0,"")&gt;0,_xll.PIAdvCalcVal($Z$6,$C22,$D22,"average (time-weighted)","time-weighted",0,1,0,""),""))</f>
        <v/>
      </c>
    </row>
    <row r="23" spans="2:26" ht="16.5" thickBot="1" x14ac:dyDescent="0.3">
      <c r="B23" s="118">
        <f t="shared" si="3"/>
        <v>46262</v>
      </c>
      <c r="C23" s="119">
        <f t="shared" si="0"/>
        <v>46262.770833333336</v>
      </c>
      <c r="D23" s="119">
        <f t="shared" si="2"/>
        <v>46263.270833333336</v>
      </c>
      <c r="E23" s="160">
        <f>IF(ISNUMBER(_xll.PIArcVal(E$6,$C23, 0,"TPI","AUTO"))=TRUE,_xll.PIArcVal(E$6,$C23, 0,"TPI","AUTO"),"")</f>
        <v>23.856645584106445</v>
      </c>
      <c r="F23" s="160">
        <f>IF(ISNUMBER(_xll.PIArcVal(F$6,$D23, 0,"TPI","AUTO"))=TRUE,_xll.PIArcVal(F$6,$D23, 0,"TPI","AUTO"),"")</f>
        <v>23.230396270751953</v>
      </c>
      <c r="G23" s="160">
        <f>IF(ISNUMBER(_xll.PIArcVal(G$6,$C23, 0,"TPI","AUTO"))=TRUE,_xll.PIArcVal(G$6,$C23, 0,"TPI","AUTO"),"")</f>
        <v>0.74810713529586792</v>
      </c>
      <c r="H23" s="160">
        <f>IF(ISNUMBER(_xll.PIArcVal(H$6,$D23, 0,"TPI","AUTO"))=TRUE,_xll.PIArcVal(H$6,$D23, 0,"TPI","AUTO"),"")</f>
        <v>0.76367515325546265</v>
      </c>
      <c r="I23" s="160">
        <f>IF(ISNUMBER(_xll.PIArcVal(I$6,$C23, 0,"TPI","AUTO"))=TRUE,_xll.PIArcVal(I$6,$C23, 0,"TPI","AUTO"),"")</f>
        <v>27.966691970825195</v>
      </c>
      <c r="J23" s="160">
        <f>IF(ISNUMBER(_xll.PIArcVal(J$6,$D23, 0,"TPI","AUTO"))=TRUE,_xll.PIArcVal(J$6,$D23, 0,"TPI","AUTO"),"")</f>
        <v>27.659448623657227</v>
      </c>
      <c r="K23" s="160">
        <f>IF(ISNUMBER(_xll.PIArcVal(K$6,$C23, 0,"TPI","AUTO"))=TRUE,_xll.PIArcVal(K$6,$C23, 0,"TPI","AUTO"),"")</f>
        <v>23.994331359863281</v>
      </c>
      <c r="L23" s="160">
        <f>IF(ISNUMBER(_xll.PIArcVal(L$6,$D23, 0,"TPI","AUTO"))=TRUE,_xll.PIArcVal(L$6,$D23, 0,"TPI","AUTO"),"")</f>
        <v>22.875391006469727</v>
      </c>
      <c r="M23" s="160">
        <f>IF(ISNUMBER(_xll.PIArcVal(M$6,$C23, 0,"TPI","AUTO"))=TRUE,_xll.PIArcVal(M$6,$C23, 0,"TPI","AUTO"),"")</f>
        <v>9.1524593532085419E-2</v>
      </c>
      <c r="N23" s="160">
        <f>IF(ISNUMBER(_xll.PIArcVal(N$6,$D23, 0,"TPI","AUTO"))=TRUE,_xll.PIArcVal(N$6,$D23, 0,"TPI","AUTO"),"")</f>
        <v>6.9822221994400024E-2</v>
      </c>
      <c r="O23" s="160">
        <f>IF(ISNUMBER(_xll.PIArcVal(O$6,$C23, 0,"TPI","AUTO"))=TRUE,_xll.PIArcVal(O$6,$C23, 0,"TPI","AUTO"),"")</f>
        <v>29.186149597167969</v>
      </c>
      <c r="P23" s="160">
        <f>IF(ISNUMBER(_xll.PIArcVal(P$6,$D23, 0,"TPI","AUTO"))=TRUE,_xll.PIArcVal(P$6,$D23, 0,"TPI","AUTO"),"")</f>
        <v>29.129720687866211</v>
      </c>
      <c r="Q23" s="160" t="str" cm="1">
        <f t="array" ref="Q23">IF(ISNUMBER(_xll.PIAdvCalcVal($Q$6,$D22,$C23,"average (time-weighted)","time-weighted",0,1,0,"")),IF(_xll.PIAdvCalcVal($Q$6,$D22,$C23,"average (time-weighted)","time-weighted",0,1,0,"")&gt;0,_xll.PIAdvCalcVal($Q$6,$D22,$C23,"average (time-weighted)","time-weighted",0,1,0,""),""),"")</f>
        <v/>
      </c>
      <c r="R23" s="160" cm="1">
        <f t="array" ref="R23">IF(ISNUMBER(_xll.PIAdvCalcVal($Z$6,$C23,$D23,"average (time-weighted)","time-weighted",0,1,0,"")),IF(_xll.PIAdvCalcVal($Z$6,$C23,$D23,"average (time-weighted)","time-weighted",0,1,0,"")&gt;0,_xll.PIAdvCalcVal($Z$6,$C23,$D23,"average (time-weighted)","time-weighted",0,1,0,""),""))</f>
        <v>2.7453752378277034</v>
      </c>
      <c r="S23" s="160">
        <f>IF(ISNUMBER(_xll.PIArcVal(S$6,$C23, 0,"TPI","AUTO"))=TRUE,_xll.PIArcVal(S$6,$C23, 0,"TPI","AUTO"),"")</f>
        <v>0.73530465364456177</v>
      </c>
      <c r="T23" s="160">
        <f>IF(ISNUMBER(_xll.PIArcVal(T$6,$D23, 0,"TPI","AUTO"))=TRUE,_xll.PIArcVal(T$6,$D23, 0,"TPI","AUTO"),"")</f>
        <v>0.61146652698516846</v>
      </c>
      <c r="U23" s="160">
        <f>IF(ISNUMBER(_xll.PIArcVal(U$6,$C23, 0,"TPI","AUTO"))=TRUE,_xll.PIArcVal(U$6,$C23, 0,"TPI","AUTO"),"")</f>
        <v>56.498401641845703</v>
      </c>
      <c r="V23" s="160">
        <f>IF(ISNUMBER(_xll.PIArcVal(V$6,$D23, 0,"TPI","AUTO"))=TRUE,_xll.PIArcVal(V$6,$D23, 0,"TPI","AUTO"),"")</f>
        <v>56.82696533203125</v>
      </c>
      <c r="W23" s="160">
        <f>IF(ISNUMBER(_xll.PIArcVal(W$6,$C23, 0,"TPI","AUTO"))=TRUE,_xll.PIArcVal(W$6,$C23, 0,"TPI","AUTO"),"")</f>
        <v>0.75686037540435791</v>
      </c>
      <c r="X23" s="160">
        <f>IF(ISNUMBER(_xll.PIArcVal(X$6,$D23, 0,"TPI","AUTO"))=TRUE,_xll.PIArcVal(X$6,$D23, 0,"TPI","AUTO"),"")</f>
        <v>0.85735327005386353</v>
      </c>
      <c r="Y23" s="160" cm="1">
        <f t="array" ref="Y23">IF(ISNUMBER(_xll.PIAdvCalcVal($Y$6,$D22,$C23,"average (time-weighted)","time-weighted",0,1,0,"")),IF(_xll.PIAdvCalcVal($Y$6,$D22,$C23,"average (time-weighted)","time-weighted",0,1,0,"")&gt;0,_xll.PIAdvCalcVal($Y$6,$D22,$C23,"average (time-weighted)","time-weighted",0,1,0,""),""))</f>
        <v>3.0035730596257779</v>
      </c>
      <c r="Z23" s="160" cm="1">
        <f t="array" ref="Z23">IF(ISNUMBER(_xll.PIAdvCalcVal($Z$6,$C23,$D23,"average (time-weighted)","time-weighted",0,1,0,"")),IF(_xll.PIAdvCalcVal($Z$6,$C23,$D23,"average (time-weighted)","time-weighted",0,1,0,"")&gt;0,_xll.PIAdvCalcVal($Z$6,$C23,$D23,"average (time-weighted)","time-weighted",0,1,0,""),""))</f>
        <v>2.7453752378277034</v>
      </c>
    </row>
    <row r="24" spans="2:26" ht="16.5" thickBot="1" x14ac:dyDescent="0.3">
      <c r="B24" s="118">
        <f t="shared" si="3"/>
        <v>46263</v>
      </c>
      <c r="C24" s="119">
        <f t="shared" si="0"/>
        <v>46263.770833333336</v>
      </c>
      <c r="D24" s="119">
        <f t="shared" si="2"/>
        <v>46264.270833333336</v>
      </c>
      <c r="E24" s="160">
        <f>IF(ISNUMBER(_xll.PIArcVal(E$6,$C24, 0,"TPI","AUTO"))=TRUE,_xll.PIArcVal(E$6,$C24, 0,"TPI","AUTO"),"")</f>
        <v>22.504552841186523</v>
      </c>
      <c r="F24" s="160">
        <f>IF(ISNUMBER(_xll.PIArcVal(F$6,$D24, 0,"TPI","AUTO"))=TRUE,_xll.PIArcVal(F$6,$D24, 0,"TPI","AUTO"),"")</f>
        <v>22.002679824829102</v>
      </c>
      <c r="G24" s="160">
        <f>IF(ISNUMBER(_xll.PIArcVal(G$6,$C24, 0,"TPI","AUTO"))=TRUE,_xll.PIArcVal(G$6,$C24, 0,"TPI","AUTO"),"")</f>
        <v>1.1042046546936035</v>
      </c>
      <c r="H24" s="160">
        <f>IF(ISNUMBER(_xll.PIArcVal(H$6,$D24, 0,"TPI","AUTO"))=TRUE,_xll.PIArcVal(H$6,$D24, 0,"TPI","AUTO"),"")</f>
        <v>1.250199556350708</v>
      </c>
      <c r="I24" s="160">
        <f>IF(ISNUMBER(_xll.PIArcVal(I$6,$C24, 0,"TPI","AUTO"))=TRUE,_xll.PIArcVal(I$6,$C24, 0,"TPI","AUTO"),"")</f>
        <v>27.208417892456055</v>
      </c>
      <c r="J24" s="160">
        <f>IF(ISNUMBER(_xll.PIArcVal(J$6,$D24, 0,"TPI","AUTO"))=TRUE,_xll.PIArcVal(J$6,$D24, 0,"TPI","AUTO"),"")</f>
        <v>28.356494903564453</v>
      </c>
      <c r="K24" s="160">
        <f>IF(ISNUMBER(_xll.PIArcVal(K$6,$C24, 0,"TPI","AUTO"))=TRUE,_xll.PIArcVal(K$6,$C24, 0,"TPI","AUTO"),"")</f>
        <v>21.951410293579102</v>
      </c>
      <c r="L24" s="160">
        <f>IF(ISNUMBER(_xll.PIArcVal(L$6,$D24, 0,"TPI","AUTO"))=TRUE,_xll.PIArcVal(L$6,$D24, 0,"TPI","AUTO"),"")</f>
        <v>21.885499954223633</v>
      </c>
      <c r="M24" s="160">
        <f>IF(ISNUMBER(_xll.PIArcVal(M$6,$C24, 0,"TPI","AUTO"))=TRUE,_xll.PIArcVal(M$6,$C24, 0,"TPI","AUTO"),"")</f>
        <v>9.7445882856845856E-2</v>
      </c>
      <c r="N24" s="160">
        <f>IF(ISNUMBER(_xll.PIArcVal(N$6,$D24, 0,"TPI","AUTO"))=TRUE,_xll.PIArcVal(N$6,$D24, 0,"TPI","AUTO"),"")</f>
        <v>5.1226496696472168E-2</v>
      </c>
      <c r="O24" s="160">
        <f>IF(ISNUMBER(_xll.PIArcVal(O$6,$C24, 0,"TPI","AUTO"))=TRUE,_xll.PIArcVal(O$6,$C24, 0,"TPI","AUTO"),"")</f>
        <v>29.329471588134766</v>
      </c>
      <c r="P24" s="160">
        <f>IF(ISNUMBER(_xll.PIArcVal(P$6,$D24, 0,"TPI","AUTO"))=TRUE,_xll.PIArcVal(P$6,$D24, 0,"TPI","AUTO"),"")</f>
        <v>29.416046142578125</v>
      </c>
      <c r="Q24" s="160" t="str" cm="1">
        <f t="array" ref="Q24">IF(ISNUMBER(_xll.PIAdvCalcVal($Q$6,$D23,$C24,"average (time-weighted)","time-weighted",0,1,0,"")),IF(_xll.PIAdvCalcVal($Q$6,$D23,$C24,"average (time-weighted)","time-weighted",0,1,0,"")&gt;0,_xll.PIAdvCalcVal($Q$6,$D23,$C24,"average (time-weighted)","time-weighted",0,1,0,""),""),"")</f>
        <v/>
      </c>
      <c r="R24" s="160" cm="1">
        <f t="array" ref="R24">IF(ISNUMBER(_xll.PIAdvCalcVal($Z$6,$C24,$D24,"average (time-weighted)","time-weighted",0,1,0,"")),IF(_xll.PIAdvCalcVal($Z$6,$C24,$D24,"average (time-weighted)","time-weighted",0,1,0,"")&gt;0,_xll.PIAdvCalcVal($Z$6,$C24,$D24,"average (time-weighted)","time-weighted",0,1,0,""),""))</f>
        <v>3.0238548358805772</v>
      </c>
      <c r="S24" s="160">
        <f>IF(ISNUMBER(_xll.PIArcVal(S$6,$C24, 0,"TPI","AUTO"))=TRUE,_xll.PIArcVal(S$6,$C24, 0,"TPI","AUTO"),"")</f>
        <v>0.59000110626220703</v>
      </c>
      <c r="T24" s="160">
        <f>IF(ISNUMBER(_xll.PIArcVal(T$6,$D24, 0,"TPI","AUTO"))=TRUE,_xll.PIArcVal(T$6,$D24, 0,"TPI","AUTO"),"")</f>
        <v>0.52631789445877075</v>
      </c>
      <c r="U24" s="160">
        <f>IF(ISNUMBER(_xll.PIArcVal(U$6,$C24, 0,"TPI","AUTO"))=TRUE,_xll.PIArcVal(U$6,$C24, 0,"TPI","AUTO"),"")</f>
        <v>56.480049133300781</v>
      </c>
      <c r="V24" s="160">
        <f>IF(ISNUMBER(_xll.PIArcVal(V$6,$D24, 0,"TPI","AUTO"))=TRUE,_xll.PIArcVal(V$6,$D24, 0,"TPI","AUTO"),"")</f>
        <v>57.101436614990234</v>
      </c>
      <c r="W24" s="160">
        <f>IF(ISNUMBER(_xll.PIArcVal(W$6,$C24, 0,"TPI","AUTO"))=TRUE,_xll.PIArcVal(W$6,$C24, 0,"TPI","AUTO"),"")</f>
        <v>0.79479086399078369</v>
      </c>
      <c r="X24" s="160">
        <f>IF(ISNUMBER(_xll.PIArcVal(X$6,$D24, 0,"TPI","AUTO"))=TRUE,_xll.PIArcVal(X$6,$D24, 0,"TPI","AUTO"),"")</f>
        <v>0.67580217123031616</v>
      </c>
      <c r="Y24" s="160" cm="1">
        <f t="array" ref="Y24">IF(ISNUMBER(_xll.PIAdvCalcVal($Y$6,$D23,$C24,"average (time-weighted)","time-weighted",0,1,0,"")),IF(_xll.PIAdvCalcVal($Y$6,$D23,$C24,"average (time-weighted)","time-weighted",0,1,0,"")&gt;0,_xll.PIAdvCalcVal($Y$6,$D23,$C24,"average (time-weighted)","time-weighted",0,1,0,""),""))</f>
        <v>3.1424075673579392</v>
      </c>
      <c r="Z24" s="160" cm="1">
        <f t="array" ref="Z24">IF(ISNUMBER(_xll.PIAdvCalcVal($Z$6,$C24,$D24,"average (time-weighted)","time-weighted",0,1,0,"")),IF(_xll.PIAdvCalcVal($Z$6,$C24,$D24,"average (time-weighted)","time-weighted",0,1,0,"")&gt;0,_xll.PIAdvCalcVal($Z$6,$C24,$D24,"average (time-weighted)","time-weighted",0,1,0,""),""))</f>
        <v>3.0238548358805772</v>
      </c>
    </row>
    <row r="25" spans="2:26" ht="16.5" thickBot="1" x14ac:dyDescent="0.3">
      <c r="B25" s="118">
        <f t="shared" si="3"/>
        <v>46264</v>
      </c>
      <c r="C25" s="119">
        <f t="shared" si="0"/>
        <v>46264.770833333336</v>
      </c>
      <c r="D25" s="119">
        <f t="shared" si="2"/>
        <v>46265.270833333336</v>
      </c>
      <c r="E25" s="160">
        <f>IF(ISNUMBER(_xll.PIArcVal(E$6,$C25, 0,"TPI","AUTO"))=TRUE,_xll.PIArcVal(E$6,$C25, 0,"TPI","AUTO"),"")</f>
        <v>21.807527542114258</v>
      </c>
      <c r="F25" s="160">
        <f>IF(ISNUMBER(_xll.PIArcVal(F$6,$D25, 0,"TPI","AUTO"))=TRUE,_xll.PIArcVal(F$6,$D25, 0,"TPI","AUTO"),"")</f>
        <v>22.898529052734375</v>
      </c>
      <c r="G25" s="160">
        <f>IF(ISNUMBER(_xll.PIArcVal(G$6,$C25, 0,"TPI","AUTO"))=TRUE,_xll.PIArcVal(G$6,$C25, 0,"TPI","AUTO"),"")</f>
        <v>1.1539222002029419</v>
      </c>
      <c r="H25" s="160">
        <f>IF(ISNUMBER(_xll.PIArcVal(H$6,$D25, 0,"TPI","AUTO"))=TRUE,_xll.PIArcVal(H$6,$D25, 0,"TPI","AUTO"),"")</f>
        <v>1.1675971746444702</v>
      </c>
      <c r="I25" s="160">
        <f>IF(ISNUMBER(_xll.PIArcVal(I$6,$C25, 0,"TPI","AUTO"))=TRUE,_xll.PIArcVal(I$6,$C25, 0,"TPI","AUTO"),"")</f>
        <v>28.27708625793457</v>
      </c>
      <c r="J25" s="160">
        <f>IF(ISNUMBER(_xll.PIArcVal(J$6,$D25, 0,"TPI","AUTO"))=TRUE,_xll.PIArcVal(J$6,$D25, 0,"TPI","AUTO"),"")</f>
        <v>28.763704299926758</v>
      </c>
      <c r="K25" s="160">
        <f>IF(ISNUMBER(_xll.PIArcVal(K$6,$C25, 0,"TPI","AUTO"))=TRUE,_xll.PIArcVal(K$6,$C25, 0,"TPI","AUTO"),"")</f>
        <v>22.472513198852539</v>
      </c>
      <c r="L25" s="160">
        <f>IF(ISNUMBER(_xll.PIArcVal(L$6,$D25, 0,"TPI","AUTO"))=TRUE,_xll.PIArcVal(L$6,$D25, 0,"TPI","AUTO"),"")</f>
        <v>23.350467681884766</v>
      </c>
      <c r="M25" s="160">
        <f>IF(ISNUMBER(_xll.PIArcVal(M$6,$C25, 0,"TPI","AUTO"))=TRUE,_xll.PIArcVal(M$6,$C25, 0,"TPI","AUTO"),"")</f>
        <v>6.0069702565670013E-2</v>
      </c>
      <c r="N25" s="160">
        <f>IF(ISNUMBER(_xll.PIArcVal(N$6,$D25, 0,"TPI","AUTO"))=TRUE,_xll.PIArcVal(N$6,$D25, 0,"TPI","AUTO"),"")</f>
        <v>0.12544995546340942</v>
      </c>
      <c r="O25" s="160">
        <f>IF(ISNUMBER(_xll.PIArcVal(O$6,$C25, 0,"TPI","AUTO"))=TRUE,_xll.PIArcVal(O$6,$C25, 0,"TPI","AUTO"),"")</f>
        <v>29.422409057617188</v>
      </c>
      <c r="P25" s="160">
        <f>IF(ISNUMBER(_xll.PIArcVal(P$6,$D25, 0,"TPI","AUTO"))=TRUE,_xll.PIArcVal(P$6,$D25, 0,"TPI","AUTO"),"")</f>
        <v>29.085533142089844</v>
      </c>
      <c r="Q25" s="160" t="str" cm="1">
        <f t="array" ref="Q25">IF(ISNUMBER(_xll.PIAdvCalcVal($Q$6,$D24,$C25,"average (time-weighted)","time-weighted",0,1,0,"")),IF(_xll.PIAdvCalcVal($Q$6,$D24,$C25,"average (time-weighted)","time-weighted",0,1,0,"")&gt;0,_xll.PIAdvCalcVal($Q$6,$D24,$C25,"average (time-weighted)","time-weighted",0,1,0,""),""),"")</f>
        <v/>
      </c>
      <c r="R25" s="160" cm="1">
        <f t="array" ref="R25">IF(ISNUMBER(_xll.PIAdvCalcVal($Z$6,$C25,$D25,"average (time-weighted)","time-weighted",0,1,0,"")),IF(_xll.PIAdvCalcVal($Z$6,$C25,$D25,"average (time-weighted)","time-weighted",0,1,0,"")&gt;0,_xll.PIAdvCalcVal($Z$6,$C25,$D25,"average (time-weighted)","time-weighted",0,1,0,""),""))</f>
        <v>2.5285269788813181</v>
      </c>
      <c r="S25" s="160">
        <f>IF(ISNUMBER(_xll.PIArcVal(S$6,$C25, 0,"TPI","AUTO"))=TRUE,_xll.PIArcVal(S$6,$C25, 0,"TPI","AUTO"),"")</f>
        <v>0.39342418313026428</v>
      </c>
      <c r="T25" s="160">
        <f>IF(ISNUMBER(_xll.PIArcVal(T$6,$D25, 0,"TPI","AUTO"))=TRUE,_xll.PIArcVal(T$6,$D25, 0,"TPI","AUTO"),"")</f>
        <v>0.5572211742401123</v>
      </c>
      <c r="U25" s="160">
        <f>IF(ISNUMBER(_xll.PIArcVal(U$6,$C25, 0,"TPI","AUTO"))=TRUE,_xll.PIArcVal(U$6,$C25, 0,"TPI","AUTO"),"")</f>
        <v>56.011753082275391</v>
      </c>
      <c r="V25" s="160">
        <f>IF(ISNUMBER(_xll.PIArcVal(V$6,$D25, 0,"TPI","AUTO"))=TRUE,_xll.PIArcVal(V$6,$D25, 0,"TPI","AUTO"),"")</f>
        <v>57.540431976318359</v>
      </c>
      <c r="W25" s="160">
        <f>IF(ISNUMBER(_xll.PIArcVal(W$6,$C25, 0,"TPI","AUTO"))=TRUE,_xll.PIArcVal(W$6,$C25, 0,"TPI","AUTO"),"")</f>
        <v>0.82908517122268677</v>
      </c>
      <c r="X25" s="160">
        <f>IF(ISNUMBER(_xll.PIArcVal(X$6,$D25, 0,"TPI","AUTO"))=TRUE,_xll.PIArcVal(X$6,$D25, 0,"TPI","AUTO"),"")</f>
        <v>0.71086245775222778</v>
      </c>
      <c r="Y25" s="160" cm="1">
        <f t="array" ref="Y25">IF(ISNUMBER(_xll.PIAdvCalcVal($Y$6,$D24,$C25,"average (time-weighted)","time-weighted",0,1,0,"")),IF(_xll.PIAdvCalcVal($Y$6,$D24,$C25,"average (time-weighted)","time-weighted",0,1,0,"")&gt;0,_xll.PIAdvCalcVal($Y$6,$D24,$C25,"average (time-weighted)","time-weighted",0,1,0,""),""))</f>
        <v>3.0497904115348535</v>
      </c>
      <c r="Z25" s="160" cm="1">
        <f t="array" ref="Z25">IF(ISNUMBER(_xll.PIAdvCalcVal($Z$6,$C25,$D25,"average (time-weighted)","time-weighted",0,1,0,"")),IF(_xll.PIAdvCalcVal($Z$6,$C25,$D25,"average (time-weighted)","time-weighted",0,1,0,"")&gt;0,_xll.PIAdvCalcVal($Z$6,$C25,$D25,"average (time-weighted)","time-weighted",0,1,0,""),""))</f>
        <v>2.5285269788813181</v>
      </c>
    </row>
    <row r="26" spans="2:26" ht="16.5" thickBot="1" x14ac:dyDescent="0.3">
      <c r="B26" s="118">
        <f t="shared" si="3"/>
        <v>46265</v>
      </c>
      <c r="C26" s="119">
        <f t="shared" si="0"/>
        <v>46265.770833333336</v>
      </c>
      <c r="D26" s="119">
        <f t="shared" si="2"/>
        <v>46266.270833333336</v>
      </c>
      <c r="E26" s="160">
        <f>IF(ISNUMBER(_xll.PIArcVal(E$6,$C26, 0,"TPI","AUTO"))=TRUE,_xll.PIArcVal(E$6,$C26, 0,"TPI","AUTO"),"")</f>
        <v>22.604328155517578</v>
      </c>
      <c r="F26" s="160">
        <f>IF(ISNUMBER(_xll.PIArcVal(F$6,$D26, 0,"TPI","AUTO"))=TRUE,_xll.PIArcVal(F$6,$D26, 0,"TPI","AUTO"),"")</f>
        <v>22.234939575195313</v>
      </c>
      <c r="G26" s="160">
        <f>IF(ISNUMBER(_xll.PIArcVal(G$6,$C26, 0,"TPI","AUTO"))=TRUE,_xll.PIArcVal(G$6,$C26, 0,"TPI","AUTO"),"")</f>
        <v>1.2683455944061279</v>
      </c>
      <c r="H26" s="160">
        <f>IF(ISNUMBER(_xll.PIArcVal(H$6,$D26, 0,"TPI","AUTO"))=TRUE,_xll.PIArcVal(H$6,$D26, 0,"TPI","AUTO"),"")</f>
        <v>1.1988584995269775</v>
      </c>
      <c r="I26" s="160">
        <f>IF(ISNUMBER(_xll.PIArcVal(I$6,$C26, 0,"TPI","AUTO"))=TRUE,_xll.PIArcVal(I$6,$C26, 0,"TPI","AUTO"),"")</f>
        <v>28.495849609375</v>
      </c>
      <c r="J26" s="160">
        <f>IF(ISNUMBER(_xll.PIArcVal(J$6,$D26, 0,"TPI","AUTO"))=TRUE,_xll.PIArcVal(J$6,$D26, 0,"TPI","AUTO"),"")</f>
        <v>28.5963134765625</v>
      </c>
      <c r="K26" s="160">
        <f>IF(ISNUMBER(_xll.PIArcVal(K$6,$C26, 0,"TPI","AUTO"))=TRUE,_xll.PIArcVal(K$6,$C26, 0,"TPI","AUTO"),"")</f>
        <v>22.97532844543457</v>
      </c>
      <c r="L26" s="160">
        <f>IF(ISNUMBER(_xll.PIArcVal(L$6,$D26, 0,"TPI","AUTO"))=TRUE,_xll.PIArcVal(L$6,$D26, 0,"TPI","AUTO"),"")</f>
        <v>22.950065612792969</v>
      </c>
      <c r="M26" s="160">
        <f>IF(ISNUMBER(_xll.PIArcVal(M$6,$C26, 0,"TPI","AUTO"))=TRUE,_xll.PIArcVal(M$6,$C26, 0,"TPI","AUTO"),"")</f>
        <v>0.13723689317703247</v>
      </c>
      <c r="N26" s="160">
        <f>IF(ISNUMBER(_xll.PIArcVal(N$6,$D26, 0,"TPI","AUTO"))=TRUE,_xll.PIArcVal(N$6,$D26, 0,"TPI","AUTO"),"")</f>
        <v>0.17933668196201324</v>
      </c>
      <c r="O26" s="160">
        <f>IF(ISNUMBER(_xll.PIArcVal(O$6,$C26, 0,"TPI","AUTO"))=TRUE,_xll.PIArcVal(O$6,$C26, 0,"TPI","AUTO"),"")</f>
        <v>29.232358932495117</v>
      </c>
      <c r="P26" s="160">
        <f>IF(ISNUMBER(_xll.PIArcVal(P$6,$D26, 0,"TPI","AUTO"))=TRUE,_xll.PIArcVal(P$6,$D26, 0,"TPI","AUTO"),"")</f>
        <v>29.035747528076172</v>
      </c>
      <c r="Q26" s="160" t="str" cm="1">
        <f t="array" ref="Q26">IF(ISNUMBER(_xll.PIAdvCalcVal($Q$6,$D25,$C26,"average (time-weighted)","time-weighted",0,1,0,"")),IF(_xll.PIAdvCalcVal($Q$6,$D25,$C26,"average (time-weighted)","time-weighted",0,1,0,"")&gt;0,_xll.PIAdvCalcVal($Q$6,$D25,$C26,"average (time-weighted)","time-weighted",0,1,0,""),""),"")</f>
        <v/>
      </c>
      <c r="R26" s="160" t="str" cm="1">
        <f t="array" ref="R26">IF(ISNUMBER(_xll.PIAdvCalcVal($Z$6,$C26,$D26,"average (time-weighted)","time-weighted",0,1,0,"")),IF(_xll.PIAdvCalcVal($Z$6,$C26,$D26,"average (time-weighted)","time-weighted",0,1,0,"")&gt;0,_xll.PIAdvCalcVal($Z$6,$C26,$D26,"average (time-weighted)","time-weighted",0,1,0,""),""))</f>
        <v/>
      </c>
      <c r="S26" s="160">
        <f>IF(ISNUMBER(_xll.PIArcVal(S$6,$C26, 0,"TPI","AUTO"))=TRUE,_xll.PIArcVal(S$6,$C26, 0,"TPI","AUTO"),"")</f>
        <v>0.49724653363227844</v>
      </c>
      <c r="T26" s="160">
        <f>IF(ISNUMBER(_xll.PIArcVal(T$6,$D26, 0,"TPI","AUTO"))=TRUE,_xll.PIArcVal(T$6,$D26, 0,"TPI","AUTO"),"")</f>
        <v>0.49724653363227844</v>
      </c>
      <c r="U26" s="160">
        <f>IF(ISNUMBER(_xll.PIArcVal(U$6,$C26, 0,"TPI","AUTO"))=TRUE,_xll.PIArcVal(U$6,$C26, 0,"TPI","AUTO"),"")</f>
        <v>55.790214538574219</v>
      </c>
      <c r="V26" s="160">
        <f>IF(ISNUMBER(_xll.PIArcVal(V$6,$D26, 0,"TPI","AUTO"))=TRUE,_xll.PIArcVal(V$6,$D26, 0,"TPI","AUTO"),"")</f>
        <v>55.790214538574219</v>
      </c>
      <c r="W26" s="160">
        <f>IF(ISNUMBER(_xll.PIArcVal(W$6,$C26, 0,"TPI","AUTO"))=TRUE,_xll.PIArcVal(W$6,$C26, 0,"TPI","AUTO"),"")</f>
        <v>0.74903416633605957</v>
      </c>
      <c r="X26" s="160">
        <f>IF(ISNUMBER(_xll.PIArcVal(X$6,$D26, 0,"TPI","AUTO"))=TRUE,_xll.PIArcVal(X$6,$D26, 0,"TPI","AUTO"),"")</f>
        <v>0.74903416633605957</v>
      </c>
      <c r="Y26" s="160" t="str" cm="1">
        <f t="array" ref="Y26">IF(ISNUMBER(_xll.PIAdvCalcVal($Y$6,$D25,$C26,"average (time-weighted)","time-weighted",0,1,0,"")),IF(_xll.PIAdvCalcVal($Y$6,$D25,$C26,"average (time-weighted)","time-weighted",0,1,0,"")&gt;0,_xll.PIAdvCalcVal($Y$6,$D25,$C26,"average (time-weighted)","time-weighted",0,1,0,""),""))</f>
        <v/>
      </c>
      <c r="Z26" s="160" t="str" cm="1">
        <f t="array" ref="Z26">IF(ISNUMBER(_xll.PIAdvCalcVal($Z$6,$C26,$D26,"average (time-weighted)","time-weighted",0,1,0,"")),IF(_xll.PIAdvCalcVal($Z$6,$C26,$D26,"average (time-weighted)","time-weighted",0,1,0,"")&gt;0,_xll.PIAdvCalcVal($Z$6,$C26,$D26,"average (time-weighted)","time-weighted",0,1,0,""),""))</f>
        <v/>
      </c>
    </row>
    <row r="27" spans="2:26" ht="16.5" thickBot="1" x14ac:dyDescent="0.3">
      <c r="B27" s="118">
        <f t="shared" si="3"/>
        <v>46266</v>
      </c>
      <c r="C27" s="119">
        <f t="shared" si="0"/>
        <v>46266.770833333336</v>
      </c>
      <c r="D27" s="119">
        <f t="shared" si="2"/>
        <v>46267.270833333336</v>
      </c>
      <c r="E27" s="160">
        <f>IF(ISNUMBER(_xll.PIArcVal(E$6,$C27, 0,"TPI","AUTO"))=TRUE,_xll.PIArcVal(E$6,$C27, 0,"TPI","AUTO"),"")</f>
        <v>21.570816040039063</v>
      </c>
      <c r="F27" s="160">
        <f>IF(ISNUMBER(_xll.PIArcVal(F$6,$D27, 0,"TPI","AUTO"))=TRUE,_xll.PIArcVal(F$6,$D27, 0,"TPI","AUTO"),"")</f>
        <v>22.481559753417969</v>
      </c>
      <c r="G27" s="160">
        <f>IF(ISNUMBER(_xll.PIArcVal(G$6,$C27, 0,"TPI","AUTO"))=TRUE,_xll.PIArcVal(G$6,$C27, 0,"TPI","AUTO"),"")</f>
        <v>1.8395336866378784</v>
      </c>
      <c r="H27" s="160">
        <f>IF(ISNUMBER(_xll.PIArcVal(H$6,$D27, 0,"TPI","AUTO"))=TRUE,_xll.PIArcVal(H$6,$D27, 0,"TPI","AUTO"),"")</f>
        <v>2.4774608612060547</v>
      </c>
      <c r="I27" s="160">
        <f>IF(ISNUMBER(_xll.PIArcVal(I$6,$C27, 0,"TPI","AUTO"))=TRUE,_xll.PIArcVal(I$6,$C27, 0,"TPI","AUTO"),"")</f>
        <v>27.663223266601563</v>
      </c>
      <c r="J27" s="160">
        <f>IF(ISNUMBER(_xll.PIArcVal(J$6,$D27, 0,"TPI","AUTO"))=TRUE,_xll.PIArcVal(J$6,$D27, 0,"TPI","AUTO"),"")</f>
        <v>28.908685684204102</v>
      </c>
      <c r="K27" s="160">
        <f>IF(ISNUMBER(_xll.PIArcVal(K$6,$C27, 0,"TPI","AUTO"))=TRUE,_xll.PIArcVal(K$6,$C27, 0,"TPI","AUTO"),"")</f>
        <v>22.950065612792969</v>
      </c>
      <c r="L27" s="160">
        <f>IF(ISNUMBER(_xll.PIArcVal(L$6,$D27, 0,"TPI","AUTO"))=TRUE,_xll.PIArcVal(L$6,$D27, 0,"TPI","AUTO"),"")</f>
        <v>22.364408493041992</v>
      </c>
      <c r="M27" s="160">
        <f>IF(ISNUMBER(_xll.PIArcVal(M$6,$C27, 0,"TPI","AUTO"))=TRUE,_xll.PIArcVal(M$6,$C27, 0,"TPI","AUTO"),"")</f>
        <v>0.17933668196201324</v>
      </c>
      <c r="N27" s="160">
        <f>IF(ISNUMBER(_xll.PIArcVal(N$6,$D27, 0,"TPI","AUTO"))=TRUE,_xll.PIArcVal(N$6,$D27, 0,"TPI","AUTO"),"")</f>
        <v>0.85045719146728516</v>
      </c>
      <c r="O27" s="160">
        <f>IF(ISNUMBER(_xll.PIArcVal(O$6,$C27, 0,"TPI","AUTO"))=TRUE,_xll.PIArcVal(O$6,$C27, 0,"TPI","AUTO"),"")</f>
        <v>29.035747528076172</v>
      </c>
      <c r="P27" s="160">
        <f>IF(ISNUMBER(_xll.PIArcVal(P$6,$D27, 0,"TPI","AUTO"))=TRUE,_xll.PIArcVal(P$6,$D27, 0,"TPI","AUTO"),"")</f>
        <v>27.969631195068359</v>
      </c>
      <c r="Q27" s="160" t="str" cm="1">
        <f t="array" ref="Q27">IF(ISNUMBER(_xll.PIAdvCalcVal($Q$6,$D26,$C27,"average (time-weighted)","time-weighted",0,1,0,"")),IF(_xll.PIAdvCalcVal($Q$6,$D26,$C27,"average (time-weighted)","time-weighted",0,1,0,"")&gt;0,_xll.PIAdvCalcVal($Q$6,$D26,$C27,"average (time-weighted)","time-weighted",0,1,0,""),""),"")</f>
        <v/>
      </c>
      <c r="R27" s="160" t="str" cm="1">
        <f t="array" ref="R27">IF(ISNUMBER(_xll.PIAdvCalcVal($Z$6,$C27,$D27,"average (time-weighted)","time-weighted",0,1,0,"")),IF(_xll.PIAdvCalcVal($Z$6,$C27,$D27,"average (time-weighted)","time-weighted",0,1,0,"")&gt;0,_xll.PIAdvCalcVal($Z$6,$C27,$D27,"average (time-weighted)","time-weighted",0,1,0,""),""))</f>
        <v/>
      </c>
      <c r="S27" s="160">
        <f>IF(ISNUMBER(_xll.PIArcVal(S$6,$C27, 0,"TPI","AUTO"))=TRUE,_xll.PIArcVal(S$6,$C27, 0,"TPI","AUTO"),"")</f>
        <v>0.49724653363227844</v>
      </c>
      <c r="T27" s="160">
        <f>IF(ISNUMBER(_xll.PIArcVal(T$6,$D27, 0,"TPI","AUTO"))=TRUE,_xll.PIArcVal(T$6,$D27, 0,"TPI","AUTO"),"")</f>
        <v>0.49724653363227844</v>
      </c>
      <c r="U27" s="160">
        <f>IF(ISNUMBER(_xll.PIArcVal(U$6,$C27, 0,"TPI","AUTO"))=TRUE,_xll.PIArcVal(U$6,$C27, 0,"TPI","AUTO"),"")</f>
        <v>55.790214538574219</v>
      </c>
      <c r="V27" s="160">
        <f>IF(ISNUMBER(_xll.PIArcVal(V$6,$D27, 0,"TPI","AUTO"))=TRUE,_xll.PIArcVal(V$6,$D27, 0,"TPI","AUTO"),"")</f>
        <v>55.790214538574219</v>
      </c>
      <c r="W27" s="160">
        <f>IF(ISNUMBER(_xll.PIArcVal(W$6,$C27, 0,"TPI","AUTO"))=TRUE,_xll.PIArcVal(W$6,$C27, 0,"TPI","AUTO"),"")</f>
        <v>0.74903416633605957</v>
      </c>
      <c r="X27" s="160">
        <f>IF(ISNUMBER(_xll.PIArcVal(X$6,$D27, 0,"TPI","AUTO"))=TRUE,_xll.PIArcVal(X$6,$D27, 0,"TPI","AUTO"),"")</f>
        <v>0.74903416633605957</v>
      </c>
      <c r="Y27" s="160" t="str" cm="1">
        <f t="array" ref="Y27">IF(ISNUMBER(_xll.PIAdvCalcVal($Y$6,$D26,$C27,"average (time-weighted)","time-weighted",0,1,0,"")),IF(_xll.PIAdvCalcVal($Y$6,$D26,$C27,"average (time-weighted)","time-weighted",0,1,0,"")&gt;0,_xll.PIAdvCalcVal($Y$6,$D26,$C27,"average (time-weighted)","time-weighted",0,1,0,""),""))</f>
        <v/>
      </c>
      <c r="Z27" s="160" t="str" cm="1">
        <f t="array" ref="Z27">IF(ISNUMBER(_xll.PIAdvCalcVal($Z$6,$C27,$D27,"average (time-weighted)","time-weighted",0,1,0,"")),IF(_xll.PIAdvCalcVal($Z$6,$C27,$D27,"average (time-weighted)","time-weighted",0,1,0,"")&gt;0,_xll.PIAdvCalcVal($Z$6,$C27,$D27,"average (time-weighted)","time-weighted",0,1,0,""),""))</f>
        <v/>
      </c>
    </row>
    <row r="28" spans="2:26" ht="16.5" thickBot="1" x14ac:dyDescent="0.3">
      <c r="B28" s="118">
        <f t="shared" si="3"/>
        <v>46267</v>
      </c>
      <c r="C28" s="119">
        <f t="shared" si="0"/>
        <v>46267.770833333336</v>
      </c>
      <c r="D28" s="119">
        <f t="shared" si="2"/>
        <v>46268.270833333336</v>
      </c>
      <c r="E28" s="160">
        <f>IF(ISNUMBER(_xll.PIArcVal(E$6,$C28, 0,"TPI","AUTO"))=TRUE,_xll.PIArcVal(E$6,$C28, 0,"TPI","AUTO"),"")</f>
        <v>24.347196578979492</v>
      </c>
      <c r="F28" s="160">
        <f>IF(ISNUMBER(_xll.PIArcVal(F$6,$D28, 0,"TPI","AUTO"))=TRUE,_xll.PIArcVal(F$6,$D28, 0,"TPI","AUTO"),"")</f>
        <v>23.374361038208008</v>
      </c>
      <c r="G28" s="160">
        <f>IF(ISNUMBER(_xll.PIArcVal(G$6,$C28, 0,"TPI","AUTO"))=TRUE,_xll.PIArcVal(G$6,$C28, 0,"TPI","AUTO"),"")</f>
        <v>2.4923830032348633</v>
      </c>
      <c r="H28" s="160">
        <f>IF(ISNUMBER(_xll.PIArcVal(H$6,$D28, 0,"TPI","AUTO"))=TRUE,_xll.PIArcVal(H$6,$D28, 0,"TPI","AUTO"),"")</f>
        <v>2.3033030033111572</v>
      </c>
      <c r="I28" s="160">
        <f>IF(ISNUMBER(_xll.PIArcVal(I$6,$C28, 0,"TPI","AUTO"))=TRUE,_xll.PIArcVal(I$6,$C28, 0,"TPI","AUTO"),"")</f>
        <v>29.583076477050781</v>
      </c>
      <c r="J28" s="160">
        <f>IF(ISNUMBER(_xll.PIArcVal(J$6,$D28, 0,"TPI","AUTO"))=TRUE,_xll.PIArcVal(J$6,$D28, 0,"TPI","AUTO"),"")</f>
        <v>28.93815803527832</v>
      </c>
      <c r="K28" s="160">
        <f>IF(ISNUMBER(_xll.PIArcVal(K$6,$C28, 0,"TPI","AUTO"))=TRUE,_xll.PIArcVal(K$6,$C28, 0,"TPI","AUTO"),"")</f>
        <v>22.362728118896484</v>
      </c>
      <c r="L28" s="160">
        <f>IF(ISNUMBER(_xll.PIArcVal(L$6,$D28, 0,"TPI","AUTO"))=TRUE,_xll.PIArcVal(L$6,$D28, 0,"TPI","AUTO"),"")</f>
        <v>23.310703277587891</v>
      </c>
      <c r="M28" s="160">
        <f>IF(ISNUMBER(_xll.PIArcVal(M$6,$C28, 0,"TPI","AUTO"))=TRUE,_xll.PIArcVal(M$6,$C28, 0,"TPI","AUTO"),"")</f>
        <v>1.069115161895752</v>
      </c>
      <c r="N28" s="160">
        <f>IF(ISNUMBER(_xll.PIArcVal(N$6,$D28, 0,"TPI","AUTO"))=TRUE,_xll.PIArcVal(N$6,$D28, 0,"TPI","AUTO"),"")</f>
        <v>0.20690819621086121</v>
      </c>
      <c r="O28" s="160">
        <f>IF(ISNUMBER(_xll.PIArcVal(O$6,$C28, 0,"TPI","AUTO"))=TRUE,_xll.PIArcVal(O$6,$C28, 0,"TPI","AUTO"),"")</f>
        <v>28.6943359375</v>
      </c>
      <c r="P28" s="160">
        <f>IF(ISNUMBER(_xll.PIArcVal(P$6,$D28, 0,"TPI","AUTO"))=TRUE,_xll.PIArcVal(P$6,$D28, 0,"TPI","AUTO"),"")</f>
        <v>29.032255172729492</v>
      </c>
      <c r="Q28" s="160" t="str" cm="1">
        <f t="array" ref="Q28">IF(ISNUMBER(_xll.PIAdvCalcVal($Q$6,$D27,$C28,"average (time-weighted)","time-weighted",0,1,0,"")),IF(_xll.PIAdvCalcVal($Q$6,$D27,$C28,"average (time-weighted)","time-weighted",0,1,0,"")&gt;0,_xll.PIAdvCalcVal($Q$6,$D27,$C28,"average (time-weighted)","time-weighted",0,1,0,""),""),"")</f>
        <v/>
      </c>
      <c r="R28" s="160" cm="1">
        <f t="array" ref="R28">IF(ISNUMBER(_xll.PIAdvCalcVal($Z$6,$C28,$D28,"average (time-weighted)","time-weighted",0,1,0,"")),IF(_xll.PIAdvCalcVal($Z$6,$C28,$D28,"average (time-weighted)","time-weighted",0,1,0,"")&gt;0,_xll.PIAdvCalcVal($Z$6,$C28,$D28,"average (time-weighted)","time-weighted",0,1,0,""),""))</f>
        <v>3.0004227654005775</v>
      </c>
      <c r="S28" s="160">
        <f>IF(ISNUMBER(_xll.PIArcVal(S$6,$C28, 0,"TPI","AUTO"))=TRUE,_xll.PIArcVal(S$6,$C28, 0,"TPI","AUTO"),"")</f>
        <v>0.85389852523803711</v>
      </c>
      <c r="T28" s="160">
        <f>IF(ISNUMBER(_xll.PIArcVal(T$6,$D28, 0,"TPI","AUTO"))=TRUE,_xll.PIArcVal(T$6,$D28, 0,"TPI","AUTO"),"")</f>
        <v>0.63955205678939819</v>
      </c>
      <c r="U28" s="160">
        <f>IF(ISNUMBER(_xll.PIArcVal(U$6,$C28, 0,"TPI","AUTO"))=TRUE,_xll.PIArcVal(U$6,$C28, 0,"TPI","AUTO"),"")</f>
        <v>50</v>
      </c>
      <c r="V28" s="160">
        <f>IF(ISNUMBER(_xll.PIArcVal(V$6,$D28, 0,"TPI","AUTO"))=TRUE,_xll.PIArcVal(V$6,$D28, 0,"TPI","AUTO"),"")</f>
        <v>54.681602478027344</v>
      </c>
      <c r="W28" s="160">
        <f>IF(ISNUMBER(_xll.PIArcVal(W$6,$C28, 0,"TPI","AUTO"))=TRUE,_xll.PIArcVal(W$6,$C28, 0,"TPI","AUTO"),"")</f>
        <v>4.8867397308349609</v>
      </c>
      <c r="X28" s="160">
        <f>IF(ISNUMBER(_xll.PIArcVal(X$6,$D28, 0,"TPI","AUTO"))=TRUE,_xll.PIArcVal(X$6,$D28, 0,"TPI","AUTO"),"")</f>
        <v>1.9930775165557861</v>
      </c>
      <c r="Y28" s="160" t="str" cm="1">
        <f t="array" ref="Y28">IF(ISNUMBER(_xll.PIAdvCalcVal($Y$6,$D27,$C28,"average (time-weighted)","time-weighted",0,1,0,"")),IF(_xll.PIAdvCalcVal($Y$6,$D27,$C28,"average (time-weighted)","time-weighted",0,1,0,"")&gt;0,_xll.PIAdvCalcVal($Y$6,$D27,$C28,"average (time-weighted)","time-weighted",0,1,0,""),""))</f>
        <v/>
      </c>
      <c r="Z28" s="160" cm="1">
        <f t="array" ref="Z28">IF(ISNUMBER(_xll.PIAdvCalcVal($Z$6,$C28,$D28,"average (time-weighted)","time-weighted",0,1,0,"")),IF(_xll.PIAdvCalcVal($Z$6,$C28,$D28,"average (time-weighted)","time-weighted",0,1,0,"")&gt;0,_xll.PIAdvCalcVal($Z$6,$C28,$D28,"average (time-weighted)","time-weighted",0,1,0,""),""))</f>
        <v>3.0004227654005775</v>
      </c>
    </row>
    <row r="29" spans="2:26" ht="16.5" thickBot="1" x14ac:dyDescent="0.3">
      <c r="B29" s="118">
        <f>Laboratorio_M!B27</f>
        <v>46268</v>
      </c>
      <c r="C29" s="119">
        <f t="shared" si="0"/>
        <v>46268.770833333336</v>
      </c>
      <c r="D29" s="119">
        <f t="shared" si="2"/>
        <v>46269.270833333336</v>
      </c>
      <c r="E29" s="160">
        <f>IF(ISNUMBER(_xll.PIArcVal(E$6,$C29, 0,"TPI","AUTO"))=TRUE,_xll.PIArcVal(E$6,$C29, 0,"TPI","AUTO"),"")</f>
        <v>22.50579833984375</v>
      </c>
      <c r="F29" s="160">
        <f>IF(ISNUMBER(_xll.PIArcVal(F$6,$D29, 0,"TPI","AUTO"))=TRUE,_xll.PIArcVal(F$6,$D29, 0,"TPI","AUTO"),"")</f>
        <v>22.958297729492188</v>
      </c>
      <c r="G29" s="160">
        <f>IF(ISNUMBER(_xll.PIArcVal(G$6,$C29, 0,"TPI","AUTO"))=TRUE,_xll.PIArcVal(G$6,$C29, 0,"TPI","AUTO"),"")</f>
        <v>2.4225966930389404</v>
      </c>
      <c r="H29" s="160">
        <f>IF(ISNUMBER(_xll.PIArcVal(H$6,$D29, 0,"TPI","AUTO"))=TRUE,_xll.PIArcVal(H$6,$D29, 0,"TPI","AUTO"),"")</f>
        <v>1.8730242252349854</v>
      </c>
      <c r="I29" s="160">
        <f>IF(ISNUMBER(_xll.PIArcVal(I$6,$C29, 0,"TPI","AUTO"))=TRUE,_xll.PIArcVal(I$6,$C29, 0,"TPI","AUTO"),"")</f>
        <v>29.058753967285156</v>
      </c>
      <c r="J29" s="160">
        <f>IF(ISNUMBER(_xll.PIArcVal(J$6,$D29, 0,"TPI","AUTO"))=TRUE,_xll.PIArcVal(J$6,$D29, 0,"TPI","AUTO"),"")</f>
        <v>28.734310150146484</v>
      </c>
      <c r="K29" s="160">
        <f>IF(ISNUMBER(_xll.PIArcVal(K$6,$C29, 0,"TPI","AUTO"))=TRUE,_xll.PIArcVal(K$6,$C29, 0,"TPI","AUTO"),"")</f>
        <v>22.593915939331055</v>
      </c>
      <c r="L29" s="160">
        <f>IF(ISNUMBER(_xll.PIArcVal(L$6,$D29, 0,"TPI","AUTO"))=TRUE,_xll.PIArcVal(L$6,$D29, 0,"TPI","AUTO"),"")</f>
        <v>22.245033264160156</v>
      </c>
      <c r="M29" s="160">
        <f>IF(ISNUMBER(_xll.PIArcVal(M$6,$C29, 0,"TPI","AUTO"))=TRUE,_xll.PIArcVal(M$6,$C29, 0,"TPI","AUTO"),"")</f>
        <v>0.49336770176887512</v>
      </c>
      <c r="N29" s="160">
        <f>IF(ISNUMBER(_xll.PIArcVal(N$6,$D29, 0,"TPI","AUTO"))=TRUE,_xll.PIArcVal(N$6,$D29, 0,"TPI","AUTO"),"")</f>
        <v>9.0064592659473419E-2</v>
      </c>
      <c r="O29" s="160">
        <f>IF(ISNUMBER(_xll.PIArcVal(O$6,$C29, 0,"TPI","AUTO"))=TRUE,_xll.PIArcVal(O$6,$C29, 0,"TPI","AUTO"),"")</f>
        <v>28.929935455322266</v>
      </c>
      <c r="P29" s="160">
        <f>IF(ISNUMBER(_xll.PIArcVal(P$6,$D29, 0,"TPI","AUTO"))=TRUE,_xll.PIArcVal(P$6,$D29, 0,"TPI","AUTO"),"")</f>
        <v>29.46795654296875</v>
      </c>
      <c r="Q29" s="160" t="str" cm="1">
        <f t="array" ref="Q29">IF(ISNUMBER(_xll.PIAdvCalcVal($Q$6,$D28,$C29,"average (time-weighted)","time-weighted",0,1,0,"")),IF(_xll.PIAdvCalcVal($Q$6,$D28,$C29,"average (time-weighted)","time-weighted",0,1,0,"")&gt;0,_xll.PIAdvCalcVal($Q$6,$D28,$C29,"average (time-weighted)","time-weighted",0,1,0,""),""),"")</f>
        <v/>
      </c>
      <c r="R29" s="160" cm="1">
        <f t="array" ref="R29">IF(ISNUMBER(_xll.PIAdvCalcVal($Z$6,$C29,$D29,"average (time-weighted)","time-weighted",0,1,0,"")),IF(_xll.PIAdvCalcVal($Z$6,$C29,$D29,"average (time-weighted)","time-weighted",0,1,0,"")&gt;0,_xll.PIAdvCalcVal($Z$6,$C29,$D29,"average (time-weighted)","time-weighted",0,1,0,""),""))</f>
        <v>2.8997034692325161</v>
      </c>
      <c r="S29" s="160">
        <f>IF(ISNUMBER(_xll.PIArcVal(S$6,$C29, 0,"TPI","AUTO"))=TRUE,_xll.PIArcVal(S$6,$C29, 0,"TPI","AUTO"),"")</f>
        <v>0.50771427154541016</v>
      </c>
      <c r="T29" s="160">
        <f>IF(ISNUMBER(_xll.PIArcVal(T$6,$D29, 0,"TPI","AUTO"))=TRUE,_xll.PIArcVal(T$6,$D29, 0,"TPI","AUTO"),"")</f>
        <v>0.52816736698150635</v>
      </c>
      <c r="U29" s="160">
        <f>IF(ISNUMBER(_xll.PIArcVal(U$6,$C29, 0,"TPI","AUTO"))=TRUE,_xll.PIArcVal(U$6,$C29, 0,"TPI","AUTO"),"")</f>
        <v>56.021316528320313</v>
      </c>
      <c r="V29" s="160">
        <f>IF(ISNUMBER(_xll.PIArcVal(V$6,$D29, 0,"TPI","AUTO"))=TRUE,_xll.PIArcVal(V$6,$D29, 0,"TPI","AUTO"),"")</f>
        <v>56.302833557128906</v>
      </c>
      <c r="W29" s="160">
        <f>IF(ISNUMBER(_xll.PIArcVal(W$6,$C29, 0,"TPI","AUTO"))=TRUE,_xll.PIArcVal(W$6,$C29, 0,"TPI","AUTO"),"")</f>
        <v>1.1316992044448853</v>
      </c>
      <c r="X29" s="160">
        <f>IF(ISNUMBER(_xll.PIArcVal(X$6,$D29, 0,"TPI","AUTO"))=TRUE,_xll.PIArcVal(X$6,$D29, 0,"TPI","AUTO"),"")</f>
        <v>0.89176481962203979</v>
      </c>
      <c r="Y29" s="160" t="str" cm="1">
        <f t="array" ref="Y29">IF(ISNUMBER(_xll.PIAdvCalcVal($Y$6,$D28,$C29,"average (time-weighted)","time-weighted",0,1,0,"")),IF(_xll.PIAdvCalcVal($Y$6,$D28,$C29,"average (time-weighted)","time-weighted",0,1,0,"")&gt;0,_xll.PIAdvCalcVal($Y$6,$D28,$C29,"average (time-weighted)","time-weighted",0,1,0,""),""))</f>
        <v/>
      </c>
      <c r="Z29" s="160" cm="1">
        <f t="array" ref="Z29">IF(ISNUMBER(_xll.PIAdvCalcVal($Z$6,$C29,$D29,"average (time-weighted)","time-weighted",0,1,0,"")),IF(_xll.PIAdvCalcVal($Z$6,$C29,$D29,"average (time-weighted)","time-weighted",0,1,0,"")&gt;0,_xll.PIAdvCalcVal($Z$6,$C29,$D29,"average (time-weighted)","time-weighted",0,1,0,""),""))</f>
        <v>2.8997034692325161</v>
      </c>
    </row>
    <row r="30" spans="2:26" ht="16.5" thickBot="1" x14ac:dyDescent="0.3">
      <c r="B30" s="118">
        <f>Laboratorio_M!B28</f>
        <v>46269</v>
      </c>
      <c r="C30" s="119">
        <f t="shared" si="0"/>
        <v>46269.770833333336</v>
      </c>
      <c r="D30" s="119">
        <f t="shared" si="2"/>
        <v>46270.270833333336</v>
      </c>
      <c r="E30" s="160">
        <f>IF(ISNUMBER(_xll.PIArcVal(E$6,$C30, 0,"TPI","AUTO"))=TRUE,_xll.PIArcVal(E$6,$C30, 0,"TPI","AUTO"),"")</f>
        <v>19.754337310791016</v>
      </c>
      <c r="F30" s="160">
        <f>IF(ISNUMBER(_xll.PIArcVal(F$6,$D30, 0,"TPI","AUTO"))=TRUE,_xll.PIArcVal(F$6,$D30, 0,"TPI","AUTO"),"")</f>
        <v>19.754337310791016</v>
      </c>
      <c r="G30" s="160">
        <f>IF(ISNUMBER(_xll.PIArcVal(G$6,$C30, 0,"TPI","AUTO"))=TRUE,_xll.PIArcVal(G$6,$C30, 0,"TPI","AUTO"),"")</f>
        <v>1.5055280923843384</v>
      </c>
      <c r="H30" s="160">
        <f>IF(ISNUMBER(_xll.PIArcVal(H$6,$D30, 0,"TPI","AUTO"))=TRUE,_xll.PIArcVal(H$6,$D30, 0,"TPI","AUTO"),"")</f>
        <v>1.5055280923843384</v>
      </c>
      <c r="I30" s="160">
        <f>IF(ISNUMBER(_xll.PIArcVal(I$6,$C30, 0,"TPI","AUTO"))=TRUE,_xll.PIArcVal(I$6,$C30, 0,"TPI","AUTO"),"")</f>
        <v>26.54240608215332</v>
      </c>
      <c r="J30" s="160">
        <f>IF(ISNUMBER(_xll.PIArcVal(J$6,$D30, 0,"TPI","AUTO"))=TRUE,_xll.PIArcVal(J$6,$D30, 0,"TPI","AUTO"),"")</f>
        <v>26.54240608215332</v>
      </c>
      <c r="K30" s="160">
        <f>IF(ISNUMBER(_xll.PIArcVal(K$6,$C30, 0,"TPI","AUTO"))=TRUE,_xll.PIArcVal(K$6,$C30, 0,"TPI","AUTO"),"")</f>
        <v>21.316932678222656</v>
      </c>
      <c r="L30" s="160">
        <f>IF(ISNUMBER(_xll.PIArcVal(L$6,$D30, 0,"TPI","AUTO"))=TRUE,_xll.PIArcVal(L$6,$D30, 0,"TPI","AUTO"),"")</f>
        <v>21.316932678222656</v>
      </c>
      <c r="M30" s="160">
        <f>IF(ISNUMBER(_xll.PIArcVal(M$6,$C30, 0,"TPI","AUTO"))=TRUE,_xll.PIArcVal(M$6,$C30, 0,"TPI","AUTO"),"")</f>
        <v>0.17403541505336761</v>
      </c>
      <c r="N30" s="160">
        <f>IF(ISNUMBER(_xll.PIArcVal(N$6,$D30, 0,"TPI","AUTO"))=TRUE,_xll.PIArcVal(N$6,$D30, 0,"TPI","AUTO"),"")</f>
        <v>0.17403541505336761</v>
      </c>
      <c r="O30" s="160">
        <f>IF(ISNUMBER(_xll.PIArcVal(O$6,$C30, 0,"TPI","AUTO"))=TRUE,_xll.PIArcVal(O$6,$C30, 0,"TPI","AUTO"),"")</f>
        <v>29.206954956054688</v>
      </c>
      <c r="P30" s="160">
        <f>IF(ISNUMBER(_xll.PIArcVal(P$6,$D30, 0,"TPI","AUTO"))=TRUE,_xll.PIArcVal(P$6,$D30, 0,"TPI","AUTO"),"")</f>
        <v>29.206954956054688</v>
      </c>
      <c r="Q30" s="160" t="str" cm="1">
        <f t="array" ref="Q30">IF(ISNUMBER(_xll.PIAdvCalcVal($Q$6,$D29,$C30,"average (time-weighted)","time-weighted",0,1,0,"")),IF(_xll.PIAdvCalcVal($Q$6,$D29,$C30,"average (time-weighted)","time-weighted",0,1,0,"")&gt;0,_xll.PIAdvCalcVal($Q$6,$D29,$C30,"average (time-weighted)","time-weighted",0,1,0,""),""),"")</f>
        <v/>
      </c>
      <c r="R30" s="160" cm="1">
        <f t="array" ref="R30">IF(ISNUMBER(_xll.PIAdvCalcVal($Z$6,$C30,$D30,"average (time-weighted)","time-weighted",0,1,0,"")),IF(_xll.PIAdvCalcVal($Z$6,$C30,$D30,"average (time-weighted)","time-weighted",0,1,0,"")&gt;0,_xll.PIAdvCalcVal($Z$6,$C30,$D30,"average (time-weighted)","time-weighted",0,1,0,""),""))</f>
        <v>3.1776362439428096</v>
      </c>
      <c r="S30" s="160">
        <f>IF(ISNUMBER(_xll.PIArcVal(S$6,$C30, 0,"TPI","AUTO"))=TRUE,_xll.PIArcVal(S$6,$C30, 0,"TPI","AUTO"),"")</f>
        <v>0.54723149538040161</v>
      </c>
      <c r="T30" s="160">
        <f>IF(ISNUMBER(_xll.PIArcVal(T$6,$D30, 0,"TPI","AUTO"))=TRUE,_xll.PIArcVal(T$6,$D30, 0,"TPI","AUTO"),"")</f>
        <v>0.54723149538040161</v>
      </c>
      <c r="U30" s="160">
        <f>IF(ISNUMBER(_xll.PIArcVal(U$6,$C30, 0,"TPI","AUTO"))=TRUE,_xll.PIArcVal(U$6,$C30, 0,"TPI","AUTO"),"")</f>
        <v>56.945362091064453</v>
      </c>
      <c r="V30" s="160">
        <f>IF(ISNUMBER(_xll.PIArcVal(V$6,$D30, 0,"TPI","AUTO"))=TRUE,_xll.PIArcVal(V$6,$D30, 0,"TPI","AUTO"),"")</f>
        <v>56.945362091064453</v>
      </c>
      <c r="W30" s="160">
        <f>IF(ISNUMBER(_xll.PIArcVal(W$6,$C30, 0,"TPI","AUTO"))=TRUE,_xll.PIArcVal(W$6,$C30, 0,"TPI","AUTO"),"")</f>
        <v>0.73578721284866333</v>
      </c>
      <c r="X30" s="160">
        <f>IF(ISNUMBER(_xll.PIArcVal(X$6,$D30, 0,"TPI","AUTO"))=TRUE,_xll.PIArcVal(X$6,$D30, 0,"TPI","AUTO"),"")</f>
        <v>0.73578721284866333</v>
      </c>
      <c r="Y30" s="160" t="str" cm="1">
        <f t="array" ref="Y30">IF(ISNUMBER(_xll.PIAdvCalcVal($Y$6,$D29,$C30,"average (time-weighted)","time-weighted",0,1,0,"")),IF(_xll.PIAdvCalcVal($Y$6,$D29,$C30,"average (time-weighted)","time-weighted",0,1,0,"")&gt;0,_xll.PIAdvCalcVal($Y$6,$D29,$C30,"average (time-weighted)","time-weighted",0,1,0,""),""))</f>
        <v/>
      </c>
      <c r="Z30" s="160" cm="1">
        <f t="array" ref="Z30">IF(ISNUMBER(_xll.PIAdvCalcVal($Z$6,$C30,$D30,"average (time-weighted)","time-weighted",0,1,0,"")),IF(_xll.PIAdvCalcVal($Z$6,$C30,$D30,"average (time-weighted)","time-weighted",0,1,0,"")&gt;0,_xll.PIAdvCalcVal($Z$6,$C30,$D30,"average (time-weighted)","time-weighted",0,1,0,""),""))</f>
        <v>3.1776362439428096</v>
      </c>
    </row>
    <row r="31" spans="2:26" ht="16.5" thickBot="1" x14ac:dyDescent="0.3">
      <c r="B31" s="118">
        <f>B30+1</f>
        <v>46270</v>
      </c>
      <c r="C31" s="119">
        <f t="shared" si="0"/>
        <v>46270.770833333336</v>
      </c>
      <c r="D31" s="119">
        <f t="shared" si="2"/>
        <v>46271.270833333336</v>
      </c>
      <c r="E31" s="160">
        <f>IF(ISNUMBER(_xll.PIArcVal(E$6,$C31, 0,"TPI","AUTO"))=TRUE,_xll.PIArcVal(E$6,$C31, 0,"TPI","AUTO"),"")</f>
        <v>20.500843048095703</v>
      </c>
      <c r="F31" s="160">
        <f>IF(ISNUMBER(_xll.PIArcVal(F$6,$D31, 0,"TPI","AUTO"))=TRUE,_xll.PIArcVal(F$6,$D31, 0,"TPI","AUTO"),"")</f>
        <v>23.70465087890625</v>
      </c>
      <c r="G31" s="160">
        <f>IF(ISNUMBER(_xll.PIArcVal(G$6,$C31, 0,"TPI","AUTO"))=TRUE,_xll.PIArcVal(G$6,$C31, 0,"TPI","AUTO"),"")</f>
        <v>1.6340122222900391</v>
      </c>
      <c r="H31" s="160">
        <f>IF(ISNUMBER(_xll.PIArcVal(H$6,$D31, 0,"TPI","AUTO"))=TRUE,_xll.PIArcVal(H$6,$D31, 0,"TPI","AUTO"),"")</f>
        <v>1.7126438617706299</v>
      </c>
      <c r="I31" s="160">
        <f>IF(ISNUMBER(_xll.PIArcVal(I$6,$C31, 0,"TPI","AUTO"))=TRUE,_xll.PIArcVal(I$6,$C31, 0,"TPI","AUTO"),"")</f>
        <v>25.282142639160156</v>
      </c>
      <c r="J31" s="160">
        <f>IF(ISNUMBER(_xll.PIArcVal(J$6,$D31, 0,"TPI","AUTO"))=TRUE,_xll.PIArcVal(J$6,$D31, 0,"TPI","AUTO"),"")</f>
        <v>29.318016052246094</v>
      </c>
      <c r="K31" s="160">
        <f>IF(ISNUMBER(_xll.PIArcVal(K$6,$C31, 0,"TPI","AUTO"))=TRUE,_xll.PIArcVal(K$6,$C31, 0,"TPI","AUTO"),"")</f>
        <v>21.468421936035156</v>
      </c>
      <c r="L31" s="160">
        <f>IF(ISNUMBER(_xll.PIArcVal(L$6,$D31, 0,"TPI","AUTO"))=TRUE,_xll.PIArcVal(L$6,$D31, 0,"TPI","AUTO"),"")</f>
        <v>25.500570297241211</v>
      </c>
      <c r="M31" s="160">
        <f>IF(ISNUMBER(_xll.PIArcVal(M$6,$C31, 0,"TPI","AUTO"))=TRUE,_xll.PIArcVal(M$6,$C31, 0,"TPI","AUTO"),"")</f>
        <v>0.15090176463127136</v>
      </c>
      <c r="N31" s="160">
        <f>IF(ISNUMBER(_xll.PIArcVal(N$6,$D31, 0,"TPI","AUTO"))=TRUE,_xll.PIArcVal(N$6,$D31, 0,"TPI","AUTO"),"")</f>
        <v>0.15326644480228424</v>
      </c>
      <c r="O31" s="160">
        <f>IF(ISNUMBER(_xll.PIArcVal(O$6,$C31, 0,"TPI","AUTO"))=TRUE,_xll.PIArcVal(O$6,$C31, 0,"TPI","AUTO"),"")</f>
        <v>29.674982070922852</v>
      </c>
      <c r="P31" s="160">
        <f>IF(ISNUMBER(_xll.PIArcVal(P$6,$D31, 0,"TPI","AUTO"))=TRUE,_xll.PIArcVal(P$6,$D31, 0,"TPI","AUTO"),"")</f>
        <v>31.072154998779297</v>
      </c>
      <c r="Q31" s="160" t="str" cm="1">
        <f t="array" ref="Q31">IF(ISNUMBER(_xll.PIAdvCalcVal($Q$6,$D30,$C31,"average (time-weighted)","time-weighted",0,1,0,"")),IF(_xll.PIAdvCalcVal($Q$6,$D30,$C31,"average (time-weighted)","time-weighted",0,1,0,"")&gt;0,_xll.PIAdvCalcVal($Q$6,$D30,$C31,"average (time-weighted)","time-weighted",0,1,0,""),""),"")</f>
        <v/>
      </c>
      <c r="R31" s="160" cm="1">
        <f t="array" ref="R31">IF(ISNUMBER(_xll.PIAdvCalcVal($Z$6,$C31,$D31,"average (time-weighted)","time-weighted",0,1,0,"")),IF(_xll.PIAdvCalcVal($Z$6,$C31,$D31,"average (time-weighted)","time-weighted",0,1,0,"")&gt;0,_xll.PIAdvCalcVal($Z$6,$C31,$D31,"average (time-weighted)","time-weighted",0,1,0,""),""))</f>
        <v>2.6053566505081003</v>
      </c>
      <c r="S31" s="160">
        <f>IF(ISNUMBER(_xll.PIArcVal(S$6,$C31, 0,"TPI","AUTO"))=TRUE,_xll.PIArcVal(S$6,$C31, 0,"TPI","AUTO"),"")</f>
        <v>0.59000951051712036</v>
      </c>
      <c r="T31" s="160">
        <f>IF(ISNUMBER(_xll.PIArcVal(T$6,$D31, 0,"TPI","AUTO"))=TRUE,_xll.PIArcVal(T$6,$D31, 0,"TPI","AUTO"),"")</f>
        <v>0.62747794389724731</v>
      </c>
      <c r="U31" s="160">
        <f>IF(ISNUMBER(_xll.PIArcVal(U$6,$C31, 0,"TPI","AUTO"))=TRUE,_xll.PIArcVal(U$6,$C31, 0,"TPI","AUTO"),"")</f>
        <v>56.349887847900391</v>
      </c>
      <c r="V31" s="160">
        <f>IF(ISNUMBER(_xll.PIArcVal(V$6,$D31, 0,"TPI","AUTO"))=TRUE,_xll.PIArcVal(V$6,$D31, 0,"TPI","AUTO"),"")</f>
        <v>56.272441864013672</v>
      </c>
      <c r="W31" s="160">
        <f>IF(ISNUMBER(_xll.PIArcVal(W$6,$C31, 0,"TPI","AUTO"))=TRUE,_xll.PIArcVal(W$6,$C31, 0,"TPI","AUTO"),"")</f>
        <v>0.67395442724227905</v>
      </c>
      <c r="X31" s="160">
        <f>IF(ISNUMBER(_xll.PIArcVal(X$6,$D31, 0,"TPI","AUTO"))=TRUE,_xll.PIArcVal(X$6,$D31, 0,"TPI","AUTO"),"")</f>
        <v>0.72237396240234375</v>
      </c>
      <c r="Y31" s="160" cm="1">
        <f t="array" ref="Y31">IF(ISNUMBER(_xll.PIAdvCalcVal($Y$6,$D30,$C31,"average (time-weighted)","time-weighted",0,1,0,"")),IF(_xll.PIAdvCalcVal($Y$6,$D30,$C31,"average (time-weighted)","time-weighted",0,1,0,"")&gt;0,_xll.PIAdvCalcVal($Y$6,$D30,$C31,"average (time-weighted)","time-weighted",0,1,0,""),""))</f>
        <v>2.8440202309069518</v>
      </c>
      <c r="Z31" s="160" cm="1">
        <f t="array" ref="Z31">IF(ISNUMBER(_xll.PIAdvCalcVal($Z$6,$C31,$D31,"average (time-weighted)","time-weighted",0,1,0,"")),IF(_xll.PIAdvCalcVal($Z$6,$C31,$D31,"average (time-weighted)","time-weighted",0,1,0,"")&gt;0,_xll.PIAdvCalcVal($Z$6,$C31,$D31,"average (time-weighted)","time-weighted",0,1,0,""),""))</f>
        <v>2.6053566505081003</v>
      </c>
    </row>
    <row r="32" spans="2:26" ht="16.5" thickBot="1" x14ac:dyDescent="0.3">
      <c r="B32" s="118">
        <f t="shared" si="3"/>
        <v>46271</v>
      </c>
      <c r="C32" s="119">
        <f t="shared" si="0"/>
        <v>46271.770833333336</v>
      </c>
      <c r="D32" s="119">
        <f t="shared" si="2"/>
        <v>46272.270833333336</v>
      </c>
      <c r="E32" s="160">
        <f>IF(ISNUMBER(_xll.PIArcVal(E$6,$C32, 0,"TPI","AUTO"))=TRUE,_xll.PIArcVal(E$6,$C32, 0,"TPI","AUTO"),"")</f>
        <v>23.074974060058594</v>
      </c>
      <c r="F32" s="160">
        <f>IF(ISNUMBER(_xll.PIArcVal(F$6,$D32, 0,"TPI","AUTO"))=TRUE,_xll.PIArcVal(F$6,$D32, 0,"TPI","AUTO"),"")</f>
        <v>22.871414184570313</v>
      </c>
      <c r="G32" s="160">
        <f>IF(ISNUMBER(_xll.PIArcVal(G$6,$C32, 0,"TPI","AUTO"))=TRUE,_xll.PIArcVal(G$6,$C32, 0,"TPI","AUTO"),"")</f>
        <v>2.2196602821350098</v>
      </c>
      <c r="H32" s="160">
        <f>IF(ISNUMBER(_xll.PIArcVal(H$6,$D32, 0,"TPI","AUTO"))=TRUE,_xll.PIArcVal(H$6,$D32, 0,"TPI","AUTO"),"")</f>
        <v>2.1810171604156494</v>
      </c>
      <c r="I32" s="160">
        <f>IF(ISNUMBER(_xll.PIArcVal(I$6,$C32, 0,"TPI","AUTO"))=TRUE,_xll.PIArcVal(I$6,$C32, 0,"TPI","AUTO"),"")</f>
        <v>28.432735443115234</v>
      </c>
      <c r="J32" s="160">
        <f>IF(ISNUMBER(_xll.PIArcVal(J$6,$D32, 0,"TPI","AUTO"))=TRUE,_xll.PIArcVal(J$6,$D32, 0,"TPI","AUTO"),"")</f>
        <v>26.925535202026367</v>
      </c>
      <c r="K32" s="160">
        <f>IF(ISNUMBER(_xll.PIArcVal(K$6,$C32, 0,"TPI","AUTO"))=TRUE,_xll.PIArcVal(K$6,$C32, 0,"TPI","AUTO"),"")</f>
        <v>24.990884780883789</v>
      </c>
      <c r="L32" s="160">
        <f>IF(ISNUMBER(_xll.PIArcVal(L$6,$D32, 0,"TPI","AUTO"))=TRUE,_xll.PIArcVal(L$6,$D32, 0,"TPI","AUTO"),"")</f>
        <v>25.59405517578125</v>
      </c>
      <c r="M32" s="160">
        <f>IF(ISNUMBER(_xll.PIArcVal(M$6,$C32, 0,"TPI","AUTO"))=TRUE,_xll.PIArcVal(M$6,$C32, 0,"TPI","AUTO"),"")</f>
        <v>5.4691430181264877E-2</v>
      </c>
      <c r="N32" s="160">
        <f>IF(ISNUMBER(_xll.PIArcVal(N$6,$D32, 0,"TPI","AUTO"))=TRUE,_xll.PIArcVal(N$6,$D32, 0,"TPI","AUTO"),"")</f>
        <v>9.6487991511821747E-2</v>
      </c>
      <c r="O32" s="160">
        <f>IF(ISNUMBER(_xll.PIArcVal(O$6,$C32, 0,"TPI","AUTO"))=TRUE,_xll.PIArcVal(O$6,$C32, 0,"TPI","AUTO"),"")</f>
        <v>30.635101318359375</v>
      </c>
      <c r="P32" s="160">
        <f>IF(ISNUMBER(_xll.PIArcVal(P$6,$D32, 0,"TPI","AUTO"))=TRUE,_xll.PIArcVal(P$6,$D32, 0,"TPI","AUTO"),"")</f>
        <v>30.628925323486328</v>
      </c>
      <c r="Q32" s="160" t="str" cm="1">
        <f t="array" ref="Q32">IF(ISNUMBER(_xll.PIAdvCalcVal($Q$6,$D31,$C32,"average (time-weighted)","time-weighted",0,1,0,"")),IF(_xll.PIAdvCalcVal($Q$6,$D31,$C32,"average (time-weighted)","time-weighted",0,1,0,"")&gt;0,_xll.PIAdvCalcVal($Q$6,$D31,$C32,"average (time-weighted)","time-weighted",0,1,0,""),""),"")</f>
        <v/>
      </c>
      <c r="R32" s="160" cm="1">
        <f t="array" ref="R32">IF(ISNUMBER(_xll.PIAdvCalcVal($Z$6,$C32,$D32,"average (time-weighted)","time-weighted",0,1,0,"")),IF(_xll.PIAdvCalcVal($Z$6,$C32,$D32,"average (time-weighted)","time-weighted",0,1,0,"")&gt;0,_xll.PIAdvCalcVal($Z$6,$C32,$D32,"average (time-weighted)","time-weighted",0,1,0,""),""))</f>
        <v>3.0826593528943151</v>
      </c>
      <c r="S32" s="160">
        <f>IF(ISNUMBER(_xll.PIArcVal(S$6,$C32, 0,"TPI","AUTO"))=TRUE,_xll.PIArcVal(S$6,$C32, 0,"TPI","AUTO"),"")</f>
        <v>0.71669238805770874</v>
      </c>
      <c r="T32" s="160">
        <f>IF(ISNUMBER(_xll.PIArcVal(T$6,$D32, 0,"TPI","AUTO"))=TRUE,_xll.PIArcVal(T$6,$D32, 0,"TPI","AUTO"),"")</f>
        <v>0.66673463582992554</v>
      </c>
      <c r="U32" s="160">
        <f>IF(ISNUMBER(_xll.PIArcVal(U$6,$C32, 0,"TPI","AUTO"))=TRUE,_xll.PIArcVal(U$6,$C32, 0,"TPI","AUTO"),"")</f>
        <v>55.951023101806641</v>
      </c>
      <c r="V32" s="160">
        <f>IF(ISNUMBER(_xll.PIArcVal(V$6,$D32, 0,"TPI","AUTO"))=TRUE,_xll.PIArcVal(V$6,$D32, 0,"TPI","AUTO"),"")</f>
        <v>56.001426696777344</v>
      </c>
      <c r="W32" s="160">
        <f>IF(ISNUMBER(_xll.PIArcVal(W$6,$C32, 0,"TPI","AUTO"))=TRUE,_xll.PIArcVal(W$6,$C32, 0,"TPI","AUTO"),"")</f>
        <v>0.85430192947387695</v>
      </c>
      <c r="X32" s="160">
        <f>IF(ISNUMBER(_xll.PIArcVal(X$6,$D32, 0,"TPI","AUTO"))=TRUE,_xll.PIArcVal(X$6,$D32, 0,"TPI","AUTO"),"")</f>
        <v>0.79062825441360474</v>
      </c>
      <c r="Y32" s="160" cm="1">
        <f t="array" ref="Y32">IF(ISNUMBER(_xll.PIAdvCalcVal($Y$6,$D31,$C32,"average (time-weighted)","time-weighted",0,1,0,"")),IF(_xll.PIAdvCalcVal($Y$6,$D31,$C32,"average (time-weighted)","time-weighted",0,1,0,"")&gt;0,_xll.PIAdvCalcVal($Y$6,$D31,$C32,"average (time-weighted)","time-weighted",0,1,0,""),""))</f>
        <v>2.859271232576885</v>
      </c>
      <c r="Z32" s="160" cm="1">
        <f t="array" ref="Z32">IF(ISNUMBER(_xll.PIAdvCalcVal($Z$6,$C32,$D32,"average (time-weighted)","time-weighted",0,1,0,"")),IF(_xll.PIAdvCalcVal($Z$6,$C32,$D32,"average (time-weighted)","time-weighted",0,1,0,"")&gt;0,_xll.PIAdvCalcVal($Z$6,$C32,$D32,"average (time-weighted)","time-weighted",0,1,0,""),""))</f>
        <v>3.0826593528943151</v>
      </c>
    </row>
    <row r="33" spans="2:26" ht="16.5" thickBot="1" x14ac:dyDescent="0.3">
      <c r="B33" s="118">
        <f t="shared" si="3"/>
        <v>46272</v>
      </c>
      <c r="C33" s="119">
        <f t="shared" si="0"/>
        <v>46272.770833333336</v>
      </c>
      <c r="D33" s="119">
        <f t="shared" si="2"/>
        <v>46273.270833333336</v>
      </c>
      <c r="E33" s="160">
        <f>IF(ISNUMBER(_xll.PIArcVal(E$6,$C33, 0,"TPI","AUTO"))=TRUE,_xll.PIArcVal(E$6,$C33, 0,"TPI","AUTO"),"")</f>
        <v>23.4122314453125</v>
      </c>
      <c r="F33" s="160">
        <f>IF(ISNUMBER(_xll.PIArcVal(F$6,$D33, 0,"TPI","AUTO"))=TRUE,_xll.PIArcVal(F$6,$D33, 0,"TPI","AUTO"),"")</f>
        <v>23.4122314453125</v>
      </c>
      <c r="G33" s="160">
        <f>IF(ISNUMBER(_xll.PIArcVal(G$6,$C33, 0,"TPI","AUTO"))=TRUE,_xll.PIArcVal(G$6,$C33, 0,"TPI","AUTO"),"")</f>
        <v>1.9882111549377441</v>
      </c>
      <c r="H33" s="160">
        <f>IF(ISNUMBER(_xll.PIArcVal(H$6,$D33, 0,"TPI","AUTO"))=TRUE,_xll.PIArcVal(H$6,$D33, 0,"TPI","AUTO"),"")</f>
        <v>1.9882111549377441</v>
      </c>
      <c r="I33" s="160">
        <f>IF(ISNUMBER(_xll.PIArcVal(I$6,$C33, 0,"TPI","AUTO"))=TRUE,_xll.PIArcVal(I$6,$C33, 0,"TPI","AUTO"),"")</f>
        <v>26.656661987304688</v>
      </c>
      <c r="J33" s="160">
        <f>IF(ISNUMBER(_xll.PIArcVal(J$6,$D33, 0,"TPI","AUTO"))=TRUE,_xll.PIArcVal(J$6,$D33, 0,"TPI","AUTO"),"")</f>
        <v>26.656661987304688</v>
      </c>
      <c r="K33" s="160">
        <f>IF(ISNUMBER(_xll.PIArcVal(K$6,$C33, 0,"TPI","AUTO"))=TRUE,_xll.PIArcVal(K$6,$C33, 0,"TPI","AUTO"),"")</f>
        <v>27.13728141784668</v>
      </c>
      <c r="L33" s="160">
        <f>IF(ISNUMBER(_xll.PIArcVal(L$6,$D33, 0,"TPI","AUTO"))=TRUE,_xll.PIArcVal(L$6,$D33, 0,"TPI","AUTO"),"")</f>
        <v>26.986896514892578</v>
      </c>
      <c r="M33" s="160">
        <f>IF(ISNUMBER(_xll.PIArcVal(M$6,$C33, 0,"TPI","AUTO"))=TRUE,_xll.PIArcVal(M$6,$C33, 0,"TPI","AUTO"),"")</f>
        <v>8.5849106311798096E-2</v>
      </c>
      <c r="N33" s="160">
        <f>IF(ISNUMBER(_xll.PIArcVal(N$6,$D33, 0,"TPI","AUTO"))=TRUE,_xll.PIArcVal(N$6,$D33, 0,"TPI","AUTO"),"")</f>
        <v>6.6281162202358246E-2</v>
      </c>
      <c r="O33" s="160">
        <f>IF(ISNUMBER(_xll.PIArcVal(O$6,$C33, 0,"TPI","AUTO"))=TRUE,_xll.PIArcVal(O$6,$C33, 0,"TPI","AUTO"),"")</f>
        <v>30.811515808105469</v>
      </c>
      <c r="P33" s="160">
        <f>IF(ISNUMBER(_xll.PIArcVal(P$6,$D33, 0,"TPI","AUTO"))=TRUE,_xll.PIArcVal(P$6,$D33, 0,"TPI","AUTO"),"")</f>
        <v>30.284336090087891</v>
      </c>
      <c r="Q33" s="160" t="str" cm="1">
        <f t="array" ref="Q33">IF(ISNUMBER(_xll.PIAdvCalcVal($Q$6,$D32,$C33,"average (time-weighted)","time-weighted",0,1,0,"")),IF(_xll.PIAdvCalcVal($Q$6,$D32,$C33,"average (time-weighted)","time-weighted",0,1,0,"")&gt;0,_xll.PIAdvCalcVal($Q$6,$D32,$C33,"average (time-weighted)","time-weighted",0,1,0,""),""),"")</f>
        <v/>
      </c>
      <c r="R33" s="160" cm="1">
        <f t="array" ref="R33">IF(ISNUMBER(_xll.PIAdvCalcVal($Z$6,$C33,$D33,"average (time-weighted)","time-weighted",0,1,0,"")),IF(_xll.PIAdvCalcVal($Z$6,$C33,$D33,"average (time-weighted)","time-weighted",0,1,0,"")&gt;0,_xll.PIAdvCalcVal($Z$6,$C33,$D33,"average (time-weighted)","time-weighted",0,1,0,""),""))</f>
        <v>3.4311011947657946</v>
      </c>
      <c r="S33" s="160">
        <f>IF(ISNUMBER(_xll.PIArcVal(S$6,$C33, 0,"TPI","AUTO"))=TRUE,_xll.PIArcVal(S$6,$C33, 0,"TPI","AUTO"),"")</f>
        <v>0.63896381855010986</v>
      </c>
      <c r="T33" s="160">
        <f>IF(ISNUMBER(_xll.PIArcVal(T$6,$D33, 0,"TPI","AUTO"))=TRUE,_xll.PIArcVal(T$6,$D33, 0,"TPI","AUTO"),"")</f>
        <v>0.61430835723876953</v>
      </c>
      <c r="U33" s="160">
        <f>IF(ISNUMBER(_xll.PIArcVal(U$6,$C33, 0,"TPI","AUTO"))=TRUE,_xll.PIArcVal(U$6,$C33, 0,"TPI","AUTO"),"")</f>
        <v>55.468986511230469</v>
      </c>
      <c r="V33" s="160">
        <f>IF(ISNUMBER(_xll.PIArcVal(V$6,$D33, 0,"TPI","AUTO"))=TRUE,_xll.PIArcVal(V$6,$D33, 0,"TPI","AUTO"),"")</f>
        <v>55.944484710693359</v>
      </c>
      <c r="W33" s="160">
        <f>IF(ISNUMBER(_xll.PIArcVal(W$6,$C33, 0,"TPI","AUTO"))=TRUE,_xll.PIArcVal(W$6,$C33, 0,"TPI","AUTO"),"")</f>
        <v>0.80846917629241943</v>
      </c>
      <c r="X33" s="160">
        <f>IF(ISNUMBER(_xll.PIArcVal(X$6,$D33, 0,"TPI","AUTO"))=TRUE,_xll.PIArcVal(X$6,$D33, 0,"TPI","AUTO"),"")</f>
        <v>0.77429276704788208</v>
      </c>
      <c r="Y33" s="160" cm="1">
        <f t="array" ref="Y33">IF(ISNUMBER(_xll.PIAdvCalcVal($Y$6,$D32,$C33,"average (time-weighted)","time-weighted",0,1,0,"")),IF(_xll.PIAdvCalcVal($Y$6,$D32,$C33,"average (time-weighted)","time-weighted",0,1,0,"")&gt;0,_xll.PIAdvCalcVal($Y$6,$D32,$C33,"average (time-weighted)","time-weighted",0,1,0,""),""))</f>
        <v>3.0692315743954315</v>
      </c>
      <c r="Z33" s="160" cm="1">
        <f t="array" ref="Z33">IF(ISNUMBER(_xll.PIAdvCalcVal($Z$6,$C33,$D33,"average (time-weighted)","time-weighted",0,1,0,"")),IF(_xll.PIAdvCalcVal($Z$6,$C33,$D33,"average (time-weighted)","time-weighted",0,1,0,"")&gt;0,_xll.PIAdvCalcVal($Z$6,$C33,$D33,"average (time-weighted)","time-weighted",0,1,0,""),""))</f>
        <v>3.4311011947657946</v>
      </c>
    </row>
    <row r="34" spans="2:26" ht="16.5" thickBot="1" x14ac:dyDescent="0.3">
      <c r="B34" s="118">
        <f t="shared" si="3"/>
        <v>46273</v>
      </c>
      <c r="C34" s="119">
        <f t="shared" si="0"/>
        <v>46273.770833333336</v>
      </c>
      <c r="D34" s="119">
        <f t="shared" si="2"/>
        <v>46274.270833333336</v>
      </c>
      <c r="E34" s="160">
        <f>IF(ISNUMBER(_xll.PIArcVal(E$6,$C34, 0,"TPI","AUTO"))=TRUE,_xll.PIArcVal(E$6,$C34, 0,"TPI","AUTO"),"")</f>
        <v>23.4122314453125</v>
      </c>
      <c r="F34" s="160">
        <f>IF(ISNUMBER(_xll.PIArcVal(F$6,$D34, 0,"TPI","AUTO"))=TRUE,_xll.PIArcVal(F$6,$D34, 0,"TPI","AUTO"),"")</f>
        <v>25.597373962402344</v>
      </c>
      <c r="G34" s="160">
        <f>IF(ISNUMBER(_xll.PIArcVal(G$6,$C34, 0,"TPI","AUTO"))=TRUE,_xll.PIArcVal(G$6,$C34, 0,"TPI","AUTO"),"")</f>
        <v>1.9882111549377441</v>
      </c>
      <c r="H34" s="160">
        <f>IF(ISNUMBER(_xll.PIArcVal(H$6,$D34, 0,"TPI","AUTO"))=TRUE,_xll.PIArcVal(H$6,$D34, 0,"TPI","AUTO"),"")</f>
        <v>2.427558422088623</v>
      </c>
      <c r="I34" s="160">
        <f>IF(ISNUMBER(_xll.PIArcVal(I$6,$C34, 0,"TPI","AUTO"))=TRUE,_xll.PIArcVal(I$6,$C34, 0,"TPI","AUTO"),"")</f>
        <v>26.656661987304688</v>
      </c>
      <c r="J34" s="160">
        <f>IF(ISNUMBER(_xll.PIArcVal(J$6,$D34, 0,"TPI","AUTO"))=TRUE,_xll.PIArcVal(J$6,$D34, 0,"TPI","AUTO"),"")</f>
        <v>28.693515777587891</v>
      </c>
      <c r="K34" s="160">
        <f>IF(ISNUMBER(_xll.PIArcVal(K$6,$C34, 0,"TPI","AUTO"))=TRUE,_xll.PIArcVal(K$6,$C34, 0,"TPI","AUTO"),"")</f>
        <v>25.830345153808594</v>
      </c>
      <c r="L34" s="160">
        <f>IF(ISNUMBER(_xll.PIArcVal(L$6,$D34, 0,"TPI","AUTO"))=TRUE,_xll.PIArcVal(L$6,$D34, 0,"TPI","AUTO"),"")</f>
        <v>25.62885856628418</v>
      </c>
      <c r="M34" s="160">
        <f>IF(ISNUMBER(_xll.PIArcVal(M$6,$C34, 0,"TPI","AUTO"))=TRUE,_xll.PIArcVal(M$6,$C34, 0,"TPI","AUTO"),"")</f>
        <v>0.10891502350568771</v>
      </c>
      <c r="N34" s="160">
        <f>IF(ISNUMBER(_xll.PIArcVal(N$6,$D34, 0,"TPI","AUTO"))=TRUE,_xll.PIArcVal(N$6,$D34, 0,"TPI","AUTO"),"")</f>
        <v>9.5075011253356934E-2</v>
      </c>
      <c r="O34" s="160">
        <f>IF(ISNUMBER(_xll.PIArcVal(O$6,$C34, 0,"TPI","AUTO"))=TRUE,_xll.PIArcVal(O$6,$C34, 0,"TPI","AUTO"),"")</f>
        <v>30.050273895263672</v>
      </c>
      <c r="P34" s="160">
        <f>IF(ISNUMBER(_xll.PIArcVal(P$6,$D34, 0,"TPI","AUTO"))=TRUE,_xll.PIArcVal(P$6,$D34, 0,"TPI","AUTO"),"")</f>
        <v>29.321147918701172</v>
      </c>
      <c r="Q34" s="160" t="str" cm="1">
        <f t="array" ref="Q34">IF(ISNUMBER(_xll.PIAdvCalcVal($Q$6,$D33,$C34,"average (time-weighted)","time-weighted",0,1,0,"")),IF(_xll.PIAdvCalcVal($Q$6,$D33,$C34,"average (time-weighted)","time-weighted",0,1,0,"")&gt;0,_xll.PIAdvCalcVal($Q$6,$D33,$C34,"average (time-weighted)","time-weighted",0,1,0,""),""),"")</f>
        <v/>
      </c>
      <c r="R34" s="160" t="str" cm="1">
        <f t="array" ref="R34">IF(ISNUMBER(_xll.PIAdvCalcVal($Z$6,$C34,$D34,"average (time-weighted)","time-weighted",0,1,0,"")),IF(_xll.PIAdvCalcVal($Z$6,$C34,$D34,"average (time-weighted)","time-weighted",0,1,0,"")&gt;0,_xll.PIAdvCalcVal($Z$6,$C34,$D34,"average (time-weighted)","time-weighted",0,1,0,""),""))</f>
        <v/>
      </c>
      <c r="S34" s="160">
        <f>IF(ISNUMBER(_xll.PIArcVal(S$6,$C34, 0,"TPI","AUTO"))=TRUE,_xll.PIArcVal(S$6,$C34, 0,"TPI","AUTO"),"")</f>
        <v>0.64969217777252197</v>
      </c>
      <c r="T34" s="160">
        <f>IF(ISNUMBER(_xll.PIArcVal(T$6,$D34, 0,"TPI","AUTO"))=TRUE,_xll.PIArcVal(T$6,$D34, 0,"TPI","AUTO"),"")</f>
        <v>0.70881867408752441</v>
      </c>
      <c r="U34" s="160">
        <f>IF(ISNUMBER(_xll.PIArcVal(U$6,$C34, 0,"TPI","AUTO"))=TRUE,_xll.PIArcVal(U$6,$C34, 0,"TPI","AUTO"),"")</f>
        <v>55.621616363525391</v>
      </c>
      <c r="V34" s="160">
        <f>IF(ISNUMBER(_xll.PIArcVal(V$6,$D34, 0,"TPI","AUTO"))=TRUE,_xll.PIArcVal(V$6,$D34, 0,"TPI","AUTO"),"")</f>
        <v>56.462387084960938</v>
      </c>
      <c r="W34" s="160">
        <f>IF(ISNUMBER(_xll.PIArcVal(W$6,$C34, 0,"TPI","AUTO"))=TRUE,_xll.PIArcVal(W$6,$C34, 0,"TPI","AUTO"),"")</f>
        <v>0.87993007898330688</v>
      </c>
      <c r="X34" s="160">
        <f>IF(ISNUMBER(_xll.PIArcVal(X$6,$D34, 0,"TPI","AUTO"))=TRUE,_xll.PIArcVal(X$6,$D34, 0,"TPI","AUTO"),"")</f>
        <v>0.91401469707489014</v>
      </c>
      <c r="Y34" s="160" cm="1">
        <f t="array" ref="Y34">IF(ISNUMBER(_xll.PIAdvCalcVal($Y$6,$D33,$C34,"average (time-weighted)","time-weighted",0,1,0,"")),IF(_xll.PIAdvCalcVal($Y$6,$D33,$C34,"average (time-weighted)","time-weighted",0,1,0,"")&gt;0,_xll.PIAdvCalcVal($Y$6,$D33,$C34,"average (time-weighted)","time-weighted",0,1,0,""),""))</f>
        <v>3.3156544118404261</v>
      </c>
      <c r="Z34" s="160" t="str" cm="1">
        <f t="array" ref="Z34">IF(ISNUMBER(_xll.PIAdvCalcVal($Z$6,$C34,$D34,"average (time-weighted)","time-weighted",0,1,0,"")),IF(_xll.PIAdvCalcVal($Z$6,$C34,$D34,"average (time-weighted)","time-weighted",0,1,0,"")&gt;0,_xll.PIAdvCalcVal($Z$6,$C34,$D34,"average (time-weighted)","time-weighted",0,1,0,""),""))</f>
        <v/>
      </c>
    </row>
    <row r="35" spans="2:26" ht="16.5" thickBot="1" x14ac:dyDescent="0.3">
      <c r="B35" s="118">
        <f t="shared" si="3"/>
        <v>46274</v>
      </c>
      <c r="C35" s="119">
        <f t="shared" si="0"/>
        <v>46274.770833333336</v>
      </c>
      <c r="D35" s="119">
        <f t="shared" si="2"/>
        <v>46275.270833333336</v>
      </c>
      <c r="E35" s="160">
        <f>IF(ISNUMBER(_xll.PIArcVal(E$6,$C35, 0,"TPI","AUTO"))=TRUE,_xll.PIArcVal(E$6,$C35, 0,"TPI","AUTO"),"")</f>
        <v>23.623220443725586</v>
      </c>
      <c r="F35" s="160">
        <f>IF(ISNUMBER(_xll.PIArcVal(F$6,$D35, 0,"TPI","AUTO"))=TRUE,_xll.PIArcVal(F$6,$D35, 0,"TPI","AUTO"),"")</f>
        <v>24.979143142700195</v>
      </c>
      <c r="G35" s="160">
        <f>IF(ISNUMBER(_xll.PIArcVal(G$6,$C35, 0,"TPI","AUTO"))=TRUE,_xll.PIArcVal(G$6,$C35, 0,"TPI","AUTO"),"")</f>
        <v>2.2709739208221436</v>
      </c>
      <c r="H35" s="160">
        <f>IF(ISNUMBER(_xll.PIArcVal(H$6,$D35, 0,"TPI","AUTO"))=TRUE,_xll.PIArcVal(H$6,$D35, 0,"TPI","AUTO"),"")</f>
        <v>2.8069972991943359</v>
      </c>
      <c r="I35" s="160">
        <f>IF(ISNUMBER(_xll.PIArcVal(I$6,$C35, 0,"TPI","AUTO"))=TRUE,_xll.PIArcVal(I$6,$C35, 0,"TPI","AUTO"),"")</f>
        <v>25.452836990356445</v>
      </c>
      <c r="J35" s="160">
        <f>IF(ISNUMBER(_xll.PIArcVal(J$6,$D35, 0,"TPI","AUTO"))=TRUE,_xll.PIArcVal(J$6,$D35, 0,"TPI","AUTO"),"")</f>
        <v>29.563499450683594</v>
      </c>
      <c r="K35" s="160">
        <f>IF(ISNUMBER(_xll.PIArcVal(K$6,$C35, 0,"TPI","AUTO"))=TRUE,_xll.PIArcVal(K$6,$C35, 0,"TPI","AUTO"),"")</f>
        <v>25.941305160522461</v>
      </c>
      <c r="L35" s="160">
        <f>IF(ISNUMBER(_xll.PIArcVal(L$6,$D35, 0,"TPI","AUTO"))=TRUE,_xll.PIArcVal(L$6,$D35, 0,"TPI","AUTO"),"")</f>
        <v>25.204212188720703</v>
      </c>
      <c r="M35" s="160">
        <f>IF(ISNUMBER(_xll.PIArcVal(M$6,$C35, 0,"TPI","AUTO"))=TRUE,_xll.PIArcVal(M$6,$C35, 0,"TPI","AUTO"),"")</f>
        <v>0.10948605090379715</v>
      </c>
      <c r="N35" s="160">
        <f>IF(ISNUMBER(_xll.PIArcVal(N$6,$D35, 0,"TPI","AUTO"))=TRUE,_xll.PIArcVal(N$6,$D35, 0,"TPI","AUTO"),"")</f>
        <v>6.9430828094482422E-2</v>
      </c>
      <c r="O35" s="160">
        <f>IF(ISNUMBER(_xll.PIArcVal(O$6,$C35, 0,"TPI","AUTO"))=TRUE,_xll.PIArcVal(O$6,$C35, 0,"TPI","AUTO"),"")</f>
        <v>29.290821075439453</v>
      </c>
      <c r="P35" s="160">
        <f>IF(ISNUMBER(_xll.PIArcVal(P$6,$D35, 0,"TPI","AUTO"))=TRUE,_xll.PIArcVal(P$6,$D35, 0,"TPI","AUTO"),"")</f>
        <v>29.142030715942383</v>
      </c>
      <c r="Q35" s="160" t="str" cm="1">
        <f t="array" ref="Q35">IF(ISNUMBER(_xll.PIAdvCalcVal($Q$6,$D34,$C35,"average (time-weighted)","time-weighted",0,1,0,"")),IF(_xll.PIAdvCalcVal($Q$6,$D34,$C35,"average (time-weighted)","time-weighted",0,1,0,"")&gt;0,_xll.PIAdvCalcVal($Q$6,$D34,$C35,"average (time-weighted)","time-weighted",0,1,0,""),""),"")</f>
        <v/>
      </c>
      <c r="R35" s="160" t="str" cm="1">
        <f t="array" ref="R35">IF(ISNUMBER(_xll.PIAdvCalcVal($Z$6,$C35,$D35,"average (time-weighted)","time-weighted",0,1,0,"")),IF(_xll.PIAdvCalcVal($Z$6,$C35,$D35,"average (time-weighted)","time-weighted",0,1,0,"")&gt;0,_xll.PIAdvCalcVal($Z$6,$C35,$D35,"average (time-weighted)","time-weighted",0,1,0,""),""))</f>
        <v/>
      </c>
      <c r="S35" s="160">
        <f>IF(ISNUMBER(_xll.PIArcVal(S$6,$C35, 0,"TPI","AUTO"))=TRUE,_xll.PIArcVal(S$6,$C35, 0,"TPI","AUTO"),"")</f>
        <v>0.90763550996780396</v>
      </c>
      <c r="T35" s="160">
        <f>IF(ISNUMBER(_xll.PIArcVal(T$6,$D35, 0,"TPI","AUTO"))=TRUE,_xll.PIArcVal(T$6,$D35, 0,"TPI","AUTO"),"")</f>
        <v>0.85986596345901489</v>
      </c>
      <c r="U35" s="160">
        <f>IF(ISNUMBER(_xll.PIArcVal(U$6,$C35, 0,"TPI","AUTO"))=TRUE,_xll.PIArcVal(U$6,$C35, 0,"TPI","AUTO"),"")</f>
        <v>56.375556945800781</v>
      </c>
      <c r="V35" s="160">
        <f>IF(ISNUMBER(_xll.PIArcVal(V$6,$D35, 0,"TPI","AUTO"))=TRUE,_xll.PIArcVal(V$6,$D35, 0,"TPI","AUTO"),"")</f>
        <v>55.806068420410156</v>
      </c>
      <c r="W35" s="160">
        <f>IF(ISNUMBER(_xll.PIArcVal(W$6,$C35, 0,"TPI","AUTO"))=TRUE,_xll.PIArcVal(W$6,$C35, 0,"TPI","AUTO"),"")</f>
        <v>1.1859747171401978</v>
      </c>
      <c r="X35" s="160">
        <f>IF(ISNUMBER(_xll.PIArcVal(X$6,$D35, 0,"TPI","AUTO"))=TRUE,_xll.PIArcVal(X$6,$D35, 0,"TPI","AUTO"),"")</f>
        <v>1.1811318397521973</v>
      </c>
      <c r="Y35" s="160" cm="1">
        <f t="array" ref="Y35">IF(ISNUMBER(_xll.PIAdvCalcVal($Y$6,$D34,$C35,"average (time-weighted)","time-weighted",0,1,0,"")),IF(_xll.PIAdvCalcVal($Y$6,$D34,$C35,"average (time-weighted)","time-weighted",0,1,0,"")&gt;0,_xll.PIAdvCalcVal($Y$6,$D34,$C35,"average (time-weighted)","time-weighted",0,1,0,""),""))</f>
        <v>3.1993632662703346</v>
      </c>
      <c r="Z35" s="160" t="str" cm="1">
        <f t="array" ref="Z35">IF(ISNUMBER(_xll.PIAdvCalcVal($Z$6,$C35,$D35,"average (time-weighted)","time-weighted",0,1,0,"")),IF(_xll.PIAdvCalcVal($Z$6,$C35,$D35,"average (time-weighted)","time-weighted",0,1,0,"")&gt;0,_xll.PIAdvCalcVal($Z$6,$C35,$D35,"average (time-weighted)","time-weighted",0,1,0,""),""))</f>
        <v/>
      </c>
    </row>
    <row r="36" spans="2:26" ht="16.5" thickBot="1" x14ac:dyDescent="0.3">
      <c r="B36" s="118">
        <f t="shared" si="3"/>
        <v>46275</v>
      </c>
      <c r="C36" s="119">
        <f t="shared" si="0"/>
        <v>46275.770833333336</v>
      </c>
      <c r="D36" s="119">
        <f t="shared" si="2"/>
        <v>46276.270833333336</v>
      </c>
      <c r="E36" s="160">
        <f>IF(ISNUMBER(_xll.PIArcVal(E$6,$C36, 0,"TPI","AUTO"))=TRUE,_xll.PIArcVal(E$6,$C36, 0,"TPI","AUTO"),"")</f>
        <v>23.020315170288086</v>
      </c>
      <c r="F36" s="160">
        <f>IF(ISNUMBER(_xll.PIArcVal(F$6,$D36, 0,"TPI","AUTO"))=TRUE,_xll.PIArcVal(F$6,$D36, 0,"TPI","AUTO"),"")</f>
        <v>27.067319869995117</v>
      </c>
      <c r="G36" s="160">
        <f>IF(ISNUMBER(_xll.PIArcVal(G$6,$C36, 0,"TPI","AUTO"))=TRUE,_xll.PIArcVal(G$6,$C36, 0,"TPI","AUTO"),"")</f>
        <v>2.6013236045837402</v>
      </c>
      <c r="H36" s="160">
        <f>IF(ISNUMBER(_xll.PIArcVal(H$6,$D36, 0,"TPI","AUTO"))=TRUE,_xll.PIArcVal(H$6,$D36, 0,"TPI","AUTO"),"")</f>
        <v>2.6947493553161621</v>
      </c>
      <c r="I36" s="160">
        <f>IF(ISNUMBER(_xll.PIArcVal(I$6,$C36, 0,"TPI","AUTO"))=TRUE,_xll.PIArcVal(I$6,$C36, 0,"TPI","AUTO"),"")</f>
        <v>28.209714889526367</v>
      </c>
      <c r="J36" s="160">
        <f>IF(ISNUMBER(_xll.PIArcVal(J$6,$D36, 0,"TPI","AUTO"))=TRUE,_xll.PIArcVal(J$6,$D36, 0,"TPI","AUTO"),"")</f>
        <v>29.328254699707031</v>
      </c>
      <c r="K36" s="160">
        <f>IF(ISNUMBER(_xll.PIArcVal(K$6,$C36, 0,"TPI","AUTO"))=TRUE,_xll.PIArcVal(K$6,$C36, 0,"TPI","AUTO"),"")</f>
        <v>24.093988418579102</v>
      </c>
      <c r="L36" s="160">
        <f>IF(ISNUMBER(_xll.PIArcVal(L$6,$D36, 0,"TPI","AUTO"))=TRUE,_xll.PIArcVal(L$6,$D36, 0,"TPI","AUTO"),"")</f>
        <v>27.795993804931641</v>
      </c>
      <c r="M36" s="160">
        <f>IF(ISNUMBER(_xll.PIArcVal(M$6,$C36, 0,"TPI","AUTO"))=TRUE,_xll.PIArcVal(M$6,$C36, 0,"TPI","AUTO"),"")</f>
        <v>8.3107098937034607E-2</v>
      </c>
      <c r="N36" s="160">
        <f>IF(ISNUMBER(_xll.PIArcVal(N$6,$D36, 0,"TPI","AUTO"))=TRUE,_xll.PIArcVal(N$6,$D36, 0,"TPI","AUTO"),"")</f>
        <v>0.38959759473800659</v>
      </c>
      <c r="O36" s="160">
        <f>IF(ISNUMBER(_xll.PIArcVal(O$6,$C36, 0,"TPI","AUTO"))=TRUE,_xll.PIArcVal(O$6,$C36, 0,"TPI","AUTO"),"")</f>
        <v>28.112758636474609</v>
      </c>
      <c r="P36" s="160">
        <f>IF(ISNUMBER(_xll.PIArcVal(P$6,$D36, 0,"TPI","AUTO"))=TRUE,_xll.PIArcVal(P$6,$D36, 0,"TPI","AUTO"),"")</f>
        <v>29.862392425537109</v>
      </c>
      <c r="Q36" s="160" t="str" cm="1">
        <f t="array" ref="Q36">IF(ISNUMBER(_xll.PIAdvCalcVal($Q$6,$D35,$C36,"average (time-weighted)","time-weighted",0,1,0,"")),IF(_xll.PIAdvCalcVal($Q$6,$D35,$C36,"average (time-weighted)","time-weighted",0,1,0,"")&gt;0,_xll.PIAdvCalcVal($Q$6,$D35,$C36,"average (time-weighted)","time-weighted",0,1,0,""),""),"")</f>
        <v/>
      </c>
      <c r="R36" s="160" t="str" cm="1">
        <f t="array" ref="R36">IF(ISNUMBER(_xll.PIAdvCalcVal($Z$6,$C36,$D36,"average (time-weighted)","time-weighted",0,1,0,"")),IF(_xll.PIAdvCalcVal($Z$6,$C36,$D36,"average (time-weighted)","time-weighted",0,1,0,"")&gt;0,_xll.PIAdvCalcVal($Z$6,$C36,$D36,"average (time-weighted)","time-weighted",0,1,0,""),""))</f>
        <v/>
      </c>
      <c r="S36" s="160">
        <f>IF(ISNUMBER(_xll.PIArcVal(S$6,$C36, 0,"TPI","AUTO"))=TRUE,_xll.PIArcVal(S$6,$C36, 0,"TPI","AUTO"),"")</f>
        <v>1.0506017208099365</v>
      </c>
      <c r="T36" s="160">
        <f>IF(ISNUMBER(_xll.PIArcVal(T$6,$D36, 0,"TPI","AUTO"))=TRUE,_xll.PIArcVal(T$6,$D36, 0,"TPI","AUTO"),"")</f>
        <v>0.69720637798309326</v>
      </c>
      <c r="U36" s="160">
        <f>IF(ISNUMBER(_xll.PIArcVal(U$6,$C36, 0,"TPI","AUTO"))=TRUE,_xll.PIArcVal(U$6,$C36, 0,"TPI","AUTO"),"")</f>
        <v>51.523078918457031</v>
      </c>
      <c r="V36" s="160">
        <f>IF(ISNUMBER(_xll.PIArcVal(V$6,$D36, 0,"TPI","AUTO"))=TRUE,_xll.PIArcVal(V$6,$D36, 0,"TPI","AUTO"),"")</f>
        <v>56.350315093994141</v>
      </c>
      <c r="W36" s="160">
        <f>IF(ISNUMBER(_xll.PIArcVal(W$6,$C36, 0,"TPI","AUTO"))=TRUE,_xll.PIArcVal(W$6,$C36, 0,"TPI","AUTO"),"")</f>
        <v>1.5074747800827026</v>
      </c>
      <c r="X36" s="160">
        <f>IF(ISNUMBER(_xll.PIArcVal(X$6,$D36, 0,"TPI","AUTO"))=TRUE,_xll.PIArcVal(X$6,$D36, 0,"TPI","AUTO"),"")</f>
        <v>0.97702711820602417</v>
      </c>
      <c r="Y36" s="160" t="str" cm="1">
        <f t="array" ref="Y36">IF(ISNUMBER(_xll.PIAdvCalcVal($Y$6,$D35,$C36,"average (time-weighted)","time-weighted",0,1,0,"")),IF(_xll.PIAdvCalcVal($Y$6,$D35,$C36,"average (time-weighted)","time-weighted",0,1,0,"")&gt;0,_xll.PIAdvCalcVal($Y$6,$D35,$C36,"average (time-weighted)","time-weighted",0,1,0,""),""))</f>
        <v/>
      </c>
      <c r="Z36" s="160" t="str" cm="1">
        <f t="array" ref="Z36">IF(ISNUMBER(_xll.PIAdvCalcVal($Z$6,$C36,$D36,"average (time-weighted)","time-weighted",0,1,0,"")),IF(_xll.PIAdvCalcVal($Z$6,$C36,$D36,"average (time-weighted)","time-weighted",0,1,0,"")&gt;0,_xll.PIAdvCalcVal($Z$6,$C36,$D36,"average (time-weighted)","time-weighted",0,1,0,""),""))</f>
        <v/>
      </c>
    </row>
    <row r="37" spans="2:26" ht="16.5" thickBot="1" x14ac:dyDescent="0.3">
      <c r="B37" s="118">
        <f t="shared" si="3"/>
        <v>46276</v>
      </c>
      <c r="C37" s="119">
        <f t="shared" si="0"/>
        <v>46276.770833333336</v>
      </c>
      <c r="D37" s="119">
        <f t="shared" si="2"/>
        <v>46277.270833333336</v>
      </c>
      <c r="E37" s="160">
        <f>IF(ISNUMBER(_xll.PIArcVal(E$6,$C37, 0,"TPI","AUTO"))=TRUE,_xll.PIArcVal(E$6,$C37, 0,"TPI","AUTO"),"")</f>
        <v>26.633718490600586</v>
      </c>
      <c r="F37" s="160">
        <f>IF(ISNUMBER(_xll.PIArcVal(F$6,$D37, 0,"TPI","AUTO"))=TRUE,_xll.PIArcVal(F$6,$D37, 0,"TPI","AUTO"),"")</f>
        <v>25.186441421508789</v>
      </c>
      <c r="G37" s="160">
        <f>IF(ISNUMBER(_xll.PIArcVal(G$6,$C37, 0,"TPI","AUTO"))=TRUE,_xll.PIArcVal(G$6,$C37, 0,"TPI","AUTO"),"")</f>
        <v>2.728614330291748</v>
      </c>
      <c r="H37" s="160">
        <f>IF(ISNUMBER(_xll.PIArcVal(H$6,$D37, 0,"TPI","AUTO"))=TRUE,_xll.PIArcVal(H$6,$D37, 0,"TPI","AUTO"),"")</f>
        <v>2.8998367786407471</v>
      </c>
      <c r="I37" s="160">
        <f>IF(ISNUMBER(_xll.PIArcVal(I$6,$C37, 0,"TPI","AUTO"))=TRUE,_xll.PIArcVal(I$6,$C37, 0,"TPI","AUTO"),"")</f>
        <v>29.400962829589844</v>
      </c>
      <c r="J37" s="160">
        <f>IF(ISNUMBER(_xll.PIArcVal(J$6,$D37, 0,"TPI","AUTO"))=TRUE,_xll.PIArcVal(J$6,$D37, 0,"TPI","AUTO"),"")</f>
        <v>28.211462020874023</v>
      </c>
      <c r="K37" s="160">
        <f>IF(ISNUMBER(_xll.PIArcVal(K$6,$C37, 0,"TPI","AUTO"))=TRUE,_xll.PIArcVal(K$6,$C37, 0,"TPI","AUTO"),"")</f>
        <v>26.973537445068359</v>
      </c>
      <c r="L37" s="160">
        <f>IF(ISNUMBER(_xll.PIArcVal(L$6,$D37, 0,"TPI","AUTO"))=TRUE,_xll.PIArcVal(L$6,$D37, 0,"TPI","AUTO"),"")</f>
        <v>26.553373336791992</v>
      </c>
      <c r="M37" s="160">
        <f>IF(ISNUMBER(_xll.PIArcVal(M$6,$C37, 0,"TPI","AUTO"))=TRUE,_xll.PIArcVal(M$6,$C37, 0,"TPI","AUTO"),"")</f>
        <v>0.30744925141334534</v>
      </c>
      <c r="N37" s="160">
        <f>IF(ISNUMBER(_xll.PIArcVal(N$6,$D37, 0,"TPI","AUTO"))=TRUE,_xll.PIArcVal(N$6,$D37, 0,"TPI","AUTO"),"")</f>
        <v>0.10706456750631332</v>
      </c>
      <c r="O37" s="160">
        <f>IF(ISNUMBER(_xll.PIArcVal(O$6,$C37, 0,"TPI","AUTO"))=TRUE,_xll.PIArcVal(O$6,$C37, 0,"TPI","AUTO"),"")</f>
        <v>29.247730255126953</v>
      </c>
      <c r="P37" s="160">
        <f>IF(ISNUMBER(_xll.PIArcVal(P$6,$D37, 0,"TPI","AUTO"))=TRUE,_xll.PIArcVal(P$6,$D37, 0,"TPI","AUTO"),"")</f>
        <v>28.81382942199707</v>
      </c>
      <c r="Q37" s="160" t="str" cm="1">
        <f t="array" ref="Q37">IF(ISNUMBER(_xll.PIAdvCalcVal($Q$6,$D36,$C37,"average (time-weighted)","time-weighted",0,1,0,"")),IF(_xll.PIAdvCalcVal($Q$6,$D36,$C37,"average (time-weighted)","time-weighted",0,1,0,"")&gt;0,_xll.PIAdvCalcVal($Q$6,$D36,$C37,"average (time-weighted)","time-weighted",0,1,0,""),""),"")</f>
        <v/>
      </c>
      <c r="R37" s="160" cm="1">
        <f t="array" ref="R37">IF(ISNUMBER(_xll.PIAdvCalcVal($Z$6,$C37,$D37,"average (time-weighted)","time-weighted",0,1,0,"")),IF(_xll.PIAdvCalcVal($Z$6,$C37,$D37,"average (time-weighted)","time-weighted",0,1,0,"")&gt;0,_xll.PIAdvCalcVal($Z$6,$C37,$D37,"average (time-weighted)","time-weighted",0,1,0,""),""))</f>
        <v>2.8744003297803609</v>
      </c>
      <c r="S37" s="160">
        <f>IF(ISNUMBER(_xll.PIArcVal(S$6,$C37, 0,"TPI","AUTO"))=TRUE,_xll.PIArcVal(S$6,$C37, 0,"TPI","AUTO"),"")</f>
        <v>0.85412490367889404</v>
      </c>
      <c r="T37" s="160">
        <f>IF(ISNUMBER(_xll.PIArcVal(T$6,$D37, 0,"TPI","AUTO"))=TRUE,_xll.PIArcVal(T$6,$D37, 0,"TPI","AUTO"),"")</f>
        <v>0.73607480525970459</v>
      </c>
      <c r="U37" s="160">
        <f>IF(ISNUMBER(_xll.PIArcVal(U$6,$C37, 0,"TPI","AUTO"))=TRUE,_xll.PIArcVal(U$6,$C37, 0,"TPI","AUTO"),"")</f>
        <v>56.157756805419922</v>
      </c>
      <c r="V37" s="160">
        <f>IF(ISNUMBER(_xll.PIArcVal(V$6,$D37, 0,"TPI","AUTO"))=TRUE,_xll.PIArcVal(V$6,$D37, 0,"TPI","AUTO"),"")</f>
        <v>55.626434326171875</v>
      </c>
      <c r="W37" s="160">
        <f>IF(ISNUMBER(_xll.PIArcVal(W$6,$C37, 0,"TPI","AUTO"))=TRUE,_xll.PIArcVal(W$6,$C37, 0,"TPI","AUTO"),"")</f>
        <v>1.064218282699585</v>
      </c>
      <c r="X37" s="160">
        <f>IF(ISNUMBER(_xll.PIArcVal(X$6,$D37, 0,"TPI","AUTO"))=TRUE,_xll.PIArcVal(X$6,$D37, 0,"TPI","AUTO"),"")</f>
        <v>1.0956374406814575</v>
      </c>
      <c r="Y37" s="160" cm="1">
        <f t="array" ref="Y37">IF(ISNUMBER(_xll.PIAdvCalcVal($Y$6,$D36,$C37,"average (time-weighted)","time-weighted",0,1,0,"")),IF(_xll.PIAdvCalcVal($Y$6,$D36,$C37,"average (time-weighted)","time-weighted",0,1,0,"")&gt;0,_xll.PIAdvCalcVal($Y$6,$D36,$C37,"average (time-weighted)","time-weighted",0,1,0,""),""))</f>
        <v>2.7606679667182248</v>
      </c>
      <c r="Z37" s="160" cm="1">
        <f t="array" ref="Z37">IF(ISNUMBER(_xll.PIAdvCalcVal($Z$6,$C37,$D37,"average (time-weighted)","time-weighted",0,1,0,"")),IF(_xll.PIAdvCalcVal($Z$6,$C37,$D37,"average (time-weighted)","time-weighted",0,1,0,"")&gt;0,_xll.PIAdvCalcVal($Z$6,$C37,$D37,"average (time-weighted)","time-weighted",0,1,0,""),""))</f>
        <v>2.8744003297803609</v>
      </c>
    </row>
    <row r="38" spans="2:26" ht="16.5" thickBot="1" x14ac:dyDescent="0.3">
      <c r="B38" s="118">
        <f t="shared" si="3"/>
        <v>46277</v>
      </c>
      <c r="C38" s="119">
        <f t="shared" si="0"/>
        <v>46277.770833333336</v>
      </c>
      <c r="D38" s="119">
        <f t="shared" si="2"/>
        <v>46278.270833333336</v>
      </c>
      <c r="E38" s="160">
        <f>IF(ISNUMBER(_xll.PIArcVal(E$6,$C38, 0,"TPI","AUTO"))=TRUE,_xll.PIArcVal(E$6,$C38, 0,"TPI","AUTO"),"")</f>
        <v>25.249885559082031</v>
      </c>
      <c r="F38" s="160">
        <f>IF(ISNUMBER(_xll.PIArcVal(F$6,$D38, 0,"TPI","AUTO"))=TRUE,_xll.PIArcVal(F$6,$D38, 0,"TPI","AUTO"),"")</f>
        <v>24.969537734985352</v>
      </c>
      <c r="G38" s="160">
        <f>IF(ISNUMBER(_xll.PIArcVal(G$6,$C38, 0,"TPI","AUTO"))=TRUE,_xll.PIArcVal(G$6,$C38, 0,"TPI","AUTO"),"")</f>
        <v>2.8712384700775146</v>
      </c>
      <c r="H38" s="160">
        <f>IF(ISNUMBER(_xll.PIArcVal(H$6,$D38, 0,"TPI","AUTO"))=TRUE,_xll.PIArcVal(H$6,$D38, 0,"TPI","AUTO"),"")</f>
        <v>2.7573964595794678</v>
      </c>
      <c r="I38" s="160">
        <f>IF(ISNUMBER(_xll.PIArcVal(I$6,$C38, 0,"TPI","AUTO"))=TRUE,_xll.PIArcVal(I$6,$C38, 0,"TPI","AUTO"),"")</f>
        <v>28.095998764038086</v>
      </c>
      <c r="J38" s="160">
        <f>IF(ISNUMBER(_xll.PIArcVal(J$6,$D38, 0,"TPI","AUTO"))=TRUE,_xll.PIArcVal(J$6,$D38, 0,"TPI","AUTO"),"")</f>
        <v>28.106027603149414</v>
      </c>
      <c r="K38" s="160">
        <f>IF(ISNUMBER(_xll.PIArcVal(K$6,$C38, 0,"TPI","AUTO"))=TRUE,_xll.PIArcVal(K$6,$C38, 0,"TPI","AUTO"),"")</f>
        <v>27.450481414794922</v>
      </c>
      <c r="L38" s="160">
        <f>IF(ISNUMBER(_xll.PIArcVal(L$6,$D38, 0,"TPI","AUTO"))=TRUE,_xll.PIArcVal(L$6,$D38, 0,"TPI","AUTO"),"")</f>
        <v>26.031570434570313</v>
      </c>
      <c r="M38" s="160">
        <f>IF(ISNUMBER(_xll.PIArcVal(M$6,$C38, 0,"TPI","AUTO"))=TRUE,_xll.PIArcVal(M$6,$C38, 0,"TPI","AUTO"),"")</f>
        <v>0.10866567492485046</v>
      </c>
      <c r="N38" s="160">
        <f>IF(ISNUMBER(_xll.PIArcVal(N$6,$D38, 0,"TPI","AUTO"))=TRUE,_xll.PIArcVal(N$6,$D38, 0,"TPI","AUTO"),"")</f>
        <v>0.17398174107074738</v>
      </c>
      <c r="O38" s="160">
        <f>IF(ISNUMBER(_xll.PIArcVal(O$6,$C38, 0,"TPI","AUTO"))=TRUE,_xll.PIArcVal(O$6,$C38, 0,"TPI","AUTO"),"")</f>
        <v>29.284639358520508</v>
      </c>
      <c r="P38" s="160">
        <f>IF(ISNUMBER(_xll.PIArcVal(P$6,$D38, 0,"TPI","AUTO"))=TRUE,_xll.PIArcVal(P$6,$D38, 0,"TPI","AUTO"),"")</f>
        <v>28.868711471557617</v>
      </c>
      <c r="Q38" s="160" t="str" cm="1">
        <f t="array" ref="Q38">IF(ISNUMBER(_xll.PIAdvCalcVal($Q$6,$D37,$C38,"average (time-weighted)","time-weighted",0,1,0,"")),IF(_xll.PIAdvCalcVal($Q$6,$D37,$C38,"average (time-weighted)","time-weighted",0,1,0,"")&gt;0,_xll.PIAdvCalcVal($Q$6,$D37,$C38,"average (time-weighted)","time-weighted",0,1,0,""),""),"")</f>
        <v/>
      </c>
      <c r="R38" s="160" cm="1">
        <f t="array" ref="R38">IF(ISNUMBER(_xll.PIAdvCalcVal($Z$6,$C38,$D38,"average (time-weighted)","time-weighted",0,1,0,"")),IF(_xll.PIAdvCalcVal($Z$6,$C38,$D38,"average (time-weighted)","time-weighted",0,1,0,"")&gt;0,_xll.PIAdvCalcVal($Z$6,$C38,$D38,"average (time-weighted)","time-weighted",0,1,0,""),""))</f>
        <v>2.8429899646764953</v>
      </c>
      <c r="S38" s="160">
        <f>IF(ISNUMBER(_xll.PIArcVal(S$6,$C38, 0,"TPI","AUTO"))=TRUE,_xll.PIArcVal(S$6,$C38, 0,"TPI","AUTO"),"")</f>
        <v>0.73820120096206665</v>
      </c>
      <c r="T38" s="160">
        <f>IF(ISNUMBER(_xll.PIArcVal(T$6,$D38, 0,"TPI","AUTO"))=TRUE,_xll.PIArcVal(T$6,$D38, 0,"TPI","AUTO"),"")</f>
        <v>0.7685895562171936</v>
      </c>
      <c r="U38" s="160">
        <f>IF(ISNUMBER(_xll.PIArcVal(U$6,$C38, 0,"TPI","AUTO"))=TRUE,_xll.PIArcVal(U$6,$C38, 0,"TPI","AUTO"),"")</f>
        <v>55.859203338623047</v>
      </c>
      <c r="V38" s="160">
        <f>IF(ISNUMBER(_xll.PIArcVal(V$6,$D38, 0,"TPI","AUTO"))=TRUE,_xll.PIArcVal(V$6,$D38, 0,"TPI","AUTO"),"")</f>
        <v>56.089130401611328</v>
      </c>
      <c r="W38" s="160">
        <f>IF(ISNUMBER(_xll.PIArcVal(W$6,$C38, 0,"TPI","AUTO"))=TRUE,_xll.PIArcVal(W$6,$C38, 0,"TPI","AUTO"),"")</f>
        <v>1.1127415895462036</v>
      </c>
      <c r="X38" s="160">
        <f>IF(ISNUMBER(_xll.PIArcVal(X$6,$D38, 0,"TPI","AUTO"))=TRUE,_xll.PIArcVal(X$6,$D38, 0,"TPI","AUTO"),"")</f>
        <v>1.0138088464736938</v>
      </c>
      <c r="Y38" s="160" cm="1">
        <f t="array" ref="Y38">IF(ISNUMBER(_xll.PIAdvCalcVal($Y$6,$D37,$C38,"average (time-weighted)","time-weighted",0,1,0,"")),IF(_xll.PIAdvCalcVal($Y$6,$D37,$C38,"average (time-weighted)","time-weighted",0,1,0,"")&gt;0,_xll.PIAdvCalcVal($Y$6,$D37,$C38,"average (time-weighted)","time-weighted",0,1,0,""),""))</f>
        <v>2.9324907640740623</v>
      </c>
      <c r="Z38" s="160" cm="1">
        <f t="array" ref="Z38">IF(ISNUMBER(_xll.PIAdvCalcVal($Z$6,$C38,$D38,"average (time-weighted)","time-weighted",0,1,0,"")),IF(_xll.PIAdvCalcVal($Z$6,$C38,$D38,"average (time-weighted)","time-weighted",0,1,0,"")&gt;0,_xll.PIAdvCalcVal($Z$6,$C38,$D38,"average (time-weighted)","time-weighted",0,1,0,""),""))</f>
        <v>2.8429899646764953</v>
      </c>
    </row>
    <row r="39" spans="2:26" ht="16.5" thickBot="1" x14ac:dyDescent="0.3">
      <c r="B39" s="118">
        <f t="shared" si="3"/>
        <v>46278</v>
      </c>
      <c r="C39" s="119">
        <f t="shared" si="0"/>
        <v>46278.770833333336</v>
      </c>
      <c r="D39" s="119">
        <f t="shared" si="2"/>
        <v>46279.270833333336</v>
      </c>
      <c r="E39" s="160">
        <f>IF(ISNUMBER(_xll.PIArcVal(E$6,$C39, 0,"TPI","AUTO"))=TRUE,_xll.PIArcVal(E$6,$C39, 0,"TPI","AUTO"),"")</f>
        <v>23.400463104248047</v>
      </c>
      <c r="F39" s="160" t="str">
        <f>IF(ISNUMBER(_xll.PIArcVal(F$6,$D39, 0,"TPI","AUTO"))=TRUE,_xll.PIArcVal(F$6,$D39, 0,"TPI","AUTO"),"")</f>
        <v/>
      </c>
      <c r="G39" s="160">
        <f>IF(ISNUMBER(_xll.PIArcVal(G$6,$C39, 0,"TPI","AUTO"))=TRUE,_xll.PIArcVal(G$6,$C39, 0,"TPI","AUTO"),"")</f>
        <v>1.8072060346603394</v>
      </c>
      <c r="H39" s="160" t="str">
        <f>IF(ISNUMBER(_xll.PIArcVal(H$6,$D39, 0,"TPI","AUTO"))=TRUE,_xll.PIArcVal(H$6,$D39, 0,"TPI","AUTO"),"")</f>
        <v/>
      </c>
      <c r="I39" s="160">
        <f>IF(ISNUMBER(_xll.PIArcVal(I$6,$C39, 0,"TPI","AUTO"))=TRUE,_xll.PIArcVal(I$6,$C39, 0,"TPI","AUTO"),"")</f>
        <v>27.310827255249023</v>
      </c>
      <c r="J39" s="160" t="str">
        <f>IF(ISNUMBER(_xll.PIArcVal(J$6,$D39, 0,"TPI","AUTO"))=TRUE,_xll.PIArcVal(J$6,$D39, 0,"TPI","AUTO"),"")</f>
        <v/>
      </c>
      <c r="K39" s="160">
        <f>IF(ISNUMBER(_xll.PIArcVal(K$6,$C39, 0,"TPI","AUTO"))=TRUE,_xll.PIArcVal(K$6,$C39, 0,"TPI","AUTO"),"")</f>
        <v>24.849987030029297</v>
      </c>
      <c r="L39" s="160" t="str">
        <f>IF(ISNUMBER(_xll.PIArcVal(L$6,$D39, 0,"TPI","AUTO"))=TRUE,_xll.PIArcVal(L$6,$D39, 0,"TPI","AUTO"),"")</f>
        <v/>
      </c>
      <c r="M39" s="160">
        <f>IF(ISNUMBER(_xll.PIArcVal(M$6,$C39, 0,"TPI","AUTO"))=TRUE,_xll.PIArcVal(M$6,$C39, 0,"TPI","AUTO"),"")</f>
        <v>7.5125448405742645E-2</v>
      </c>
      <c r="N39" s="160" t="str">
        <f>IF(ISNUMBER(_xll.PIArcVal(N$6,$D39, 0,"TPI","AUTO"))=TRUE,_xll.PIArcVal(N$6,$D39, 0,"TPI","AUTO"),"")</f>
        <v/>
      </c>
      <c r="O39" s="160">
        <f>IF(ISNUMBER(_xll.PIArcVal(O$6,$C39, 0,"TPI","AUTO"))=TRUE,_xll.PIArcVal(O$6,$C39, 0,"TPI","AUTO"),"")</f>
        <v>28.761812210083008</v>
      </c>
      <c r="P39" s="160" t="str">
        <f>IF(ISNUMBER(_xll.PIArcVal(P$6,$D39, 0,"TPI","AUTO"))=TRUE,_xll.PIArcVal(P$6,$D39, 0,"TPI","AUTO"),"")</f>
        <v/>
      </c>
      <c r="Q39" s="160" t="str" cm="1">
        <f t="array" ref="Q39">IF(ISNUMBER(_xll.PIAdvCalcVal($Q$6,$D38,$C39,"average (time-weighted)","time-weighted",0,1,0,"")),IF(_xll.PIAdvCalcVal($Q$6,$D38,$C39,"average (time-weighted)","time-weighted",0,1,0,"")&gt;0,_xll.PIAdvCalcVal($Q$6,$D38,$C39,"average (time-weighted)","time-weighted",0,1,0,""),""),"")</f>
        <v/>
      </c>
      <c r="R39" s="160" cm="1">
        <f t="array" ref="R39">IF(ISNUMBER(_xll.PIAdvCalcVal($Z$6,$C39,$D39,"average (time-weighted)","time-weighted",0,1,0,"")),IF(_xll.PIAdvCalcVal($Z$6,$C39,$D39,"average (time-weighted)","time-weighted",0,1,0,"")&gt;0,_xll.PIAdvCalcVal($Z$6,$C39,$D39,"average (time-weighted)","time-weighted",0,1,0,""),""))</f>
        <v>2.7019176203405122</v>
      </c>
      <c r="S39" s="160">
        <f>IF(ISNUMBER(_xll.PIArcVal(S$6,$C39, 0,"TPI","AUTO"))=TRUE,_xll.PIArcVal(S$6,$C39, 0,"TPI","AUTO"),"")</f>
        <v>0.73974072933197021</v>
      </c>
      <c r="T39" s="160" t="str">
        <f>IF(ISNUMBER(_xll.PIArcVal(T$6,$D39, 0,"TPI","AUTO"))=TRUE,_xll.PIArcVal(T$6,$D39, 0,"TPI","AUTO"),"")</f>
        <v/>
      </c>
      <c r="U39" s="160">
        <f>IF(ISNUMBER(_xll.PIArcVal(U$6,$C39, 0,"TPI","AUTO"))=TRUE,_xll.PIArcVal(U$6,$C39, 0,"TPI","AUTO"),"")</f>
        <v>55.927764892578125</v>
      </c>
      <c r="V39" s="160" t="str">
        <f>IF(ISNUMBER(_xll.PIArcVal(V$6,$D39, 0,"TPI","AUTO"))=TRUE,_xll.PIArcVal(V$6,$D39, 0,"TPI","AUTO"),"")</f>
        <v/>
      </c>
      <c r="W39" s="160">
        <f>IF(ISNUMBER(_xll.PIArcVal(W$6,$C39, 0,"TPI","AUTO"))=TRUE,_xll.PIArcVal(W$6,$C39, 0,"TPI","AUTO"),"")</f>
        <v>0.97704309225082397</v>
      </c>
      <c r="X39" s="160" t="str">
        <f>IF(ISNUMBER(_xll.PIArcVal(X$6,$D39, 0,"TPI","AUTO"))=TRUE,_xll.PIArcVal(X$6,$D39, 0,"TPI","AUTO"),"")</f>
        <v/>
      </c>
      <c r="Y39" s="160" cm="1">
        <f t="array" ref="Y39">IF(ISNUMBER(_xll.PIAdvCalcVal($Y$6,$D38,$C39,"average (time-weighted)","time-weighted",0,1,0,"")),IF(_xll.PIAdvCalcVal($Y$6,$D38,$C39,"average (time-weighted)","time-weighted",0,1,0,"")&gt;0,_xll.PIAdvCalcVal($Y$6,$D38,$C39,"average (time-weighted)","time-weighted",0,1,0,""),""))</f>
        <v>2.6101105448434132</v>
      </c>
      <c r="Z39" s="160" cm="1">
        <f t="array" ref="Z39">IF(ISNUMBER(_xll.PIAdvCalcVal($Z$6,$C39,$D39,"average (time-weighted)","time-weighted",0,1,0,"")),IF(_xll.PIAdvCalcVal($Z$6,$C39,$D39,"average (time-weighted)","time-weighted",0,1,0,"")&gt;0,_xll.PIAdvCalcVal($Z$6,$C39,$D39,"average (time-weighted)","time-weighted",0,1,0,""),""))</f>
        <v>2.7019176203405122</v>
      </c>
    </row>
    <row r="40" spans="2:26" ht="16.5" thickBot="1" x14ac:dyDescent="0.3">
      <c r="C40" s="119">
        <f>C39+1</f>
        <v>46279.770833333336</v>
      </c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60" t="str" cm="1">
        <f t="array" ref="Q40">IF(ISNUMBER(_xll.PIAdvCalcVal($Q$6,$D39,$C40,"average (time-weighted)","time-weighted",0,1,0,"")),IF(_xll.PIAdvCalcVal($Q$6,$D39,$C40,"average (time-weighted)","time-weighted",0,1,0,"")&gt;0,_xll.PIAdvCalcVal($Q$6,$D39,$C40,"average (time-weighted)","time-weighted",0,1,0,""),""),"")</f>
        <v/>
      </c>
      <c r="R40" s="160"/>
      <c r="S40" s="121"/>
      <c r="T40" s="121"/>
      <c r="U40" s="121"/>
      <c r="V40" s="121"/>
      <c r="W40" s="121"/>
      <c r="X40" s="121"/>
      <c r="Y40" s="160" t="b" cm="1">
        <f t="array" ref="Y40">IF(ISNUMBER(_xll.PIAdvCalcVal($Y$6,$D39,$C40,"average (time-weighted)","time-weighted",0,1,0,"")),IF(_xll.PIAdvCalcVal($Y$6,$D39,$C40,"average (time-weighted)","time-weighted",0,1,0,"")&gt;0,_xll.PIAdvCalcVal($Y$6,$D39,$C40,"average (time-weighted)","time-weighted",0,1,0,""),""))</f>
        <v>0</v>
      </c>
      <c r="Z40" s="160"/>
    </row>
    <row r="41" spans="2:26" x14ac:dyDescent="0.2">
      <c r="C41" s="61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</row>
    <row r="42" spans="2:26" x14ac:dyDescent="0.2">
      <c r="C42" s="61"/>
      <c r="D42" s="120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</row>
    <row r="43" spans="2:26" x14ac:dyDescent="0.2">
      <c r="C43" s="61"/>
      <c r="D43" s="120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</row>
    <row r="44" spans="2:26" x14ac:dyDescent="0.2">
      <c r="C44" s="61"/>
      <c r="D44" s="120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</row>
    <row r="45" spans="2:26" x14ac:dyDescent="0.2">
      <c r="C45" s="61"/>
      <c r="D45" s="120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</row>
    <row r="46" spans="2:26" x14ac:dyDescent="0.2">
      <c r="C46" s="61"/>
      <c r="D46" s="120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</row>
    <row r="47" spans="2:26" x14ac:dyDescent="0.2">
      <c r="C47" s="61"/>
      <c r="D47" s="120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</row>
    <row r="48" spans="2:26" x14ac:dyDescent="0.2">
      <c r="C48" s="61"/>
      <c r="D48" s="120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</row>
    <row r="49" spans="3:24" x14ac:dyDescent="0.2">
      <c r="C49" s="61"/>
      <c r="D49" s="120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</row>
    <row r="50" spans="3:24" x14ac:dyDescent="0.2">
      <c r="C50" s="61"/>
      <c r="D50" s="120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</row>
    <row r="51" spans="3:24" x14ac:dyDescent="0.2">
      <c r="C51" s="61"/>
      <c r="D51" s="120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</row>
    <row r="52" spans="3:24" x14ac:dyDescent="0.2">
      <c r="C52" s="61"/>
      <c r="D52" s="120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</row>
    <row r="53" spans="3:24" x14ac:dyDescent="0.2">
      <c r="C53" s="61"/>
      <c r="D53" s="120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</row>
    <row r="54" spans="3:24" x14ac:dyDescent="0.2">
      <c r="C54" s="61"/>
      <c r="D54" s="120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</row>
    <row r="55" spans="3:24" x14ac:dyDescent="0.2">
      <c r="C55" s="61"/>
      <c r="D55" s="120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</row>
    <row r="56" spans="3:24" x14ac:dyDescent="0.2">
      <c r="C56" s="61"/>
      <c r="D56" s="120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</row>
    <row r="57" spans="3:24" x14ac:dyDescent="0.2">
      <c r="C57" s="61"/>
      <c r="D57" s="120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</row>
    <row r="58" spans="3:24" x14ac:dyDescent="0.2">
      <c r="C58" s="61"/>
      <c r="D58" s="120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</row>
    <row r="59" spans="3:24" x14ac:dyDescent="0.2">
      <c r="C59" s="61"/>
      <c r="D59" s="120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</row>
    <row r="60" spans="3:24" x14ac:dyDescent="0.2">
      <c r="C60" s="61"/>
      <c r="D60" s="120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</row>
    <row r="61" spans="3:24" x14ac:dyDescent="0.2">
      <c r="C61" s="61"/>
      <c r="D61" s="120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</row>
    <row r="62" spans="3:24" x14ac:dyDescent="0.2">
      <c r="C62" s="61"/>
      <c r="D62" s="120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</row>
    <row r="63" spans="3:24" x14ac:dyDescent="0.2">
      <c r="C63" s="61"/>
      <c r="D63" s="120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</row>
    <row r="64" spans="3:24" x14ac:dyDescent="0.2">
      <c r="C64" s="61"/>
      <c r="D64" s="120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</row>
    <row r="65" spans="3:24" x14ac:dyDescent="0.2">
      <c r="C65" s="61"/>
      <c r="D65" s="120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</row>
    <row r="66" spans="3:24" x14ac:dyDescent="0.2">
      <c r="D66" s="83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</row>
    <row r="67" spans="3:24" x14ac:dyDescent="0.2">
      <c r="D67" s="83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</row>
    <row r="68" spans="3:24" x14ac:dyDescent="0.2">
      <c r="D68" s="83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</row>
    <row r="69" spans="3:24" x14ac:dyDescent="0.2">
      <c r="D69" s="83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</row>
    <row r="70" spans="3:24" x14ac:dyDescent="0.2">
      <c r="D70" s="83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</row>
    <row r="71" spans="3:24" x14ac:dyDescent="0.2">
      <c r="D71" s="83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</row>
    <row r="72" spans="3:24" x14ac:dyDescent="0.2">
      <c r="D72" s="83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</row>
    <row r="73" spans="3:24" x14ac:dyDescent="0.2">
      <c r="D73" s="83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</row>
    <row r="74" spans="3:24" x14ac:dyDescent="0.2">
      <c r="D74" s="83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</row>
    <row r="75" spans="3:24" x14ac:dyDescent="0.2">
      <c r="D75" s="83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</row>
    <row r="76" spans="3:24" x14ac:dyDescent="0.2">
      <c r="D76" s="83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</row>
    <row r="77" spans="3:24" x14ac:dyDescent="0.2">
      <c r="D77" s="83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</row>
    <row r="78" spans="3:24" x14ac:dyDescent="0.2">
      <c r="D78" s="83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</row>
    <row r="79" spans="3:24" x14ac:dyDescent="0.2">
      <c r="D79" s="83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</row>
    <row r="80" spans="3:24" x14ac:dyDescent="0.2">
      <c r="D80" s="83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</row>
    <row r="81" spans="4:24" x14ac:dyDescent="0.2">
      <c r="D81" s="83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</row>
    <row r="82" spans="4:24" x14ac:dyDescent="0.2">
      <c r="D82" s="83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</row>
    <row r="83" spans="4:24" x14ac:dyDescent="0.2">
      <c r="D83" s="83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</row>
    <row r="84" spans="4:24" x14ac:dyDescent="0.2">
      <c r="D84" s="83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</row>
    <row r="85" spans="4:24" x14ac:dyDescent="0.2">
      <c r="D85" s="83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</row>
    <row r="86" spans="4:24" x14ac:dyDescent="0.2">
      <c r="D86" s="83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</row>
    <row r="87" spans="4:24" x14ac:dyDescent="0.2">
      <c r="D87" s="83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</row>
    <row r="88" spans="4:24" x14ac:dyDescent="0.2">
      <c r="D88" s="83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</row>
    <row r="89" spans="4:24" x14ac:dyDescent="0.2">
      <c r="D89" s="83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</row>
    <row r="90" spans="4:24" x14ac:dyDescent="0.2">
      <c r="D90" s="83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</row>
    <row r="91" spans="4:24" x14ac:dyDescent="0.2">
      <c r="D91" s="83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</row>
    <row r="92" spans="4:24" x14ac:dyDescent="0.2">
      <c r="D92" s="83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</row>
    <row r="93" spans="4:24" x14ac:dyDescent="0.2">
      <c r="D93" s="83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</row>
    <row r="94" spans="4:24" x14ac:dyDescent="0.2">
      <c r="D94" s="83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</row>
    <row r="95" spans="4:24" x14ac:dyDescent="0.2">
      <c r="D95" s="83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</row>
    <row r="96" spans="4:24" x14ac:dyDescent="0.2">
      <c r="D96" s="83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</row>
    <row r="97" spans="4:24" x14ac:dyDescent="0.2">
      <c r="D97" s="83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</row>
    <row r="98" spans="4:24" x14ac:dyDescent="0.2">
      <c r="D98" s="83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</row>
    <row r="99" spans="4:24" x14ac:dyDescent="0.2">
      <c r="D99" s="83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</row>
    <row r="100" spans="4:24" x14ac:dyDescent="0.2">
      <c r="D100" s="83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</row>
    <row r="101" spans="4:24" x14ac:dyDescent="0.2">
      <c r="D101" s="83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</row>
    <row r="102" spans="4:24" x14ac:dyDescent="0.2">
      <c r="D102" s="83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</row>
    <row r="103" spans="4:24" x14ac:dyDescent="0.2">
      <c r="D103" s="83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</row>
    <row r="104" spans="4:24" x14ac:dyDescent="0.2">
      <c r="D104" s="83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</row>
    <row r="105" spans="4:24" x14ac:dyDescent="0.2">
      <c r="D105" s="83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</row>
    <row r="106" spans="4:24" x14ac:dyDescent="0.2">
      <c r="D106" s="83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</row>
    <row r="107" spans="4:24" x14ac:dyDescent="0.2">
      <c r="D107" s="83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</row>
    <row r="108" spans="4:24" x14ac:dyDescent="0.2">
      <c r="D108" s="83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</row>
    <row r="109" spans="4:24" x14ac:dyDescent="0.2">
      <c r="D109" s="83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</row>
    <row r="110" spans="4:24" x14ac:dyDescent="0.2">
      <c r="D110" s="83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</row>
    <row r="111" spans="4:24" x14ac:dyDescent="0.2">
      <c r="D111" s="83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</row>
    <row r="112" spans="4:24" x14ac:dyDescent="0.2">
      <c r="D112" s="83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</row>
    <row r="113" spans="4:24" x14ac:dyDescent="0.2">
      <c r="D113" s="83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</row>
    <row r="114" spans="4:24" x14ac:dyDescent="0.2">
      <c r="D114" s="83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</row>
    <row r="115" spans="4:24" x14ac:dyDescent="0.2">
      <c r="D115" s="83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</row>
    <row r="116" spans="4:24" x14ac:dyDescent="0.2">
      <c r="D116" s="83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</row>
    <row r="117" spans="4:24" x14ac:dyDescent="0.2">
      <c r="D117" s="83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</row>
    <row r="118" spans="4:24" x14ac:dyDescent="0.2">
      <c r="D118" s="83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</row>
    <row r="119" spans="4:24" x14ac:dyDescent="0.2">
      <c r="D119" s="83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</row>
    <row r="120" spans="4:24" x14ac:dyDescent="0.2">
      <c r="D120" s="83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</row>
    <row r="121" spans="4:24" x14ac:dyDescent="0.2">
      <c r="D121" s="83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</row>
    <row r="122" spans="4:24" x14ac:dyDescent="0.2">
      <c r="D122" s="83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</row>
    <row r="123" spans="4:24" x14ac:dyDescent="0.2">
      <c r="D123" s="83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</row>
    <row r="124" spans="4:24" x14ac:dyDescent="0.2">
      <c r="D124" s="83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</row>
    <row r="125" spans="4:24" x14ac:dyDescent="0.2">
      <c r="D125" s="83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</row>
    <row r="126" spans="4:24" x14ac:dyDescent="0.2">
      <c r="D126" s="83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</row>
    <row r="127" spans="4:24" x14ac:dyDescent="0.2">
      <c r="D127" s="83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</row>
    <row r="128" spans="4:24" x14ac:dyDescent="0.2">
      <c r="D128" s="83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</row>
    <row r="129" spans="4:24" x14ac:dyDescent="0.2">
      <c r="D129" s="83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</row>
    <row r="130" spans="4:24" x14ac:dyDescent="0.2">
      <c r="D130" s="83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</row>
    <row r="131" spans="4:24" x14ac:dyDescent="0.2">
      <c r="D131" s="83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</row>
    <row r="132" spans="4:24" x14ac:dyDescent="0.2">
      <c r="D132" s="83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</row>
    <row r="133" spans="4:24" x14ac:dyDescent="0.2">
      <c r="D133" s="83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</row>
    <row r="134" spans="4:24" x14ac:dyDescent="0.2">
      <c r="D134" s="83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</row>
    <row r="135" spans="4:24" x14ac:dyDescent="0.2">
      <c r="D135" s="83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</row>
    <row r="136" spans="4:24" x14ac:dyDescent="0.2">
      <c r="D136" s="83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</row>
    <row r="137" spans="4:24" x14ac:dyDescent="0.2">
      <c r="D137" s="83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</row>
    <row r="138" spans="4:24" x14ac:dyDescent="0.2">
      <c r="D138" s="83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</row>
    <row r="139" spans="4:24" x14ac:dyDescent="0.2">
      <c r="D139" s="83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</row>
    <row r="140" spans="4:24" x14ac:dyDescent="0.2">
      <c r="D140" s="83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</row>
    <row r="141" spans="4:24" x14ac:dyDescent="0.2">
      <c r="D141" s="83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</row>
    <row r="142" spans="4:24" x14ac:dyDescent="0.2">
      <c r="D142" s="83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</row>
    <row r="143" spans="4:24" x14ac:dyDescent="0.2">
      <c r="D143" s="83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</row>
    <row r="144" spans="4:24" x14ac:dyDescent="0.2">
      <c r="D144" s="83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</row>
    <row r="145" spans="4:24" x14ac:dyDescent="0.2">
      <c r="D145" s="83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</row>
    <row r="146" spans="4:24" x14ac:dyDescent="0.2">
      <c r="D146" s="83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</row>
    <row r="147" spans="4:24" x14ac:dyDescent="0.2">
      <c r="D147" s="83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</row>
    <row r="148" spans="4:24" x14ac:dyDescent="0.2">
      <c r="D148" s="83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</row>
    <row r="149" spans="4:24" x14ac:dyDescent="0.2">
      <c r="D149" s="83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</row>
    <row r="150" spans="4:24" x14ac:dyDescent="0.2">
      <c r="D150" s="83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</row>
    <row r="151" spans="4:24" x14ac:dyDescent="0.2">
      <c r="D151" s="83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</row>
    <row r="152" spans="4:24" x14ac:dyDescent="0.2">
      <c r="D152" s="83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</row>
    <row r="153" spans="4:24" x14ac:dyDescent="0.2">
      <c r="D153" s="83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</row>
    <row r="154" spans="4:24" x14ac:dyDescent="0.2">
      <c r="D154" s="83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</row>
    <row r="155" spans="4:24" x14ac:dyDescent="0.2">
      <c r="D155" s="83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</row>
    <row r="156" spans="4:24" x14ac:dyDescent="0.2">
      <c r="D156" s="83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</row>
    <row r="157" spans="4:24" x14ac:dyDescent="0.2">
      <c r="D157" s="83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</row>
    <row r="158" spans="4:24" x14ac:dyDescent="0.2">
      <c r="D158" s="83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</row>
    <row r="159" spans="4:24" x14ac:dyDescent="0.2">
      <c r="D159" s="83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</row>
    <row r="160" spans="4:24" x14ac:dyDescent="0.2">
      <c r="D160" s="83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</row>
    <row r="161" spans="4:24" x14ac:dyDescent="0.2">
      <c r="D161" s="83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</row>
    <row r="162" spans="4:24" x14ac:dyDescent="0.2">
      <c r="D162" s="83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</row>
    <row r="163" spans="4:24" x14ac:dyDescent="0.2">
      <c r="D163" s="83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</row>
    <row r="164" spans="4:24" x14ac:dyDescent="0.2">
      <c r="D164" s="83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</row>
    <row r="165" spans="4:24" x14ac:dyDescent="0.2">
      <c r="D165" s="83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</row>
    <row r="166" spans="4:24" x14ac:dyDescent="0.2">
      <c r="D166" s="83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</row>
    <row r="167" spans="4:24" x14ac:dyDescent="0.2">
      <c r="D167" s="83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</row>
    <row r="168" spans="4:24" x14ac:dyDescent="0.2">
      <c r="D168" s="83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</row>
    <row r="169" spans="4:24" x14ac:dyDescent="0.2">
      <c r="D169" s="83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</row>
    <row r="170" spans="4:24" x14ac:dyDescent="0.2">
      <c r="D170" s="83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</row>
    <row r="171" spans="4:24" x14ac:dyDescent="0.2">
      <c r="D171" s="83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</row>
    <row r="172" spans="4:24" x14ac:dyDescent="0.2">
      <c r="D172" s="83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</row>
    <row r="173" spans="4:24" x14ac:dyDescent="0.2">
      <c r="D173" s="83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</row>
    <row r="174" spans="4:24" x14ac:dyDescent="0.2">
      <c r="D174" s="83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</row>
    <row r="175" spans="4:24" x14ac:dyDescent="0.2">
      <c r="D175" s="83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</row>
    <row r="176" spans="4:24" x14ac:dyDescent="0.2">
      <c r="D176" s="83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</row>
    <row r="177" spans="4:24" x14ac:dyDescent="0.2">
      <c r="D177" s="83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</row>
    <row r="178" spans="4:24" x14ac:dyDescent="0.2">
      <c r="D178" s="83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</row>
    <row r="179" spans="4:24" x14ac:dyDescent="0.2">
      <c r="D179" s="83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</row>
    <row r="180" spans="4:24" x14ac:dyDescent="0.2">
      <c r="D180" s="83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</row>
    <row r="181" spans="4:24" x14ac:dyDescent="0.2">
      <c r="D181" s="83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</row>
    <row r="182" spans="4:24" x14ac:dyDescent="0.2">
      <c r="D182" s="83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</row>
    <row r="183" spans="4:24" x14ac:dyDescent="0.2">
      <c r="D183" s="83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</row>
    <row r="184" spans="4:24" x14ac:dyDescent="0.2">
      <c r="D184" s="83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</row>
    <row r="185" spans="4:24" x14ac:dyDescent="0.2">
      <c r="D185" s="83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</row>
    <row r="186" spans="4:24" x14ac:dyDescent="0.2">
      <c r="D186" s="83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</row>
    <row r="187" spans="4:24" x14ac:dyDescent="0.2">
      <c r="D187" s="83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</row>
    <row r="188" spans="4:24" x14ac:dyDescent="0.2">
      <c r="D188" s="83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</row>
    <row r="189" spans="4:24" x14ac:dyDescent="0.2">
      <c r="D189" s="83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</row>
    <row r="190" spans="4:24" x14ac:dyDescent="0.2">
      <c r="D190" s="83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</row>
    <row r="191" spans="4:24" x14ac:dyDescent="0.2">
      <c r="D191" s="83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</row>
    <row r="192" spans="4:24" x14ac:dyDescent="0.2">
      <c r="D192" s="83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</row>
    <row r="193" spans="4:24" x14ac:dyDescent="0.2">
      <c r="D193" s="83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</row>
    <row r="194" spans="4:24" x14ac:dyDescent="0.2">
      <c r="D194" s="83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</row>
    <row r="195" spans="4:24" x14ac:dyDescent="0.2">
      <c r="D195" s="83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</row>
    <row r="196" spans="4:24" x14ac:dyDescent="0.2">
      <c r="D196" s="83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</row>
    <row r="197" spans="4:24" x14ac:dyDescent="0.2">
      <c r="D197" s="83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</row>
    <row r="198" spans="4:24" x14ac:dyDescent="0.2">
      <c r="D198" s="83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</row>
    <row r="199" spans="4:24" x14ac:dyDescent="0.2">
      <c r="D199" s="83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</row>
    <row r="200" spans="4:24" x14ac:dyDescent="0.2">
      <c r="D200" s="83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</row>
    <row r="201" spans="4:24" x14ac:dyDescent="0.2">
      <c r="D201" s="83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</row>
    <row r="202" spans="4:24" x14ac:dyDescent="0.2">
      <c r="D202" s="83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</row>
    <row r="203" spans="4:24" x14ac:dyDescent="0.2">
      <c r="D203" s="83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</row>
    <row r="204" spans="4:24" x14ac:dyDescent="0.2">
      <c r="D204" s="83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</row>
    <row r="205" spans="4:24" x14ac:dyDescent="0.2">
      <c r="D205" s="83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</row>
    <row r="206" spans="4:24" x14ac:dyDescent="0.2">
      <c r="D206" s="83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</row>
    <row r="207" spans="4:24" x14ac:dyDescent="0.2">
      <c r="D207" s="83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</row>
    <row r="208" spans="4:24" x14ac:dyDescent="0.2">
      <c r="D208" s="83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</row>
    <row r="209" spans="4:24" x14ac:dyDescent="0.2">
      <c r="D209" s="83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</row>
    <row r="210" spans="4:24" x14ac:dyDescent="0.2">
      <c r="D210" s="83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</row>
    <row r="211" spans="4:24" x14ac:dyDescent="0.2">
      <c r="D211" s="83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</row>
    <row r="212" spans="4:24" x14ac:dyDescent="0.2">
      <c r="D212" s="83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</row>
    <row r="213" spans="4:24" x14ac:dyDescent="0.2">
      <c r="D213" s="83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</row>
    <row r="214" spans="4:24" x14ac:dyDescent="0.2">
      <c r="D214" s="83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</row>
    <row r="215" spans="4:24" x14ac:dyDescent="0.2">
      <c r="D215" s="83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</row>
    <row r="216" spans="4:24" x14ac:dyDescent="0.2">
      <c r="D216" s="83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</row>
    <row r="217" spans="4:24" x14ac:dyDescent="0.2">
      <c r="D217" s="83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</row>
    <row r="218" spans="4:24" x14ac:dyDescent="0.2">
      <c r="D218" s="83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</row>
    <row r="219" spans="4:24" x14ac:dyDescent="0.2">
      <c r="D219" s="83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</row>
    <row r="220" spans="4:24" x14ac:dyDescent="0.2">
      <c r="D220" s="83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</row>
    <row r="221" spans="4:24" x14ac:dyDescent="0.2">
      <c r="D221" s="83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</row>
    <row r="222" spans="4:24" x14ac:dyDescent="0.2">
      <c r="D222" s="83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</row>
    <row r="223" spans="4:24" x14ac:dyDescent="0.2">
      <c r="D223" s="83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</row>
    <row r="224" spans="4:24" x14ac:dyDescent="0.2">
      <c r="D224" s="83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</row>
    <row r="225" spans="4:24" x14ac:dyDescent="0.2">
      <c r="D225" s="83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</row>
    <row r="226" spans="4:24" x14ac:dyDescent="0.2">
      <c r="D226" s="83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</row>
    <row r="227" spans="4:24" x14ac:dyDescent="0.2">
      <c r="D227" s="83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</row>
    <row r="228" spans="4:24" x14ac:dyDescent="0.2">
      <c r="D228" s="83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</row>
    <row r="229" spans="4:24" x14ac:dyDescent="0.2">
      <c r="D229" s="83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</row>
    <row r="230" spans="4:24" x14ac:dyDescent="0.2">
      <c r="D230" s="83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</row>
    <row r="231" spans="4:24" x14ac:dyDescent="0.2">
      <c r="D231" s="83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</row>
    <row r="232" spans="4:24" x14ac:dyDescent="0.2">
      <c r="D232" s="83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</row>
    <row r="233" spans="4:24" x14ac:dyDescent="0.2">
      <c r="D233" s="83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</row>
    <row r="234" spans="4:24" x14ac:dyDescent="0.2">
      <c r="D234" s="83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</row>
    <row r="235" spans="4:24" x14ac:dyDescent="0.2">
      <c r="D235" s="83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</row>
    <row r="236" spans="4:24" x14ac:dyDescent="0.2">
      <c r="D236" s="83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</row>
    <row r="237" spans="4:24" x14ac:dyDescent="0.2">
      <c r="D237" s="83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</row>
    <row r="238" spans="4:24" x14ac:dyDescent="0.2">
      <c r="D238" s="83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</row>
    <row r="239" spans="4:24" x14ac:dyDescent="0.2">
      <c r="D239" s="83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</row>
    <row r="240" spans="4:24" x14ac:dyDescent="0.2">
      <c r="D240" s="83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</row>
    <row r="241" spans="4:24" x14ac:dyDescent="0.2">
      <c r="D241" s="83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</row>
    <row r="242" spans="4:24" x14ac:dyDescent="0.2">
      <c r="D242" s="83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</row>
    <row r="243" spans="4:24" x14ac:dyDescent="0.2">
      <c r="D243" s="83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</row>
    <row r="244" spans="4:24" x14ac:dyDescent="0.2">
      <c r="D244" s="83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</row>
    <row r="245" spans="4:24" x14ac:dyDescent="0.2">
      <c r="D245" s="83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</row>
    <row r="246" spans="4:24" x14ac:dyDescent="0.2">
      <c r="D246" s="83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</row>
    <row r="247" spans="4:24" x14ac:dyDescent="0.2">
      <c r="D247" s="83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</row>
    <row r="248" spans="4:24" x14ac:dyDescent="0.2">
      <c r="D248" s="83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</row>
    <row r="249" spans="4:24" x14ac:dyDescent="0.2">
      <c r="D249" s="83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</row>
    <row r="250" spans="4:24" x14ac:dyDescent="0.2">
      <c r="D250" s="83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</row>
    <row r="251" spans="4:24" x14ac:dyDescent="0.2">
      <c r="D251" s="83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</row>
    <row r="252" spans="4:24" x14ac:dyDescent="0.2">
      <c r="D252" s="83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</row>
    <row r="253" spans="4:24" x14ac:dyDescent="0.2">
      <c r="D253" s="83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</row>
    <row r="254" spans="4:24" x14ac:dyDescent="0.2">
      <c r="D254" s="83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</row>
    <row r="255" spans="4:24" x14ac:dyDescent="0.2">
      <c r="D255" s="83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</row>
    <row r="256" spans="4:24" x14ac:dyDescent="0.2">
      <c r="D256" s="83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</row>
    <row r="257" spans="4:24" x14ac:dyDescent="0.2">
      <c r="D257" s="83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</row>
    <row r="258" spans="4:24" x14ac:dyDescent="0.2">
      <c r="D258" s="83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</row>
    <row r="259" spans="4:24" x14ac:dyDescent="0.2">
      <c r="D259" s="83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</row>
    <row r="260" spans="4:24" x14ac:dyDescent="0.2">
      <c r="D260" s="83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</row>
    <row r="261" spans="4:24" x14ac:dyDescent="0.2">
      <c r="D261" s="83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</row>
    <row r="262" spans="4:24" x14ac:dyDescent="0.2">
      <c r="D262" s="83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</row>
    <row r="263" spans="4:24" x14ac:dyDescent="0.2">
      <c r="D263" s="83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</row>
    <row r="264" spans="4:24" x14ac:dyDescent="0.2">
      <c r="D264" s="83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</row>
    <row r="265" spans="4:24" x14ac:dyDescent="0.2">
      <c r="D265" s="83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</row>
    <row r="266" spans="4:24" x14ac:dyDescent="0.2">
      <c r="D266" s="83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</row>
    <row r="267" spans="4:24" x14ac:dyDescent="0.2">
      <c r="D267" s="83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</row>
    <row r="268" spans="4:24" x14ac:dyDescent="0.2">
      <c r="D268" s="83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</row>
    <row r="269" spans="4:24" x14ac:dyDescent="0.2">
      <c r="D269" s="83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</row>
    <row r="270" spans="4:24" x14ac:dyDescent="0.2">
      <c r="D270" s="83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</row>
    <row r="271" spans="4:24" x14ac:dyDescent="0.2">
      <c r="D271" s="83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</row>
    <row r="272" spans="4:24" x14ac:dyDescent="0.2">
      <c r="D272" s="83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</row>
    <row r="273" spans="4:24" x14ac:dyDescent="0.2">
      <c r="D273" s="83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</row>
    <row r="274" spans="4:24" x14ac:dyDescent="0.2">
      <c r="D274" s="83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</row>
    <row r="275" spans="4:24" x14ac:dyDescent="0.2">
      <c r="D275" s="83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</row>
    <row r="276" spans="4:24" x14ac:dyDescent="0.2">
      <c r="D276" s="83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</row>
    <row r="277" spans="4:24" x14ac:dyDescent="0.2">
      <c r="D277" s="83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</row>
    <row r="278" spans="4:24" x14ac:dyDescent="0.2">
      <c r="D278" s="83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</row>
    <row r="279" spans="4:24" x14ac:dyDescent="0.2">
      <c r="D279" s="83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</row>
    <row r="280" spans="4:24" x14ac:dyDescent="0.2">
      <c r="D280" s="83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</row>
    <row r="281" spans="4:24" x14ac:dyDescent="0.2">
      <c r="D281" s="83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</row>
    <row r="282" spans="4:24" x14ac:dyDescent="0.2">
      <c r="D282" s="83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</row>
    <row r="283" spans="4:24" x14ac:dyDescent="0.2">
      <c r="D283" s="83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</row>
    <row r="284" spans="4:24" x14ac:dyDescent="0.2">
      <c r="D284" s="83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</row>
    <row r="285" spans="4:24" x14ac:dyDescent="0.2">
      <c r="D285" s="83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</row>
    <row r="286" spans="4:24" x14ac:dyDescent="0.2">
      <c r="D286" s="83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</row>
    <row r="287" spans="4:24" x14ac:dyDescent="0.2">
      <c r="D287" s="83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</row>
    <row r="288" spans="4:24" x14ac:dyDescent="0.2">
      <c r="D288" s="83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</row>
    <row r="289" spans="4:24" x14ac:dyDescent="0.2">
      <c r="D289" s="83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</row>
    <row r="290" spans="4:24" x14ac:dyDescent="0.2">
      <c r="D290" s="83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</row>
    <row r="291" spans="4:24" x14ac:dyDescent="0.2">
      <c r="D291" s="83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</row>
    <row r="292" spans="4:24" x14ac:dyDescent="0.2">
      <c r="D292" s="83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</row>
    <row r="293" spans="4:24" x14ac:dyDescent="0.2">
      <c r="D293" s="83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</row>
    <row r="294" spans="4:24" x14ac:dyDescent="0.2">
      <c r="D294" s="83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</row>
    <row r="295" spans="4:24" x14ac:dyDescent="0.2">
      <c r="D295" s="83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</row>
    <row r="296" spans="4:24" x14ac:dyDescent="0.2">
      <c r="D296" s="83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</row>
    <row r="297" spans="4:24" x14ac:dyDescent="0.2">
      <c r="D297" s="83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</row>
    <row r="298" spans="4:24" x14ac:dyDescent="0.2">
      <c r="D298" s="83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</row>
    <row r="299" spans="4:24" x14ac:dyDescent="0.2">
      <c r="D299" s="83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</row>
    <row r="300" spans="4:24" x14ac:dyDescent="0.2">
      <c r="D300" s="83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</row>
    <row r="301" spans="4:24" x14ac:dyDescent="0.2">
      <c r="D301" s="83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</row>
    <row r="302" spans="4:24" x14ac:dyDescent="0.2">
      <c r="D302" s="83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</row>
    <row r="303" spans="4:24" x14ac:dyDescent="0.2">
      <c r="D303" s="83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</row>
    <row r="304" spans="4:24" x14ac:dyDescent="0.2">
      <c r="D304" s="83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</row>
    <row r="305" spans="4:24" x14ac:dyDescent="0.2">
      <c r="D305" s="83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</row>
    <row r="306" spans="4:24" x14ac:dyDescent="0.2">
      <c r="D306" s="83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</row>
    <row r="307" spans="4:24" x14ac:dyDescent="0.2">
      <c r="D307" s="83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</row>
    <row r="308" spans="4:24" x14ac:dyDescent="0.2">
      <c r="D308" s="83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</row>
    <row r="309" spans="4:24" x14ac:dyDescent="0.2">
      <c r="D309" s="83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</row>
    <row r="310" spans="4:24" x14ac:dyDescent="0.2">
      <c r="D310" s="83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</row>
    <row r="311" spans="4:24" x14ac:dyDescent="0.2">
      <c r="D311" s="83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</row>
    <row r="312" spans="4:24" x14ac:dyDescent="0.2">
      <c r="D312" s="83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</row>
    <row r="313" spans="4:24" x14ac:dyDescent="0.2">
      <c r="D313" s="83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</row>
    <row r="314" spans="4:24" x14ac:dyDescent="0.2">
      <c r="D314" s="83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</row>
    <row r="315" spans="4:24" x14ac:dyDescent="0.2">
      <c r="D315" s="83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</row>
    <row r="316" spans="4:24" x14ac:dyDescent="0.2">
      <c r="D316" s="83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</row>
    <row r="317" spans="4:24" x14ac:dyDescent="0.2">
      <c r="D317" s="83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</row>
    <row r="318" spans="4:24" x14ac:dyDescent="0.2">
      <c r="D318" s="83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</row>
    <row r="319" spans="4:24" x14ac:dyDescent="0.2">
      <c r="D319" s="83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</row>
    <row r="320" spans="4:24" x14ac:dyDescent="0.2">
      <c r="D320" s="83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</row>
    <row r="321" spans="4:24" x14ac:dyDescent="0.2">
      <c r="D321" s="83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</row>
    <row r="322" spans="4:24" x14ac:dyDescent="0.2">
      <c r="D322" s="83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</row>
    <row r="323" spans="4:24" x14ac:dyDescent="0.2">
      <c r="D323" s="83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</row>
    <row r="324" spans="4:24" x14ac:dyDescent="0.2">
      <c r="D324" s="83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</row>
    <row r="325" spans="4:24" x14ac:dyDescent="0.2">
      <c r="D325" s="83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</row>
    <row r="326" spans="4:24" x14ac:dyDescent="0.2">
      <c r="D326" s="83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</row>
    <row r="327" spans="4:24" x14ac:dyDescent="0.2">
      <c r="D327" s="83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</row>
    <row r="328" spans="4:24" x14ac:dyDescent="0.2">
      <c r="D328" s="83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</row>
    <row r="329" spans="4:24" x14ac:dyDescent="0.2">
      <c r="D329" s="83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</row>
    <row r="330" spans="4:24" x14ac:dyDescent="0.2">
      <c r="D330" s="83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</row>
    <row r="331" spans="4:24" x14ac:dyDescent="0.2">
      <c r="D331" s="83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</row>
    <row r="332" spans="4:24" x14ac:dyDescent="0.2">
      <c r="D332" s="83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</row>
    <row r="333" spans="4:24" x14ac:dyDescent="0.2">
      <c r="D333" s="83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</row>
    <row r="334" spans="4:24" x14ac:dyDescent="0.2">
      <c r="D334" s="83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</row>
    <row r="335" spans="4:24" x14ac:dyDescent="0.2">
      <c r="D335" s="83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</row>
    <row r="336" spans="4:24" x14ac:dyDescent="0.2">
      <c r="D336" s="83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</row>
    <row r="337" spans="4:24" x14ac:dyDescent="0.2">
      <c r="D337" s="83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</row>
    <row r="338" spans="4:24" x14ac:dyDescent="0.2">
      <c r="D338" s="83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</row>
    <row r="339" spans="4:24" x14ac:dyDescent="0.2">
      <c r="D339" s="83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</row>
    <row r="340" spans="4:24" x14ac:dyDescent="0.2">
      <c r="D340" s="83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</row>
    <row r="341" spans="4:24" x14ac:dyDescent="0.2">
      <c r="D341" s="83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</row>
    <row r="342" spans="4:24" x14ac:dyDescent="0.2">
      <c r="D342" s="83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</row>
    <row r="343" spans="4:24" x14ac:dyDescent="0.2">
      <c r="D343" s="83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</row>
    <row r="344" spans="4:24" x14ac:dyDescent="0.2">
      <c r="D344" s="83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</row>
    <row r="345" spans="4:24" x14ac:dyDescent="0.2">
      <c r="D345" s="83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</row>
    <row r="346" spans="4:24" x14ac:dyDescent="0.2">
      <c r="D346" s="83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</row>
    <row r="347" spans="4:24" x14ac:dyDescent="0.2">
      <c r="D347" s="83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</row>
    <row r="348" spans="4:24" x14ac:dyDescent="0.2">
      <c r="D348" s="83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</row>
    <row r="349" spans="4:24" x14ac:dyDescent="0.2">
      <c r="D349" s="83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</row>
    <row r="350" spans="4:24" x14ac:dyDescent="0.2">
      <c r="D350" s="83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</row>
    <row r="351" spans="4:24" x14ac:dyDescent="0.2">
      <c r="D351" s="83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</row>
    <row r="352" spans="4:24" x14ac:dyDescent="0.2">
      <c r="D352" s="83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</row>
    <row r="353" spans="4:24" x14ac:dyDescent="0.2">
      <c r="D353" s="83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</row>
    <row r="354" spans="4:24" x14ac:dyDescent="0.2">
      <c r="D354" s="83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</row>
    <row r="355" spans="4:24" x14ac:dyDescent="0.2">
      <c r="D355" s="83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</row>
    <row r="356" spans="4:24" x14ac:dyDescent="0.2">
      <c r="D356" s="83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</row>
    <row r="357" spans="4:24" x14ac:dyDescent="0.2">
      <c r="D357" s="83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</row>
    <row r="358" spans="4:24" x14ac:dyDescent="0.2">
      <c r="D358" s="83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</row>
    <row r="359" spans="4:24" x14ac:dyDescent="0.2">
      <c r="D359" s="83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</row>
    <row r="360" spans="4:24" x14ac:dyDescent="0.2">
      <c r="D360" s="83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</row>
    <row r="361" spans="4:24" x14ac:dyDescent="0.2">
      <c r="D361" s="83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</row>
    <row r="362" spans="4:24" x14ac:dyDescent="0.2">
      <c r="D362" s="83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</row>
    <row r="363" spans="4:24" x14ac:dyDescent="0.2">
      <c r="D363" s="83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</row>
    <row r="364" spans="4:24" x14ac:dyDescent="0.2">
      <c r="D364" s="83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</row>
    <row r="365" spans="4:24" x14ac:dyDescent="0.2">
      <c r="D365" s="83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</row>
    <row r="366" spans="4:24" x14ac:dyDescent="0.2">
      <c r="D366" s="83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</row>
    <row r="367" spans="4:24" x14ac:dyDescent="0.2">
      <c r="D367" s="83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</row>
    <row r="368" spans="4:24" x14ac:dyDescent="0.2">
      <c r="D368" s="83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</row>
    <row r="369" spans="4:24" x14ac:dyDescent="0.2">
      <c r="D369" s="83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</row>
    <row r="370" spans="4:24" x14ac:dyDescent="0.2">
      <c r="D370" s="83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</row>
    <row r="371" spans="4:24" x14ac:dyDescent="0.2">
      <c r="D371" s="83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</row>
    <row r="372" spans="4:24" x14ac:dyDescent="0.2">
      <c r="D372" s="83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</row>
    <row r="373" spans="4:24" x14ac:dyDescent="0.2">
      <c r="D373" s="83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</row>
    <row r="374" spans="4:24" x14ac:dyDescent="0.2">
      <c r="D374" s="83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</row>
    <row r="375" spans="4:24" x14ac:dyDescent="0.2">
      <c r="D375" s="83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</row>
    <row r="376" spans="4:24" x14ac:dyDescent="0.2">
      <c r="D376" s="83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</row>
    <row r="377" spans="4:24" x14ac:dyDescent="0.2">
      <c r="D377" s="83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</row>
    <row r="378" spans="4:24" x14ac:dyDescent="0.2">
      <c r="D378" s="83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</row>
    <row r="379" spans="4:24" x14ac:dyDescent="0.2">
      <c r="D379" s="83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</row>
    <row r="380" spans="4:24" x14ac:dyDescent="0.2">
      <c r="D380" s="83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</row>
    <row r="381" spans="4:24" x14ac:dyDescent="0.2">
      <c r="D381" s="83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</row>
    <row r="382" spans="4:24" x14ac:dyDescent="0.2">
      <c r="D382" s="83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</row>
    <row r="383" spans="4:24" x14ac:dyDescent="0.2">
      <c r="D383" s="83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</row>
    <row r="384" spans="4:24" x14ac:dyDescent="0.2">
      <c r="D384" s="83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</row>
    <row r="385" spans="4:24" x14ac:dyDescent="0.2">
      <c r="D385" s="83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</row>
    <row r="386" spans="4:24" x14ac:dyDescent="0.2">
      <c r="D386" s="83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</row>
    <row r="387" spans="4:24" x14ac:dyDescent="0.2">
      <c r="D387" s="83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</row>
    <row r="388" spans="4:24" x14ac:dyDescent="0.2">
      <c r="D388" s="83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</row>
    <row r="389" spans="4:24" x14ac:dyDescent="0.2">
      <c r="D389" s="83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</row>
    <row r="390" spans="4:24" x14ac:dyDescent="0.2">
      <c r="D390" s="83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</row>
    <row r="391" spans="4:24" x14ac:dyDescent="0.2">
      <c r="D391" s="83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</row>
    <row r="392" spans="4:24" x14ac:dyDescent="0.2">
      <c r="D392" s="83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</row>
    <row r="393" spans="4:24" x14ac:dyDescent="0.2">
      <c r="D393" s="83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</row>
    <row r="394" spans="4:24" x14ac:dyDescent="0.2">
      <c r="D394" s="83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</row>
    <row r="395" spans="4:24" x14ac:dyDescent="0.2">
      <c r="D395" s="83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</row>
    <row r="396" spans="4:24" x14ac:dyDescent="0.2">
      <c r="D396" s="83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</row>
    <row r="397" spans="4:24" x14ac:dyDescent="0.2">
      <c r="D397" s="83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</row>
    <row r="398" spans="4:24" x14ac:dyDescent="0.2">
      <c r="D398" s="83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</row>
    <row r="399" spans="4:24" x14ac:dyDescent="0.2">
      <c r="D399" s="83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</row>
    <row r="400" spans="4:24" x14ac:dyDescent="0.2">
      <c r="D400" s="83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</row>
    <row r="401" spans="4:24" x14ac:dyDescent="0.2">
      <c r="D401" s="83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</row>
    <row r="402" spans="4:24" x14ac:dyDescent="0.2">
      <c r="D402" s="83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</row>
    <row r="403" spans="4:24" x14ac:dyDescent="0.2">
      <c r="D403" s="83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</row>
    <row r="404" spans="4:24" x14ac:dyDescent="0.2">
      <c r="D404" s="83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</row>
    <row r="405" spans="4:24" x14ac:dyDescent="0.2">
      <c r="D405" s="83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</row>
    <row r="406" spans="4:24" x14ac:dyDescent="0.2">
      <c r="D406" s="83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</row>
    <row r="407" spans="4:24" x14ac:dyDescent="0.2">
      <c r="D407" s="83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</row>
    <row r="408" spans="4:24" x14ac:dyDescent="0.2">
      <c r="D408" s="83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</row>
    <row r="409" spans="4:24" x14ac:dyDescent="0.2">
      <c r="D409" s="83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</row>
    <row r="410" spans="4:24" x14ac:dyDescent="0.2">
      <c r="D410" s="83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</row>
    <row r="411" spans="4:24" x14ac:dyDescent="0.2">
      <c r="D411" s="83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</row>
    <row r="412" spans="4:24" x14ac:dyDescent="0.2">
      <c r="D412" s="83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</row>
    <row r="413" spans="4:24" x14ac:dyDescent="0.2">
      <c r="D413" s="83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</row>
    <row r="414" spans="4:24" x14ac:dyDescent="0.2">
      <c r="D414" s="83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</row>
    <row r="415" spans="4:24" x14ac:dyDescent="0.2">
      <c r="D415" s="83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</row>
    <row r="416" spans="4:24" x14ac:dyDescent="0.2">
      <c r="D416" s="83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</row>
    <row r="417" spans="4:24" x14ac:dyDescent="0.2">
      <c r="D417" s="83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</row>
    <row r="418" spans="4:24" x14ac:dyDescent="0.2">
      <c r="D418" s="83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</row>
    <row r="419" spans="4:24" x14ac:dyDescent="0.2">
      <c r="D419" s="83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</row>
    <row r="420" spans="4:24" x14ac:dyDescent="0.2">
      <c r="D420" s="83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</row>
    <row r="421" spans="4:24" x14ac:dyDescent="0.2">
      <c r="D421" s="83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</row>
    <row r="422" spans="4:24" x14ac:dyDescent="0.2">
      <c r="D422" s="83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</row>
    <row r="423" spans="4:24" x14ac:dyDescent="0.2">
      <c r="D423" s="83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</row>
    <row r="424" spans="4:24" x14ac:dyDescent="0.2">
      <c r="D424" s="83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</row>
    <row r="425" spans="4:24" x14ac:dyDescent="0.2">
      <c r="D425" s="83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</row>
    <row r="426" spans="4:24" x14ac:dyDescent="0.2">
      <c r="D426" s="83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</row>
    <row r="427" spans="4:24" x14ac:dyDescent="0.2">
      <c r="D427" s="83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</row>
    <row r="428" spans="4:24" x14ac:dyDescent="0.2">
      <c r="D428" s="83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</row>
    <row r="429" spans="4:24" x14ac:dyDescent="0.2">
      <c r="D429" s="83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</row>
    <row r="430" spans="4:24" x14ac:dyDescent="0.2">
      <c r="D430" s="83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</row>
    <row r="431" spans="4:24" x14ac:dyDescent="0.2">
      <c r="D431" s="83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</row>
    <row r="432" spans="4:24" x14ac:dyDescent="0.2">
      <c r="D432" s="83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</row>
    <row r="433" spans="4:24" x14ac:dyDescent="0.2">
      <c r="D433" s="83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</row>
    <row r="434" spans="4:24" x14ac:dyDescent="0.2">
      <c r="D434" s="83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</row>
    <row r="435" spans="4:24" x14ac:dyDescent="0.2">
      <c r="D435" s="83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</row>
    <row r="436" spans="4:24" x14ac:dyDescent="0.2">
      <c r="D436" s="83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</row>
    <row r="437" spans="4:24" x14ac:dyDescent="0.2">
      <c r="D437" s="83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</row>
    <row r="438" spans="4:24" x14ac:dyDescent="0.2">
      <c r="D438" s="83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</row>
    <row r="439" spans="4:24" x14ac:dyDescent="0.2">
      <c r="D439" s="83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</row>
    <row r="440" spans="4:24" x14ac:dyDescent="0.2">
      <c r="D440" s="83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</row>
    <row r="441" spans="4:24" x14ac:dyDescent="0.2">
      <c r="D441" s="83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</row>
    <row r="442" spans="4:24" x14ac:dyDescent="0.2">
      <c r="D442" s="83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</row>
    <row r="443" spans="4:24" x14ac:dyDescent="0.2">
      <c r="D443" s="83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</row>
    <row r="444" spans="4:24" x14ac:dyDescent="0.2">
      <c r="D444" s="83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</row>
    <row r="445" spans="4:24" x14ac:dyDescent="0.2">
      <c r="D445" s="83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</row>
    <row r="446" spans="4:24" x14ac:dyDescent="0.2">
      <c r="D446" s="83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</row>
    <row r="447" spans="4:24" x14ac:dyDescent="0.2">
      <c r="D447" s="83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</row>
    <row r="448" spans="4:24" x14ac:dyDescent="0.2">
      <c r="D448" s="83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</row>
    <row r="449" spans="4:24" x14ac:dyDescent="0.2">
      <c r="D449" s="83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</row>
    <row r="450" spans="4:24" x14ac:dyDescent="0.2">
      <c r="D450" s="83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</row>
    <row r="451" spans="4:24" x14ac:dyDescent="0.2">
      <c r="D451" s="83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</row>
    <row r="452" spans="4:24" x14ac:dyDescent="0.2">
      <c r="D452" s="83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</row>
    <row r="453" spans="4:24" x14ac:dyDescent="0.2">
      <c r="D453" s="83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</row>
    <row r="454" spans="4:24" x14ac:dyDescent="0.2">
      <c r="D454" s="83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</row>
    <row r="455" spans="4:24" x14ac:dyDescent="0.2">
      <c r="D455" s="83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</row>
    <row r="456" spans="4:24" x14ac:dyDescent="0.2">
      <c r="D456" s="83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</row>
    <row r="457" spans="4:24" x14ac:dyDescent="0.2">
      <c r="D457" s="83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</row>
    <row r="458" spans="4:24" x14ac:dyDescent="0.2">
      <c r="D458" s="83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</row>
    <row r="459" spans="4:24" x14ac:dyDescent="0.2">
      <c r="D459" s="83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</row>
    <row r="460" spans="4:24" x14ac:dyDescent="0.2">
      <c r="D460" s="83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</row>
    <row r="461" spans="4:24" x14ac:dyDescent="0.2">
      <c r="D461" s="83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</row>
    <row r="462" spans="4:24" x14ac:dyDescent="0.2">
      <c r="D462" s="83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</row>
    <row r="463" spans="4:24" x14ac:dyDescent="0.2">
      <c r="D463" s="83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</row>
    <row r="464" spans="4:24" x14ac:dyDescent="0.2">
      <c r="D464" s="83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</row>
    <row r="465" spans="4:24" x14ac:dyDescent="0.2">
      <c r="D465" s="83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</row>
    <row r="466" spans="4:24" x14ac:dyDescent="0.2">
      <c r="D466" s="83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</row>
    <row r="467" spans="4:24" x14ac:dyDescent="0.2">
      <c r="D467" s="83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</row>
    <row r="468" spans="4:24" x14ac:dyDescent="0.2">
      <c r="D468" s="83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</row>
    <row r="469" spans="4:24" x14ac:dyDescent="0.2">
      <c r="D469" s="83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</row>
    <row r="470" spans="4:24" x14ac:dyDescent="0.2">
      <c r="D470" s="83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</row>
    <row r="471" spans="4:24" x14ac:dyDescent="0.2">
      <c r="D471" s="83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</row>
    <row r="472" spans="4:24" x14ac:dyDescent="0.2">
      <c r="D472" s="83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</row>
    <row r="473" spans="4:24" x14ac:dyDescent="0.2">
      <c r="D473" s="83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</row>
    <row r="474" spans="4:24" x14ac:dyDescent="0.2">
      <c r="D474" s="83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</row>
    <row r="475" spans="4:24" x14ac:dyDescent="0.2">
      <c r="D475" s="83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</row>
    <row r="476" spans="4:24" x14ac:dyDescent="0.2">
      <c r="D476" s="83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</row>
    <row r="477" spans="4:24" x14ac:dyDescent="0.2">
      <c r="D477" s="83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</row>
    <row r="478" spans="4:24" x14ac:dyDescent="0.2">
      <c r="D478" s="83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</row>
    <row r="479" spans="4:24" x14ac:dyDescent="0.2">
      <c r="D479" s="83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</row>
    <row r="480" spans="4:24" x14ac:dyDescent="0.2">
      <c r="D480" s="83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</row>
    <row r="481" spans="4:24" x14ac:dyDescent="0.2">
      <c r="D481" s="83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</row>
    <row r="482" spans="4:24" x14ac:dyDescent="0.2">
      <c r="D482" s="83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</row>
    <row r="483" spans="4:24" x14ac:dyDescent="0.2">
      <c r="D483" s="83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</row>
    <row r="484" spans="4:24" x14ac:dyDescent="0.2">
      <c r="D484" s="83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</row>
    <row r="485" spans="4:24" x14ac:dyDescent="0.2">
      <c r="D485" s="83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</row>
    <row r="486" spans="4:24" x14ac:dyDescent="0.2">
      <c r="D486" s="83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</row>
    <row r="487" spans="4:24" x14ac:dyDescent="0.2">
      <c r="D487" s="83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</row>
    <row r="488" spans="4:24" x14ac:dyDescent="0.2">
      <c r="D488" s="83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</row>
    <row r="489" spans="4:24" x14ac:dyDescent="0.2">
      <c r="D489" s="83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</row>
    <row r="490" spans="4:24" x14ac:dyDescent="0.2">
      <c r="D490" s="83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</row>
    <row r="491" spans="4:24" x14ac:dyDescent="0.2">
      <c r="D491" s="83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</row>
    <row r="492" spans="4:24" x14ac:dyDescent="0.2">
      <c r="D492" s="83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</row>
    <row r="493" spans="4:24" x14ac:dyDescent="0.2">
      <c r="D493" s="83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</row>
    <row r="494" spans="4:24" x14ac:dyDescent="0.2">
      <c r="D494" s="83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</row>
    <row r="495" spans="4:24" x14ac:dyDescent="0.2">
      <c r="D495" s="83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</row>
    <row r="496" spans="4:24" x14ac:dyDescent="0.2">
      <c r="D496" s="83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</row>
    <row r="497" spans="4:24" x14ac:dyDescent="0.2">
      <c r="D497" s="83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</row>
    <row r="498" spans="4:24" x14ac:dyDescent="0.2">
      <c r="D498" s="83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</row>
    <row r="499" spans="4:24" x14ac:dyDescent="0.2">
      <c r="D499" s="83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</row>
    <row r="500" spans="4:24" x14ac:dyDescent="0.2">
      <c r="D500" s="83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</row>
    <row r="501" spans="4:24" x14ac:dyDescent="0.2">
      <c r="D501" s="83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</row>
    <row r="502" spans="4:24" x14ac:dyDescent="0.2">
      <c r="D502" s="83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</row>
    <row r="503" spans="4:24" x14ac:dyDescent="0.2">
      <c r="D503" s="83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</row>
    <row r="504" spans="4:24" x14ac:dyDescent="0.2">
      <c r="D504" s="83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</row>
    <row r="505" spans="4:24" x14ac:dyDescent="0.2">
      <c r="D505" s="83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</row>
    <row r="506" spans="4:24" x14ac:dyDescent="0.2">
      <c r="D506" s="83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</row>
    <row r="507" spans="4:24" x14ac:dyDescent="0.2">
      <c r="D507" s="83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</row>
    <row r="508" spans="4:24" x14ac:dyDescent="0.2">
      <c r="D508" s="83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</row>
    <row r="509" spans="4:24" x14ac:dyDescent="0.2">
      <c r="D509" s="83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</row>
    <row r="510" spans="4:24" x14ac:dyDescent="0.2">
      <c r="D510" s="83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</row>
    <row r="511" spans="4:24" x14ac:dyDescent="0.2">
      <c r="D511" s="83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</row>
    <row r="512" spans="4:24" x14ac:dyDescent="0.2">
      <c r="D512" s="83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</row>
    <row r="513" spans="4:24" x14ac:dyDescent="0.2">
      <c r="D513" s="83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</row>
    <row r="514" spans="4:24" x14ac:dyDescent="0.2">
      <c r="D514" s="83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</row>
    <row r="515" spans="4:24" x14ac:dyDescent="0.2">
      <c r="D515" s="83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</row>
    <row r="516" spans="4:24" x14ac:dyDescent="0.2">
      <c r="D516" s="83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</row>
    <row r="517" spans="4:24" x14ac:dyDescent="0.2">
      <c r="D517" s="83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</row>
    <row r="518" spans="4:24" x14ac:dyDescent="0.2">
      <c r="D518" s="83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</row>
    <row r="519" spans="4:24" x14ac:dyDescent="0.2">
      <c r="D519" s="83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</row>
    <row r="520" spans="4:24" x14ac:dyDescent="0.2">
      <c r="D520" s="83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</row>
    <row r="521" spans="4:24" x14ac:dyDescent="0.2">
      <c r="D521" s="83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</row>
    <row r="522" spans="4:24" x14ac:dyDescent="0.2">
      <c r="D522" s="83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</row>
    <row r="523" spans="4:24" x14ac:dyDescent="0.2">
      <c r="D523" s="83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</row>
    <row r="524" spans="4:24" x14ac:dyDescent="0.2">
      <c r="D524" s="83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</row>
    <row r="525" spans="4:24" x14ac:dyDescent="0.2">
      <c r="D525" s="83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</row>
    <row r="526" spans="4:24" x14ac:dyDescent="0.2">
      <c r="D526" s="83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</row>
    <row r="527" spans="4:24" x14ac:dyDescent="0.2">
      <c r="D527" s="83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</row>
    <row r="528" spans="4:24" x14ac:dyDescent="0.2">
      <c r="D528" s="83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</row>
    <row r="529" spans="4:24" x14ac:dyDescent="0.2">
      <c r="D529" s="83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</row>
    <row r="530" spans="4:24" x14ac:dyDescent="0.2">
      <c r="D530" s="83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</row>
    <row r="531" spans="4:24" x14ac:dyDescent="0.2">
      <c r="D531" s="83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</row>
    <row r="532" spans="4:24" x14ac:dyDescent="0.2">
      <c r="D532" s="83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</row>
    <row r="533" spans="4:24" x14ac:dyDescent="0.2">
      <c r="D533" s="83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</row>
    <row r="534" spans="4:24" x14ac:dyDescent="0.2">
      <c r="D534" s="83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</row>
    <row r="535" spans="4:24" x14ac:dyDescent="0.2">
      <c r="D535" s="83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</row>
    <row r="536" spans="4:24" x14ac:dyDescent="0.2">
      <c r="D536" s="83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</row>
    <row r="537" spans="4:24" x14ac:dyDescent="0.2">
      <c r="D537" s="83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</row>
    <row r="538" spans="4:24" x14ac:dyDescent="0.2">
      <c r="D538" s="83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</row>
    <row r="539" spans="4:24" x14ac:dyDescent="0.2">
      <c r="D539" s="83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</row>
    <row r="540" spans="4:24" x14ac:dyDescent="0.2">
      <c r="D540" s="83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</row>
    <row r="541" spans="4:24" x14ac:dyDescent="0.2">
      <c r="D541" s="83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</row>
    <row r="542" spans="4:24" x14ac:dyDescent="0.2">
      <c r="D542" s="83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</row>
    <row r="543" spans="4:24" x14ac:dyDescent="0.2">
      <c r="D543" s="83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</row>
    <row r="544" spans="4:24" x14ac:dyDescent="0.2">
      <c r="D544" s="83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</row>
    <row r="545" spans="4:24" x14ac:dyDescent="0.2">
      <c r="D545" s="83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</row>
    <row r="546" spans="4:24" x14ac:dyDescent="0.2">
      <c r="D546" s="83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</row>
    <row r="547" spans="4:24" x14ac:dyDescent="0.2">
      <c r="D547" s="83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</row>
    <row r="548" spans="4:24" x14ac:dyDescent="0.2">
      <c r="D548" s="83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</row>
    <row r="549" spans="4:24" x14ac:dyDescent="0.2">
      <c r="D549" s="83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</row>
    <row r="550" spans="4:24" x14ac:dyDescent="0.2">
      <c r="D550" s="83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</row>
    <row r="551" spans="4:24" x14ac:dyDescent="0.2">
      <c r="D551" s="83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</row>
    <row r="552" spans="4:24" x14ac:dyDescent="0.2">
      <c r="D552" s="83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</row>
    <row r="553" spans="4:24" x14ac:dyDescent="0.2">
      <c r="D553" s="83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</row>
    <row r="554" spans="4:24" x14ac:dyDescent="0.2">
      <c r="D554" s="83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</row>
    <row r="555" spans="4:24" x14ac:dyDescent="0.2">
      <c r="D555" s="83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</row>
    <row r="556" spans="4:24" x14ac:dyDescent="0.2">
      <c r="D556" s="83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</row>
    <row r="557" spans="4:24" x14ac:dyDescent="0.2">
      <c r="D557" s="83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</row>
    <row r="558" spans="4:24" x14ac:dyDescent="0.2">
      <c r="D558" s="83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</row>
    <row r="559" spans="4:24" x14ac:dyDescent="0.2">
      <c r="D559" s="83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</row>
    <row r="560" spans="4:24" x14ac:dyDescent="0.2">
      <c r="D560" s="83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</row>
    <row r="561" spans="4:24" x14ac:dyDescent="0.2">
      <c r="D561" s="83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</row>
    <row r="562" spans="4:24" x14ac:dyDescent="0.2">
      <c r="D562" s="83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</row>
    <row r="563" spans="4:24" x14ac:dyDescent="0.2">
      <c r="D563" s="83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</row>
    <row r="564" spans="4:24" x14ac:dyDescent="0.2">
      <c r="D564" s="83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</row>
    <row r="565" spans="4:24" x14ac:dyDescent="0.2">
      <c r="D565" s="83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</row>
    <row r="566" spans="4:24" x14ac:dyDescent="0.2">
      <c r="D566" s="83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</row>
    <row r="567" spans="4:24" x14ac:dyDescent="0.2">
      <c r="D567" s="83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</row>
    <row r="568" spans="4:24" x14ac:dyDescent="0.2">
      <c r="D568" s="83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</row>
    <row r="569" spans="4:24" x14ac:dyDescent="0.2">
      <c r="D569" s="83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</row>
    <row r="570" spans="4:24" x14ac:dyDescent="0.2">
      <c r="D570" s="83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</row>
    <row r="571" spans="4:24" x14ac:dyDescent="0.2">
      <c r="D571" s="83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</row>
    <row r="572" spans="4:24" x14ac:dyDescent="0.2">
      <c r="D572" s="83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</row>
    <row r="573" spans="4:24" x14ac:dyDescent="0.2">
      <c r="D573" s="83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</row>
    <row r="574" spans="4:24" x14ac:dyDescent="0.2">
      <c r="D574" s="83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</row>
    <row r="575" spans="4:24" x14ac:dyDescent="0.2">
      <c r="D575" s="83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</row>
    <row r="576" spans="4:24" x14ac:dyDescent="0.2">
      <c r="D576" s="83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</row>
    <row r="577" spans="4:24" x14ac:dyDescent="0.2">
      <c r="D577" s="83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</row>
    <row r="578" spans="4:24" x14ac:dyDescent="0.2">
      <c r="D578" s="83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</row>
    <row r="579" spans="4:24" x14ac:dyDescent="0.2">
      <c r="D579" s="83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</row>
    <row r="580" spans="4:24" x14ac:dyDescent="0.2">
      <c r="D580" s="83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</row>
    <row r="581" spans="4:24" x14ac:dyDescent="0.2">
      <c r="D581" s="83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</row>
    <row r="582" spans="4:24" x14ac:dyDescent="0.2">
      <c r="D582" s="83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</row>
    <row r="583" spans="4:24" x14ac:dyDescent="0.2">
      <c r="D583" s="83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</row>
    <row r="584" spans="4:24" x14ac:dyDescent="0.2">
      <c r="D584" s="83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</row>
    <row r="585" spans="4:24" x14ac:dyDescent="0.2">
      <c r="D585" s="83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</row>
    <row r="586" spans="4:24" x14ac:dyDescent="0.2">
      <c r="D586" s="83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</row>
    <row r="587" spans="4:24" x14ac:dyDescent="0.2">
      <c r="D587" s="83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</row>
    <row r="588" spans="4:24" x14ac:dyDescent="0.2">
      <c r="D588" s="83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</row>
    <row r="589" spans="4:24" x14ac:dyDescent="0.2">
      <c r="D589" s="83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</row>
    <row r="590" spans="4:24" x14ac:dyDescent="0.2">
      <c r="D590" s="83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</row>
    <row r="591" spans="4:24" x14ac:dyDescent="0.2">
      <c r="D591" s="83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</row>
    <row r="592" spans="4:24" x14ac:dyDescent="0.2">
      <c r="D592" s="83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</row>
    <row r="593" spans="4:24" x14ac:dyDescent="0.2">
      <c r="D593" s="83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</row>
    <row r="594" spans="4:24" x14ac:dyDescent="0.2">
      <c r="D594" s="83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</row>
    <row r="595" spans="4:24" x14ac:dyDescent="0.2">
      <c r="D595" s="83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</row>
    <row r="596" spans="4:24" x14ac:dyDescent="0.2">
      <c r="D596" s="83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</row>
    <row r="597" spans="4:24" x14ac:dyDescent="0.2">
      <c r="D597" s="83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</row>
    <row r="598" spans="4:24" x14ac:dyDescent="0.2">
      <c r="D598" s="83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</row>
    <row r="599" spans="4:24" x14ac:dyDescent="0.2">
      <c r="D599" s="83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</row>
    <row r="600" spans="4:24" x14ac:dyDescent="0.2">
      <c r="D600" s="83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</row>
    <row r="601" spans="4:24" x14ac:dyDescent="0.2">
      <c r="D601" s="83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</row>
    <row r="602" spans="4:24" x14ac:dyDescent="0.2">
      <c r="D602" s="83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</row>
    <row r="603" spans="4:24" x14ac:dyDescent="0.2">
      <c r="D603" s="83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</row>
    <row r="604" spans="4:24" x14ac:dyDescent="0.2">
      <c r="D604" s="83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</row>
    <row r="605" spans="4:24" x14ac:dyDescent="0.2">
      <c r="D605" s="83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</row>
    <row r="606" spans="4:24" x14ac:dyDescent="0.2">
      <c r="D606" s="83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</row>
    <row r="607" spans="4:24" x14ac:dyDescent="0.2">
      <c r="D607" s="83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</row>
    <row r="608" spans="4:24" x14ac:dyDescent="0.2">
      <c r="D608" s="83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</row>
    <row r="609" spans="4:24" x14ac:dyDescent="0.2">
      <c r="D609" s="83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</row>
    <row r="610" spans="4:24" x14ac:dyDescent="0.2">
      <c r="D610" s="83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</row>
    <row r="611" spans="4:24" x14ac:dyDescent="0.2">
      <c r="D611" s="83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</row>
    <row r="612" spans="4:24" x14ac:dyDescent="0.2">
      <c r="D612" s="83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</row>
    <row r="613" spans="4:24" x14ac:dyDescent="0.2">
      <c r="D613" s="83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</row>
    <row r="614" spans="4:24" x14ac:dyDescent="0.2">
      <c r="D614" s="83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</row>
    <row r="615" spans="4:24" x14ac:dyDescent="0.2">
      <c r="D615" s="83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</row>
    <row r="616" spans="4:24" x14ac:dyDescent="0.2">
      <c r="D616" s="83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</row>
    <row r="617" spans="4:24" x14ac:dyDescent="0.2">
      <c r="D617" s="83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</row>
    <row r="618" spans="4:24" x14ac:dyDescent="0.2">
      <c r="D618" s="83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</row>
    <row r="619" spans="4:24" x14ac:dyDescent="0.2">
      <c r="D619" s="83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</row>
    <row r="620" spans="4:24" x14ac:dyDescent="0.2">
      <c r="D620" s="83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</row>
    <row r="621" spans="4:24" x14ac:dyDescent="0.2">
      <c r="D621" s="83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</row>
    <row r="622" spans="4:24" x14ac:dyDescent="0.2">
      <c r="D622" s="83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</row>
    <row r="623" spans="4:24" x14ac:dyDescent="0.2">
      <c r="D623" s="83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</row>
    <row r="624" spans="4:24" x14ac:dyDescent="0.2">
      <c r="D624" s="83"/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</row>
    <row r="625" spans="4:24" x14ac:dyDescent="0.2">
      <c r="D625" s="83"/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</row>
    <row r="626" spans="4:24" x14ac:dyDescent="0.2">
      <c r="D626" s="83"/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</row>
    <row r="627" spans="4:24" x14ac:dyDescent="0.2">
      <c r="D627" s="83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</row>
    <row r="628" spans="4:24" x14ac:dyDescent="0.2">
      <c r="D628" s="83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</row>
    <row r="629" spans="4:24" x14ac:dyDescent="0.2">
      <c r="D629" s="83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</row>
    <row r="630" spans="4:24" x14ac:dyDescent="0.2">
      <c r="D630" s="83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</row>
    <row r="631" spans="4:24" x14ac:dyDescent="0.2">
      <c r="D631" s="83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</row>
    <row r="632" spans="4:24" x14ac:dyDescent="0.2">
      <c r="D632" s="83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  <c r="S632" s="84"/>
      <c r="T632" s="84"/>
      <c r="U632" s="84"/>
      <c r="V632" s="84"/>
      <c r="W632" s="84"/>
      <c r="X632" s="84"/>
    </row>
    <row r="633" spans="4:24" x14ac:dyDescent="0.2">
      <c r="D633" s="83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</row>
    <row r="634" spans="4:24" x14ac:dyDescent="0.2">
      <c r="D634" s="83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</row>
    <row r="635" spans="4:24" x14ac:dyDescent="0.2">
      <c r="D635" s="83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</row>
    <row r="636" spans="4:24" x14ac:dyDescent="0.2">
      <c r="D636" s="83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</row>
    <row r="637" spans="4:24" x14ac:dyDescent="0.2">
      <c r="D637" s="83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</row>
    <row r="638" spans="4:24" x14ac:dyDescent="0.2">
      <c r="D638" s="83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</row>
    <row r="639" spans="4:24" x14ac:dyDescent="0.2">
      <c r="D639" s="83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</row>
    <row r="640" spans="4:24" x14ac:dyDescent="0.2">
      <c r="D640" s="83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</row>
    <row r="641" spans="4:24" x14ac:dyDescent="0.2">
      <c r="D641" s="83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</row>
    <row r="642" spans="4:24" x14ac:dyDescent="0.2">
      <c r="D642" s="83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</row>
    <row r="643" spans="4:24" x14ac:dyDescent="0.2">
      <c r="D643" s="83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</row>
    <row r="644" spans="4:24" x14ac:dyDescent="0.2">
      <c r="D644" s="83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</row>
    <row r="645" spans="4:24" x14ac:dyDescent="0.2">
      <c r="D645" s="83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</row>
    <row r="646" spans="4:24" x14ac:dyDescent="0.2">
      <c r="D646" s="83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</row>
    <row r="647" spans="4:24" x14ac:dyDescent="0.2">
      <c r="D647" s="83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</row>
    <row r="648" spans="4:24" x14ac:dyDescent="0.2">
      <c r="D648" s="83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</row>
    <row r="649" spans="4:24" x14ac:dyDescent="0.2">
      <c r="D649" s="83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</row>
    <row r="650" spans="4:24" x14ac:dyDescent="0.2">
      <c r="D650" s="83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</row>
    <row r="651" spans="4:24" x14ac:dyDescent="0.2">
      <c r="D651" s="83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</row>
    <row r="652" spans="4:24" x14ac:dyDescent="0.2">
      <c r="D652" s="83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</row>
    <row r="653" spans="4:24" x14ac:dyDescent="0.2">
      <c r="D653" s="83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</row>
    <row r="654" spans="4:24" x14ac:dyDescent="0.2">
      <c r="D654" s="83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</row>
    <row r="655" spans="4:24" x14ac:dyDescent="0.2">
      <c r="D655" s="83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</row>
    <row r="656" spans="4:24" x14ac:dyDescent="0.2">
      <c r="D656" s="83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</row>
    <row r="657" spans="4:24" x14ac:dyDescent="0.2">
      <c r="D657" s="83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</row>
    <row r="658" spans="4:24" x14ac:dyDescent="0.2">
      <c r="D658" s="83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</row>
    <row r="659" spans="4:24" x14ac:dyDescent="0.2">
      <c r="D659" s="83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</row>
    <row r="660" spans="4:24" x14ac:dyDescent="0.2">
      <c r="D660" s="83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</row>
    <row r="661" spans="4:24" x14ac:dyDescent="0.2">
      <c r="D661" s="83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</row>
    <row r="662" spans="4:24" x14ac:dyDescent="0.2">
      <c r="D662" s="83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</row>
    <row r="663" spans="4:24" x14ac:dyDescent="0.2">
      <c r="D663" s="83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</row>
    <row r="664" spans="4:24" x14ac:dyDescent="0.2">
      <c r="D664" s="83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</row>
    <row r="665" spans="4:24" x14ac:dyDescent="0.2">
      <c r="D665" s="83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</row>
    <row r="666" spans="4:24" x14ac:dyDescent="0.2">
      <c r="D666" s="83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  <c r="S666" s="84"/>
      <c r="T666" s="84"/>
      <c r="U666" s="84"/>
      <c r="V666" s="84"/>
      <c r="W666" s="84"/>
      <c r="X666" s="84"/>
    </row>
    <row r="667" spans="4:24" x14ac:dyDescent="0.2">
      <c r="D667" s="83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</row>
    <row r="668" spans="4:24" x14ac:dyDescent="0.2">
      <c r="D668" s="83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</row>
    <row r="669" spans="4:24" x14ac:dyDescent="0.2">
      <c r="D669" s="83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</row>
    <row r="670" spans="4:24" x14ac:dyDescent="0.2">
      <c r="D670" s="83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</row>
    <row r="671" spans="4:24" x14ac:dyDescent="0.2">
      <c r="D671" s="83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</row>
    <row r="672" spans="4:24" x14ac:dyDescent="0.2">
      <c r="D672" s="83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</row>
    <row r="673" spans="4:24" x14ac:dyDescent="0.2">
      <c r="D673" s="83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</row>
    <row r="674" spans="4:24" x14ac:dyDescent="0.2">
      <c r="D674" s="83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</row>
    <row r="675" spans="4:24" x14ac:dyDescent="0.2">
      <c r="D675" s="83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</row>
    <row r="676" spans="4:24" x14ac:dyDescent="0.2">
      <c r="D676" s="83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</row>
    <row r="677" spans="4:24" x14ac:dyDescent="0.2">
      <c r="D677" s="83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</row>
    <row r="678" spans="4:24" x14ac:dyDescent="0.2">
      <c r="D678" s="83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</row>
    <row r="679" spans="4:24" x14ac:dyDescent="0.2">
      <c r="D679" s="83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</row>
    <row r="680" spans="4:24" x14ac:dyDescent="0.2">
      <c r="D680" s="83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</row>
    <row r="681" spans="4:24" x14ac:dyDescent="0.2">
      <c r="D681" s="83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</row>
    <row r="682" spans="4:24" x14ac:dyDescent="0.2">
      <c r="D682" s="83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</row>
    <row r="683" spans="4:24" x14ac:dyDescent="0.2">
      <c r="D683" s="83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  <c r="S683" s="84"/>
      <c r="T683" s="84"/>
      <c r="U683" s="84"/>
      <c r="V683" s="84"/>
      <c r="W683" s="84"/>
      <c r="X683" s="84"/>
    </row>
    <row r="684" spans="4:24" x14ac:dyDescent="0.2">
      <c r="D684" s="83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</row>
    <row r="685" spans="4:24" x14ac:dyDescent="0.2">
      <c r="D685" s="83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</row>
    <row r="686" spans="4:24" x14ac:dyDescent="0.2">
      <c r="D686" s="83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</row>
    <row r="687" spans="4:24" x14ac:dyDescent="0.2">
      <c r="D687" s="83"/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</row>
    <row r="688" spans="4:24" x14ac:dyDescent="0.2">
      <c r="D688" s="83"/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</row>
    <row r="689" spans="4:24" x14ac:dyDescent="0.2">
      <c r="D689" s="83"/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</row>
    <row r="690" spans="4:24" x14ac:dyDescent="0.2">
      <c r="D690" s="83"/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</row>
    <row r="691" spans="4:24" x14ac:dyDescent="0.2">
      <c r="D691" s="83"/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</row>
    <row r="692" spans="4:24" x14ac:dyDescent="0.2">
      <c r="D692" s="83"/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</row>
    <row r="693" spans="4:24" x14ac:dyDescent="0.2">
      <c r="D693" s="83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</row>
    <row r="694" spans="4:24" x14ac:dyDescent="0.2">
      <c r="D694" s="83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</row>
    <row r="695" spans="4:24" x14ac:dyDescent="0.2">
      <c r="D695" s="83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</row>
    <row r="696" spans="4:24" x14ac:dyDescent="0.2">
      <c r="D696" s="83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</row>
    <row r="697" spans="4:24" x14ac:dyDescent="0.2">
      <c r="D697" s="83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</row>
    <row r="698" spans="4:24" x14ac:dyDescent="0.2">
      <c r="D698" s="83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</row>
    <row r="699" spans="4:24" x14ac:dyDescent="0.2">
      <c r="D699" s="83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</row>
    <row r="700" spans="4:24" x14ac:dyDescent="0.2">
      <c r="D700" s="83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  <c r="S700" s="84"/>
      <c r="T700" s="84"/>
      <c r="U700" s="84"/>
      <c r="V700" s="84"/>
      <c r="W700" s="84"/>
      <c r="X700" s="84"/>
    </row>
    <row r="701" spans="4:24" x14ac:dyDescent="0.2">
      <c r="D701" s="83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</row>
    <row r="702" spans="4:24" x14ac:dyDescent="0.2">
      <c r="D702" s="83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</row>
    <row r="703" spans="4:24" x14ac:dyDescent="0.2">
      <c r="D703" s="83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</row>
    <row r="704" spans="4:24" x14ac:dyDescent="0.2">
      <c r="D704" s="83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</row>
    <row r="705" spans="4:24" x14ac:dyDescent="0.2">
      <c r="D705" s="83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</row>
    <row r="706" spans="4:24" x14ac:dyDescent="0.2">
      <c r="D706" s="83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</row>
    <row r="707" spans="4:24" x14ac:dyDescent="0.2">
      <c r="D707" s="83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</row>
    <row r="708" spans="4:24" x14ac:dyDescent="0.2">
      <c r="D708" s="83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</row>
    <row r="709" spans="4:24" x14ac:dyDescent="0.2">
      <c r="D709" s="83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</row>
    <row r="710" spans="4:24" x14ac:dyDescent="0.2">
      <c r="D710" s="83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</row>
    <row r="711" spans="4:24" x14ac:dyDescent="0.2">
      <c r="D711" s="83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</row>
    <row r="712" spans="4:24" x14ac:dyDescent="0.2">
      <c r="D712" s="83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</row>
    <row r="713" spans="4:24" x14ac:dyDescent="0.2">
      <c r="D713" s="83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</row>
    <row r="714" spans="4:24" x14ac:dyDescent="0.2">
      <c r="D714" s="83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</row>
    <row r="715" spans="4:24" x14ac:dyDescent="0.2">
      <c r="D715" s="83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</row>
    <row r="716" spans="4:24" x14ac:dyDescent="0.2">
      <c r="D716" s="83"/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</row>
    <row r="717" spans="4:24" x14ac:dyDescent="0.2">
      <c r="D717" s="83"/>
      <c r="E717" s="84"/>
      <c r="F717" s="84"/>
      <c r="G717" s="84"/>
      <c r="H717" s="84"/>
      <c r="I717" s="84"/>
      <c r="J717" s="84"/>
      <c r="K717" s="84"/>
      <c r="L717" s="84"/>
      <c r="M717" s="84"/>
      <c r="N717" s="84"/>
      <c r="O717" s="84"/>
      <c r="P717" s="84"/>
      <c r="Q717" s="84"/>
      <c r="R717" s="84"/>
      <c r="S717" s="84"/>
      <c r="T717" s="84"/>
      <c r="U717" s="84"/>
      <c r="V717" s="84"/>
      <c r="W717" s="84"/>
      <c r="X717" s="84"/>
    </row>
    <row r="718" spans="4:24" x14ac:dyDescent="0.2">
      <c r="D718" s="83"/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</row>
    <row r="719" spans="4:24" x14ac:dyDescent="0.2">
      <c r="D719" s="83"/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</row>
    <row r="720" spans="4:24" x14ac:dyDescent="0.2"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</row>
    <row r="721" spans="5:24" x14ac:dyDescent="0.2"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</row>
    <row r="722" spans="5:24" x14ac:dyDescent="0.2"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</row>
    <row r="723" spans="5:24" x14ac:dyDescent="0.2"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</row>
    <row r="724" spans="5:24" x14ac:dyDescent="0.2"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</row>
    <row r="725" spans="5:24" x14ac:dyDescent="0.2"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</row>
    <row r="726" spans="5:24" x14ac:dyDescent="0.2"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</row>
    <row r="727" spans="5:24" x14ac:dyDescent="0.2"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</row>
    <row r="728" spans="5:24" x14ac:dyDescent="0.2"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</row>
    <row r="729" spans="5:24" x14ac:dyDescent="0.2"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</row>
    <row r="730" spans="5:24" x14ac:dyDescent="0.2"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</row>
    <row r="731" spans="5:24" x14ac:dyDescent="0.2"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</row>
    <row r="732" spans="5:24" x14ac:dyDescent="0.2"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</row>
    <row r="733" spans="5:24" x14ac:dyDescent="0.2"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</row>
    <row r="734" spans="5:24" x14ac:dyDescent="0.2"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  <c r="S734" s="84"/>
      <c r="T734" s="84"/>
      <c r="U734" s="84"/>
      <c r="V734" s="84"/>
      <c r="W734" s="84"/>
      <c r="X734" s="84"/>
    </row>
    <row r="735" spans="5:24" x14ac:dyDescent="0.2"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</row>
    <row r="736" spans="5:24" x14ac:dyDescent="0.2"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</row>
    <row r="737" spans="5:24" x14ac:dyDescent="0.2"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</row>
    <row r="738" spans="5:24" x14ac:dyDescent="0.2"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</row>
    <row r="739" spans="5:24" x14ac:dyDescent="0.2"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</row>
    <row r="740" spans="5:24" x14ac:dyDescent="0.2"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</row>
    <row r="741" spans="5:24" x14ac:dyDescent="0.2"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</row>
    <row r="742" spans="5:24" x14ac:dyDescent="0.2"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</row>
    <row r="743" spans="5:24" x14ac:dyDescent="0.2"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</row>
    <row r="744" spans="5:24" x14ac:dyDescent="0.2"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</row>
    <row r="745" spans="5:24" x14ac:dyDescent="0.2"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</row>
    <row r="746" spans="5:24" x14ac:dyDescent="0.2"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</row>
    <row r="747" spans="5:24" x14ac:dyDescent="0.2"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</row>
    <row r="748" spans="5:24" x14ac:dyDescent="0.2"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</row>
    <row r="749" spans="5:24" x14ac:dyDescent="0.2"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</row>
    <row r="750" spans="5:24" x14ac:dyDescent="0.2"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</row>
    <row r="751" spans="5:24" x14ac:dyDescent="0.2"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  <c r="S751" s="84"/>
      <c r="T751" s="84"/>
      <c r="U751" s="84"/>
      <c r="V751" s="84"/>
      <c r="W751" s="84"/>
      <c r="X751" s="84"/>
    </row>
    <row r="752" spans="5:24" x14ac:dyDescent="0.2"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</row>
    <row r="753" spans="5:24" x14ac:dyDescent="0.2"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</row>
    <row r="754" spans="5:24" x14ac:dyDescent="0.2"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</row>
    <row r="755" spans="5:24" x14ac:dyDescent="0.2"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</row>
    <row r="756" spans="5:24" x14ac:dyDescent="0.2"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</row>
    <row r="757" spans="5:24" x14ac:dyDescent="0.2"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</row>
    <row r="758" spans="5:24" x14ac:dyDescent="0.2"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</row>
    <row r="759" spans="5:24" x14ac:dyDescent="0.2"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</row>
    <row r="760" spans="5:24" x14ac:dyDescent="0.2"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</row>
    <row r="761" spans="5:24" x14ac:dyDescent="0.2"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</row>
    <row r="762" spans="5:24" x14ac:dyDescent="0.2"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</row>
    <row r="763" spans="5:24" x14ac:dyDescent="0.2"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</row>
    <row r="764" spans="5:24" x14ac:dyDescent="0.2"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</row>
    <row r="765" spans="5:24" x14ac:dyDescent="0.2"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</row>
    <row r="766" spans="5:24" x14ac:dyDescent="0.2"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</row>
    <row r="767" spans="5:24" x14ac:dyDescent="0.2"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</row>
    <row r="768" spans="5:24" x14ac:dyDescent="0.2">
      <c r="E768" s="84"/>
      <c r="F768" s="84"/>
      <c r="G768" s="84"/>
      <c r="H768" s="84"/>
      <c r="I768" s="84"/>
      <c r="J768" s="84"/>
      <c r="K768" s="84"/>
      <c r="L768" s="84"/>
      <c r="M768" s="84"/>
      <c r="N768" s="84"/>
      <c r="O768" s="84"/>
      <c r="P768" s="84"/>
      <c r="Q768" s="84"/>
      <c r="R768" s="84"/>
      <c r="S768" s="84"/>
      <c r="T768" s="84"/>
      <c r="U768" s="84"/>
      <c r="V768" s="84"/>
      <c r="W768" s="84"/>
      <c r="X768" s="84"/>
    </row>
    <row r="769" spans="5:24" x14ac:dyDescent="0.2"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</row>
    <row r="770" spans="5:24" x14ac:dyDescent="0.2"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</row>
    <row r="771" spans="5:24" x14ac:dyDescent="0.2"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</row>
    <row r="772" spans="5:24" x14ac:dyDescent="0.2"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</row>
    <row r="773" spans="5:24" x14ac:dyDescent="0.2"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</row>
    <row r="774" spans="5:24" x14ac:dyDescent="0.2"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</row>
    <row r="775" spans="5:24" x14ac:dyDescent="0.2"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</row>
    <row r="776" spans="5:24" x14ac:dyDescent="0.2"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</row>
    <row r="777" spans="5:24" x14ac:dyDescent="0.2"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</row>
    <row r="778" spans="5:24" x14ac:dyDescent="0.2"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</row>
    <row r="779" spans="5:24" x14ac:dyDescent="0.2"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</row>
    <row r="780" spans="5:24" x14ac:dyDescent="0.2"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</row>
    <row r="781" spans="5:24" x14ac:dyDescent="0.2"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</row>
    <row r="782" spans="5:24" x14ac:dyDescent="0.2"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</row>
    <row r="783" spans="5:24" x14ac:dyDescent="0.2"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</row>
    <row r="784" spans="5:24" x14ac:dyDescent="0.2"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</row>
    <row r="785" spans="5:24" x14ac:dyDescent="0.2"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  <c r="S785" s="84"/>
      <c r="T785" s="84"/>
      <c r="U785" s="84"/>
      <c r="V785" s="84"/>
      <c r="W785" s="84"/>
      <c r="X785" s="84"/>
    </row>
    <row r="786" spans="5:24" x14ac:dyDescent="0.2"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</row>
    <row r="787" spans="5:24" x14ac:dyDescent="0.2"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</row>
    <row r="788" spans="5:24" x14ac:dyDescent="0.2"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</row>
    <row r="789" spans="5:24" x14ac:dyDescent="0.2"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</row>
    <row r="790" spans="5:24" x14ac:dyDescent="0.2"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</row>
    <row r="791" spans="5:24" x14ac:dyDescent="0.2"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</row>
    <row r="792" spans="5:24" x14ac:dyDescent="0.2"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</row>
    <row r="793" spans="5:24" x14ac:dyDescent="0.2"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</row>
    <row r="794" spans="5:24" x14ac:dyDescent="0.2"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</row>
    <row r="795" spans="5:24" x14ac:dyDescent="0.2"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</row>
    <row r="796" spans="5:24" x14ac:dyDescent="0.2"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</row>
    <row r="797" spans="5:24" x14ac:dyDescent="0.2"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</row>
    <row r="798" spans="5:24" x14ac:dyDescent="0.2"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</row>
    <row r="799" spans="5:24" x14ac:dyDescent="0.2"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</row>
    <row r="800" spans="5:24" x14ac:dyDescent="0.2"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</row>
    <row r="801" spans="5:24" x14ac:dyDescent="0.2"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</row>
    <row r="802" spans="5:24" x14ac:dyDescent="0.2"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  <c r="S802" s="84"/>
      <c r="T802" s="84"/>
      <c r="U802" s="84"/>
      <c r="V802" s="84"/>
      <c r="W802" s="84"/>
      <c r="X802" s="84"/>
    </row>
    <row r="803" spans="5:24" x14ac:dyDescent="0.2"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</row>
    <row r="804" spans="5:24" x14ac:dyDescent="0.2"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</row>
    <row r="805" spans="5:24" x14ac:dyDescent="0.2"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</row>
    <row r="806" spans="5:24" x14ac:dyDescent="0.2"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</row>
    <row r="807" spans="5:24" x14ac:dyDescent="0.2"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</row>
    <row r="808" spans="5:24" x14ac:dyDescent="0.2"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</row>
    <row r="809" spans="5:24" x14ac:dyDescent="0.2"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</row>
    <row r="810" spans="5:24" x14ac:dyDescent="0.2"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</row>
    <row r="811" spans="5:24" x14ac:dyDescent="0.2"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</row>
    <row r="812" spans="5:24" x14ac:dyDescent="0.2"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</row>
    <row r="813" spans="5:24" x14ac:dyDescent="0.2"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</row>
    <row r="814" spans="5:24" x14ac:dyDescent="0.2"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</row>
    <row r="815" spans="5:24" x14ac:dyDescent="0.2"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</row>
    <row r="816" spans="5:24" x14ac:dyDescent="0.2"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</row>
    <row r="817" spans="5:24" x14ac:dyDescent="0.2"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</row>
    <row r="818" spans="5:24" x14ac:dyDescent="0.2"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</row>
    <row r="819" spans="5:24" x14ac:dyDescent="0.2"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  <c r="S819" s="84"/>
      <c r="T819" s="84"/>
      <c r="U819" s="84"/>
      <c r="V819" s="84"/>
      <c r="W819" s="84"/>
      <c r="X819" s="84"/>
    </row>
    <row r="820" spans="5:24" x14ac:dyDescent="0.2"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</row>
    <row r="821" spans="5:24" x14ac:dyDescent="0.2"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</row>
    <row r="822" spans="5:24" x14ac:dyDescent="0.2"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</row>
    <row r="823" spans="5:24" x14ac:dyDescent="0.2"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</row>
    <row r="824" spans="5:24" x14ac:dyDescent="0.2"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</row>
    <row r="825" spans="5:24" x14ac:dyDescent="0.2"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</row>
    <row r="826" spans="5:24" x14ac:dyDescent="0.2"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</row>
    <row r="827" spans="5:24" x14ac:dyDescent="0.2"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</row>
    <row r="828" spans="5:24" x14ac:dyDescent="0.2"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</row>
    <row r="829" spans="5:24" x14ac:dyDescent="0.2"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</row>
    <row r="830" spans="5:24" x14ac:dyDescent="0.2"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</row>
    <row r="831" spans="5:24" x14ac:dyDescent="0.2"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</row>
    <row r="832" spans="5:24" x14ac:dyDescent="0.2"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</row>
    <row r="833" spans="5:24" x14ac:dyDescent="0.2"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</row>
    <row r="834" spans="5:24" x14ac:dyDescent="0.2"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</row>
    <row r="835" spans="5:24" x14ac:dyDescent="0.2"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</row>
    <row r="836" spans="5:24" x14ac:dyDescent="0.2"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  <c r="S836" s="84"/>
      <c r="T836" s="84"/>
      <c r="U836" s="84"/>
      <c r="V836" s="84"/>
      <c r="W836" s="84"/>
      <c r="X836" s="84"/>
    </row>
    <row r="837" spans="5:24" x14ac:dyDescent="0.2"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</row>
    <row r="838" spans="5:24" x14ac:dyDescent="0.2"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</row>
    <row r="839" spans="5:24" x14ac:dyDescent="0.2"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</row>
    <row r="840" spans="5:24" x14ac:dyDescent="0.2"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</row>
    <row r="841" spans="5:24" x14ac:dyDescent="0.2"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</row>
    <row r="842" spans="5:24" x14ac:dyDescent="0.2"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</row>
    <row r="843" spans="5:24" x14ac:dyDescent="0.2"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</row>
    <row r="844" spans="5:24" x14ac:dyDescent="0.2"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</row>
    <row r="845" spans="5:24" x14ac:dyDescent="0.2"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</row>
    <row r="846" spans="5:24" x14ac:dyDescent="0.2"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</row>
    <row r="847" spans="5:24" x14ac:dyDescent="0.2"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</row>
    <row r="848" spans="5:24" x14ac:dyDescent="0.2"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</row>
    <row r="849" spans="5:24" x14ac:dyDescent="0.2"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</row>
    <row r="850" spans="5:24" x14ac:dyDescent="0.2"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</row>
    <row r="851" spans="5:24" x14ac:dyDescent="0.2"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</row>
    <row r="852" spans="5:24" x14ac:dyDescent="0.2"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</row>
    <row r="853" spans="5:24" x14ac:dyDescent="0.2"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  <c r="S853" s="84"/>
      <c r="T853" s="84"/>
      <c r="U853" s="84"/>
      <c r="V853" s="84"/>
      <c r="W853" s="84"/>
      <c r="X853" s="84"/>
    </row>
    <row r="854" spans="5:24" x14ac:dyDescent="0.2"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</row>
    <row r="855" spans="5:24" x14ac:dyDescent="0.2"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</row>
    <row r="856" spans="5:24" x14ac:dyDescent="0.2"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</row>
    <row r="857" spans="5:24" x14ac:dyDescent="0.2"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</row>
    <row r="858" spans="5:24" x14ac:dyDescent="0.2"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</row>
    <row r="859" spans="5:24" x14ac:dyDescent="0.2"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</row>
    <row r="860" spans="5:24" x14ac:dyDescent="0.2"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</row>
    <row r="861" spans="5:24" x14ac:dyDescent="0.2"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</row>
    <row r="862" spans="5:24" x14ac:dyDescent="0.2"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</row>
    <row r="863" spans="5:24" x14ac:dyDescent="0.2"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</row>
    <row r="864" spans="5:24" x14ac:dyDescent="0.2"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</row>
    <row r="865" spans="5:24" x14ac:dyDescent="0.2"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</row>
    <row r="866" spans="5:24" x14ac:dyDescent="0.2"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</row>
    <row r="867" spans="5:24" x14ac:dyDescent="0.2"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</row>
    <row r="868" spans="5:24" x14ac:dyDescent="0.2"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</row>
    <row r="869" spans="5:24" x14ac:dyDescent="0.2"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</row>
    <row r="870" spans="5:24" x14ac:dyDescent="0.2"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  <c r="S870" s="84"/>
      <c r="T870" s="84"/>
      <c r="U870" s="84"/>
      <c r="V870" s="84"/>
      <c r="W870" s="84"/>
      <c r="X870" s="84"/>
    </row>
    <row r="871" spans="5:24" x14ac:dyDescent="0.2"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4"/>
      <c r="V871" s="84"/>
      <c r="W871" s="84"/>
      <c r="X871" s="84"/>
    </row>
    <row r="872" spans="5:24" x14ac:dyDescent="0.2"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4"/>
      <c r="V872" s="84"/>
      <c r="W872" s="84"/>
      <c r="X872" s="84"/>
    </row>
    <row r="873" spans="5:24" x14ac:dyDescent="0.2"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4"/>
      <c r="V873" s="84"/>
      <c r="W873" s="84"/>
      <c r="X873" s="84"/>
    </row>
    <row r="874" spans="5:24" x14ac:dyDescent="0.2"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4"/>
      <c r="V874" s="84"/>
      <c r="W874" s="84"/>
      <c r="X874" s="84"/>
    </row>
    <row r="875" spans="5:24" x14ac:dyDescent="0.2"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4"/>
      <c r="V875" s="84"/>
      <c r="W875" s="84"/>
      <c r="X875" s="84"/>
    </row>
    <row r="876" spans="5:24" x14ac:dyDescent="0.2"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4"/>
      <c r="V876" s="84"/>
      <c r="W876" s="84"/>
      <c r="X876" s="84"/>
    </row>
    <row r="877" spans="5:24" x14ac:dyDescent="0.2"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4"/>
      <c r="V877" s="84"/>
      <c r="W877" s="84"/>
      <c r="X877" s="84"/>
    </row>
    <row r="878" spans="5:24" x14ac:dyDescent="0.2"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4"/>
      <c r="V878" s="84"/>
      <c r="W878" s="84"/>
      <c r="X878" s="84"/>
    </row>
    <row r="879" spans="5:24" x14ac:dyDescent="0.2"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4"/>
      <c r="V879" s="84"/>
      <c r="W879" s="84"/>
      <c r="X879" s="84"/>
    </row>
    <row r="880" spans="5:24" x14ac:dyDescent="0.2"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4"/>
      <c r="V880" s="84"/>
      <c r="W880" s="84"/>
      <c r="X880" s="84"/>
    </row>
    <row r="881" spans="5:24" x14ac:dyDescent="0.2"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4"/>
      <c r="V881" s="84"/>
      <c r="W881" s="84"/>
      <c r="X881" s="84"/>
    </row>
    <row r="882" spans="5:24" x14ac:dyDescent="0.2"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4"/>
      <c r="V882" s="84"/>
      <c r="W882" s="84"/>
      <c r="X882" s="84"/>
    </row>
    <row r="883" spans="5:24" x14ac:dyDescent="0.2"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4"/>
      <c r="V883" s="84"/>
      <c r="W883" s="84"/>
      <c r="X883" s="84"/>
    </row>
    <row r="884" spans="5:24" x14ac:dyDescent="0.2"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4"/>
      <c r="V884" s="84"/>
      <c r="W884" s="84"/>
      <c r="X884" s="84"/>
    </row>
    <row r="885" spans="5:24" x14ac:dyDescent="0.2"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4"/>
      <c r="V885" s="84"/>
      <c r="W885" s="84"/>
      <c r="X885" s="84"/>
    </row>
    <row r="886" spans="5:24" x14ac:dyDescent="0.2"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4"/>
      <c r="V886" s="84"/>
      <c r="W886" s="84"/>
      <c r="X886" s="84"/>
    </row>
    <row r="887" spans="5:24" x14ac:dyDescent="0.2"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  <c r="S887" s="84"/>
      <c r="T887" s="84"/>
      <c r="U887" s="84"/>
      <c r="V887" s="84"/>
      <c r="W887" s="84"/>
      <c r="X887" s="84"/>
    </row>
    <row r="888" spans="5:24" x14ac:dyDescent="0.2"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4"/>
      <c r="V888" s="84"/>
      <c r="W888" s="84"/>
      <c r="X888" s="84"/>
    </row>
    <row r="889" spans="5:24" x14ac:dyDescent="0.2"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4"/>
      <c r="V889" s="84"/>
      <c r="W889" s="84"/>
      <c r="X889" s="84"/>
    </row>
    <row r="890" spans="5:24" x14ac:dyDescent="0.2"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4"/>
      <c r="V890" s="84"/>
      <c r="W890" s="84"/>
      <c r="X890" s="84"/>
    </row>
    <row r="891" spans="5:24" x14ac:dyDescent="0.2"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4"/>
      <c r="V891" s="84"/>
      <c r="W891" s="84"/>
      <c r="X891" s="84"/>
    </row>
    <row r="892" spans="5:24" x14ac:dyDescent="0.2"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4"/>
      <c r="V892" s="84"/>
      <c r="W892" s="84"/>
      <c r="X892" s="84"/>
    </row>
    <row r="893" spans="5:24" x14ac:dyDescent="0.2"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4"/>
      <c r="V893" s="84"/>
      <c r="W893" s="84"/>
      <c r="X893" s="84"/>
    </row>
    <row r="894" spans="5:24" x14ac:dyDescent="0.2"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4"/>
      <c r="V894" s="84"/>
      <c r="W894" s="84"/>
      <c r="X894" s="84"/>
    </row>
    <row r="895" spans="5:24" x14ac:dyDescent="0.2"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4"/>
      <c r="V895" s="84"/>
      <c r="W895" s="84"/>
      <c r="X895" s="84"/>
    </row>
    <row r="896" spans="5:24" x14ac:dyDescent="0.2"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4"/>
      <c r="V896" s="84"/>
      <c r="W896" s="84"/>
      <c r="X896" s="84"/>
    </row>
    <row r="897" spans="5:24" x14ac:dyDescent="0.2"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4"/>
      <c r="V897" s="84"/>
      <c r="W897" s="84"/>
      <c r="X897" s="84"/>
    </row>
    <row r="898" spans="5:24" x14ac:dyDescent="0.2"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4"/>
      <c r="V898" s="84"/>
      <c r="W898" s="84"/>
      <c r="X898" s="84"/>
    </row>
    <row r="899" spans="5:24" x14ac:dyDescent="0.2"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4"/>
      <c r="V899" s="84"/>
      <c r="W899" s="84"/>
      <c r="X899" s="84"/>
    </row>
    <row r="900" spans="5:24" x14ac:dyDescent="0.2"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4"/>
      <c r="V900" s="84"/>
      <c r="W900" s="84"/>
      <c r="X900" s="84"/>
    </row>
    <row r="901" spans="5:24" x14ac:dyDescent="0.2"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4"/>
      <c r="V901" s="84"/>
      <c r="W901" s="84"/>
      <c r="X901" s="84"/>
    </row>
    <row r="902" spans="5:24" x14ac:dyDescent="0.2"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4"/>
      <c r="V902" s="84"/>
      <c r="W902" s="84"/>
      <c r="X902" s="84"/>
    </row>
    <row r="903" spans="5:24" x14ac:dyDescent="0.2"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4"/>
      <c r="V903" s="84"/>
      <c r="W903" s="84"/>
      <c r="X903" s="84"/>
    </row>
    <row r="904" spans="5:24" x14ac:dyDescent="0.2"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  <c r="R904" s="84"/>
      <c r="S904" s="84"/>
      <c r="T904" s="84"/>
      <c r="U904" s="84"/>
      <c r="V904" s="84"/>
      <c r="W904" s="84"/>
      <c r="X904" s="84"/>
    </row>
    <row r="905" spans="5:24" x14ac:dyDescent="0.2"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4"/>
      <c r="V905" s="84"/>
      <c r="W905" s="84"/>
      <c r="X905" s="84"/>
    </row>
    <row r="906" spans="5:24" x14ac:dyDescent="0.2"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4"/>
      <c r="V906" s="84"/>
      <c r="W906" s="84"/>
      <c r="X906" s="84"/>
    </row>
    <row r="907" spans="5:24" x14ac:dyDescent="0.2"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4"/>
      <c r="V907" s="84"/>
      <c r="W907" s="84"/>
      <c r="X907" s="84"/>
    </row>
    <row r="908" spans="5:24" x14ac:dyDescent="0.2"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4"/>
      <c r="V908" s="84"/>
      <c r="W908" s="84"/>
      <c r="X908" s="84"/>
    </row>
    <row r="909" spans="5:24" x14ac:dyDescent="0.2"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4"/>
      <c r="V909" s="84"/>
      <c r="W909" s="84"/>
      <c r="X909" s="84"/>
    </row>
    <row r="910" spans="5:24" x14ac:dyDescent="0.2"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4"/>
      <c r="V910" s="84"/>
      <c r="W910" s="84"/>
      <c r="X910" s="84"/>
    </row>
    <row r="911" spans="5:24" x14ac:dyDescent="0.2"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4"/>
      <c r="V911" s="84"/>
      <c r="W911" s="84"/>
      <c r="X911" s="84"/>
    </row>
    <row r="912" spans="5:24" x14ac:dyDescent="0.2"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4"/>
      <c r="V912" s="84"/>
      <c r="W912" s="84"/>
      <c r="X912" s="84"/>
    </row>
    <row r="913" spans="5:24" x14ac:dyDescent="0.2"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4"/>
      <c r="V913" s="84"/>
      <c r="W913" s="84"/>
      <c r="X913" s="84"/>
    </row>
    <row r="914" spans="5:24" x14ac:dyDescent="0.2"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4"/>
      <c r="V914" s="84"/>
      <c r="W914" s="84"/>
      <c r="X914" s="84"/>
    </row>
    <row r="915" spans="5:24" x14ac:dyDescent="0.2"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4"/>
      <c r="V915" s="84"/>
      <c r="W915" s="84"/>
      <c r="X915" s="84"/>
    </row>
    <row r="916" spans="5:24" x14ac:dyDescent="0.2"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4"/>
      <c r="V916" s="84"/>
      <c r="W916" s="84"/>
      <c r="X916" s="84"/>
    </row>
    <row r="917" spans="5:24" x14ac:dyDescent="0.2"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4"/>
      <c r="V917" s="84"/>
      <c r="W917" s="84"/>
      <c r="X917" s="84"/>
    </row>
    <row r="918" spans="5:24" x14ac:dyDescent="0.2"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4"/>
      <c r="V918" s="84"/>
      <c r="W918" s="84"/>
      <c r="X918" s="84"/>
    </row>
    <row r="919" spans="5:24" x14ac:dyDescent="0.2"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4"/>
      <c r="V919" s="84"/>
      <c r="W919" s="84"/>
      <c r="X919" s="84"/>
    </row>
    <row r="920" spans="5:24" x14ac:dyDescent="0.2"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4"/>
      <c r="V920" s="84"/>
      <c r="W920" s="84"/>
      <c r="X920" s="84"/>
    </row>
    <row r="921" spans="5:24" x14ac:dyDescent="0.2"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  <c r="S921" s="84"/>
      <c r="T921" s="84"/>
      <c r="U921" s="84"/>
      <c r="V921" s="84"/>
      <c r="W921" s="84"/>
      <c r="X921" s="84"/>
    </row>
    <row r="922" spans="5:24" x14ac:dyDescent="0.2"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4"/>
      <c r="V922" s="84"/>
      <c r="W922" s="84"/>
      <c r="X922" s="84"/>
    </row>
    <row r="923" spans="5:24" x14ac:dyDescent="0.2"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4"/>
      <c r="V923" s="84"/>
      <c r="W923" s="84"/>
      <c r="X923" s="84"/>
    </row>
    <row r="924" spans="5:24" x14ac:dyDescent="0.2"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4"/>
      <c r="V924" s="84"/>
      <c r="W924" s="84"/>
      <c r="X924" s="84"/>
    </row>
    <row r="925" spans="5:24" x14ac:dyDescent="0.2"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4"/>
      <c r="V925" s="84"/>
      <c r="W925" s="84"/>
      <c r="X925" s="84"/>
    </row>
    <row r="926" spans="5:24" x14ac:dyDescent="0.2"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4"/>
      <c r="V926" s="84"/>
      <c r="W926" s="84"/>
      <c r="X926" s="84"/>
    </row>
    <row r="927" spans="5:24" x14ac:dyDescent="0.2"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4"/>
      <c r="V927" s="84"/>
      <c r="W927" s="84"/>
      <c r="X927" s="84"/>
    </row>
    <row r="928" spans="5:24" x14ac:dyDescent="0.2"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4"/>
      <c r="V928" s="84"/>
      <c r="W928" s="84"/>
      <c r="X928" s="84"/>
    </row>
    <row r="929" spans="5:24" x14ac:dyDescent="0.2"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4"/>
      <c r="V929" s="84"/>
      <c r="W929" s="84"/>
      <c r="X929" s="84"/>
    </row>
    <row r="930" spans="5:24" x14ac:dyDescent="0.2"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4"/>
      <c r="V930" s="84"/>
      <c r="W930" s="84"/>
      <c r="X930" s="84"/>
    </row>
    <row r="931" spans="5:24" x14ac:dyDescent="0.2"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4"/>
      <c r="V931" s="84"/>
      <c r="W931" s="84"/>
      <c r="X931" s="84"/>
    </row>
    <row r="932" spans="5:24" x14ac:dyDescent="0.2"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4"/>
      <c r="V932" s="84"/>
      <c r="W932" s="84"/>
      <c r="X932" s="84"/>
    </row>
    <row r="933" spans="5:24" x14ac:dyDescent="0.2"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4"/>
      <c r="V933" s="84"/>
      <c r="W933" s="84"/>
      <c r="X933" s="84"/>
    </row>
    <row r="934" spans="5:24" x14ac:dyDescent="0.2"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4"/>
      <c r="V934" s="84"/>
      <c r="W934" s="84"/>
      <c r="X934" s="84"/>
    </row>
    <row r="935" spans="5:24" x14ac:dyDescent="0.2"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4"/>
      <c r="V935" s="84"/>
      <c r="W935" s="84"/>
      <c r="X935" s="84"/>
    </row>
    <row r="936" spans="5:24" x14ac:dyDescent="0.2"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4"/>
      <c r="V936" s="84"/>
      <c r="W936" s="84"/>
      <c r="X936" s="84"/>
    </row>
    <row r="937" spans="5:24" x14ac:dyDescent="0.2"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4"/>
      <c r="V937" s="84"/>
      <c r="W937" s="84"/>
      <c r="X937" s="84"/>
    </row>
    <row r="938" spans="5:24" x14ac:dyDescent="0.2"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  <c r="S938" s="84"/>
      <c r="T938" s="84"/>
      <c r="U938" s="84"/>
      <c r="V938" s="84"/>
      <c r="W938" s="84"/>
      <c r="X938" s="84"/>
    </row>
    <row r="939" spans="5:24" x14ac:dyDescent="0.2"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4"/>
      <c r="V939" s="84"/>
      <c r="W939" s="84"/>
      <c r="X939" s="84"/>
    </row>
    <row r="940" spans="5:24" x14ac:dyDescent="0.2"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4"/>
      <c r="V940" s="84"/>
      <c r="W940" s="84"/>
      <c r="X940" s="84"/>
    </row>
    <row r="941" spans="5:24" x14ac:dyDescent="0.2"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4"/>
      <c r="V941" s="84"/>
      <c r="W941" s="84"/>
      <c r="X941" s="84"/>
    </row>
    <row r="942" spans="5:24" x14ac:dyDescent="0.2"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4"/>
      <c r="V942" s="84"/>
      <c r="W942" s="84"/>
      <c r="X942" s="84"/>
    </row>
    <row r="943" spans="5:24" x14ac:dyDescent="0.2"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  <c r="W943" s="84"/>
      <c r="X943" s="84"/>
    </row>
    <row r="944" spans="5:24" x14ac:dyDescent="0.2"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  <c r="W944" s="84"/>
      <c r="X944" s="84"/>
    </row>
    <row r="945" spans="5:24" x14ac:dyDescent="0.2"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4"/>
      <c r="V945" s="84"/>
      <c r="W945" s="84"/>
      <c r="X945" s="84"/>
    </row>
    <row r="946" spans="5:24" x14ac:dyDescent="0.2"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4"/>
      <c r="V946" s="84"/>
      <c r="W946" s="84"/>
      <c r="X946" s="84"/>
    </row>
    <row r="947" spans="5:24" x14ac:dyDescent="0.2"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4"/>
      <c r="V947" s="84"/>
      <c r="W947" s="84"/>
      <c r="X947" s="84"/>
    </row>
    <row r="948" spans="5:24" x14ac:dyDescent="0.2"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4"/>
      <c r="V948" s="84"/>
      <c r="W948" s="84"/>
      <c r="X948" s="84"/>
    </row>
    <row r="949" spans="5:24" x14ac:dyDescent="0.2"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4"/>
      <c r="V949" s="84"/>
      <c r="W949" s="84"/>
      <c r="X949" s="84"/>
    </row>
    <row r="950" spans="5:24" x14ac:dyDescent="0.2"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4"/>
      <c r="V950" s="84"/>
      <c r="W950" s="84"/>
      <c r="X950" s="84"/>
    </row>
    <row r="951" spans="5:24" x14ac:dyDescent="0.2"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</row>
    <row r="952" spans="5:24" x14ac:dyDescent="0.2"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4"/>
      <c r="V952" s="84"/>
      <c r="W952" s="84"/>
      <c r="X952" s="84"/>
    </row>
    <row r="953" spans="5:24" x14ac:dyDescent="0.2"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V953" s="84"/>
      <c r="W953" s="84"/>
      <c r="X953" s="84"/>
    </row>
    <row r="954" spans="5:24" x14ac:dyDescent="0.2"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4"/>
      <c r="V954" s="84"/>
      <c r="W954" s="84"/>
      <c r="X954" s="84"/>
    </row>
    <row r="955" spans="5:24" x14ac:dyDescent="0.2">
      <c r="E955" s="84"/>
      <c r="F955" s="84"/>
      <c r="G955" s="84"/>
      <c r="H955" s="84"/>
      <c r="I955" s="84"/>
      <c r="J955" s="84"/>
      <c r="K955" s="84"/>
      <c r="L955" s="84"/>
      <c r="M955" s="84"/>
      <c r="N955" s="84"/>
      <c r="O955" s="84"/>
      <c r="P955" s="84"/>
      <c r="Q955" s="84"/>
      <c r="R955" s="84"/>
      <c r="S955" s="84"/>
      <c r="T955" s="84"/>
      <c r="U955" s="84"/>
      <c r="V955" s="84"/>
      <c r="W955" s="84"/>
      <c r="X955" s="84"/>
    </row>
    <row r="956" spans="5:24" x14ac:dyDescent="0.2"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4"/>
      <c r="V956" s="84"/>
      <c r="W956" s="84"/>
      <c r="X956" s="84"/>
    </row>
    <row r="957" spans="5:24" x14ac:dyDescent="0.2"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4"/>
      <c r="V957" s="84"/>
      <c r="W957" s="84"/>
      <c r="X957" s="84"/>
    </row>
    <row r="958" spans="5:24" x14ac:dyDescent="0.2"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4"/>
      <c r="V958" s="84"/>
      <c r="W958" s="84"/>
      <c r="X958" s="84"/>
    </row>
    <row r="959" spans="5:24" x14ac:dyDescent="0.2"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4"/>
      <c r="V959" s="84"/>
      <c r="W959" s="84"/>
      <c r="X959" s="84"/>
    </row>
    <row r="960" spans="5:24" x14ac:dyDescent="0.2"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4"/>
      <c r="V960" s="84"/>
      <c r="W960" s="84"/>
      <c r="X960" s="84"/>
    </row>
    <row r="961" spans="5:24" x14ac:dyDescent="0.2"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4"/>
      <c r="V961" s="84"/>
      <c r="W961" s="84"/>
      <c r="X961" s="84"/>
    </row>
    <row r="962" spans="5:24" x14ac:dyDescent="0.2"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4"/>
      <c r="V962" s="84"/>
      <c r="W962" s="84"/>
      <c r="X962" s="84"/>
    </row>
    <row r="963" spans="5:24" x14ac:dyDescent="0.2"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4"/>
      <c r="V963" s="84"/>
      <c r="W963" s="84"/>
      <c r="X963" s="84"/>
    </row>
    <row r="964" spans="5:24" x14ac:dyDescent="0.2"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4"/>
      <c r="V964" s="84"/>
      <c r="W964" s="84"/>
      <c r="X964" s="84"/>
    </row>
    <row r="965" spans="5:24" x14ac:dyDescent="0.2"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4"/>
      <c r="V965" s="84"/>
      <c r="W965" s="84"/>
      <c r="X965" s="84"/>
    </row>
    <row r="966" spans="5:24" x14ac:dyDescent="0.2"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4"/>
      <c r="V966" s="84"/>
      <c r="W966" s="84"/>
      <c r="X966" s="84"/>
    </row>
    <row r="967" spans="5:24" x14ac:dyDescent="0.2"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4"/>
      <c r="V967" s="84"/>
      <c r="W967" s="84"/>
      <c r="X967" s="84"/>
    </row>
    <row r="968" spans="5:24" x14ac:dyDescent="0.2"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4"/>
      <c r="V968" s="84"/>
      <c r="W968" s="84"/>
      <c r="X968" s="84"/>
    </row>
    <row r="969" spans="5:24" x14ac:dyDescent="0.2"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4"/>
      <c r="V969" s="84"/>
      <c r="W969" s="84"/>
      <c r="X969" s="84"/>
    </row>
    <row r="970" spans="5:24" x14ac:dyDescent="0.2"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</row>
    <row r="971" spans="5:24" x14ac:dyDescent="0.2"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4"/>
      <c r="V971" s="84"/>
      <c r="W971" s="84"/>
      <c r="X971" s="84"/>
    </row>
    <row r="972" spans="5:24" x14ac:dyDescent="0.2"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  <c r="S972" s="84"/>
      <c r="T972" s="84"/>
      <c r="U972" s="84"/>
      <c r="V972" s="84"/>
      <c r="W972" s="84"/>
      <c r="X972" s="84"/>
    </row>
    <row r="973" spans="5:24" x14ac:dyDescent="0.2"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4"/>
      <c r="V973" s="84"/>
      <c r="W973" s="84"/>
      <c r="X973" s="84"/>
    </row>
    <row r="974" spans="5:24" x14ac:dyDescent="0.2"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4"/>
      <c r="V974" s="84"/>
      <c r="W974" s="84"/>
      <c r="X974" s="84"/>
    </row>
    <row r="975" spans="5:24" x14ac:dyDescent="0.2"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4"/>
      <c r="V975" s="84"/>
      <c r="W975" s="84"/>
      <c r="X975" s="84"/>
    </row>
    <row r="976" spans="5:24" x14ac:dyDescent="0.2"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4"/>
      <c r="V976" s="84"/>
      <c r="W976" s="84"/>
      <c r="X976" s="84"/>
    </row>
    <row r="977" spans="5:24" x14ac:dyDescent="0.2"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4"/>
      <c r="V977" s="84"/>
      <c r="W977" s="84"/>
      <c r="X977" s="84"/>
    </row>
    <row r="978" spans="5:24" x14ac:dyDescent="0.2"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4"/>
      <c r="V978" s="84"/>
      <c r="W978" s="84"/>
      <c r="X978" s="84"/>
    </row>
    <row r="979" spans="5:24" x14ac:dyDescent="0.2"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</row>
    <row r="980" spans="5:24" x14ac:dyDescent="0.2"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</row>
    <row r="981" spans="5:24" x14ac:dyDescent="0.2"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</row>
    <row r="982" spans="5:24" x14ac:dyDescent="0.2"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</row>
    <row r="983" spans="5:24" x14ac:dyDescent="0.2"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</row>
    <row r="984" spans="5:24" x14ac:dyDescent="0.2"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4"/>
      <c r="V984" s="84"/>
      <c r="W984" s="84"/>
      <c r="X984" s="84"/>
    </row>
    <row r="985" spans="5:24" x14ac:dyDescent="0.2"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4"/>
      <c r="V985" s="84"/>
      <c r="W985" s="84"/>
      <c r="X985" s="84"/>
    </row>
    <row r="986" spans="5:24" x14ac:dyDescent="0.2"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</row>
    <row r="987" spans="5:24" x14ac:dyDescent="0.2"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4"/>
      <c r="V987" s="84"/>
      <c r="W987" s="84"/>
      <c r="X987" s="84"/>
    </row>
    <row r="988" spans="5:24" x14ac:dyDescent="0.2"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4"/>
      <c r="V988" s="84"/>
      <c r="W988" s="84"/>
      <c r="X988" s="84"/>
    </row>
    <row r="989" spans="5:24" x14ac:dyDescent="0.2"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  <c r="S989" s="84"/>
      <c r="T989" s="84"/>
      <c r="U989" s="84"/>
      <c r="V989" s="84"/>
      <c r="W989" s="84"/>
      <c r="X989" s="84"/>
    </row>
    <row r="990" spans="5:24" x14ac:dyDescent="0.2"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4"/>
      <c r="V990" s="84"/>
      <c r="W990" s="84"/>
      <c r="X990" s="84"/>
    </row>
    <row r="991" spans="5:24" x14ac:dyDescent="0.2"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4"/>
      <c r="V991" s="84"/>
      <c r="W991" s="84"/>
      <c r="X991" s="84"/>
    </row>
    <row r="992" spans="5:24" x14ac:dyDescent="0.2"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4"/>
      <c r="V992" s="84"/>
      <c r="W992" s="84"/>
      <c r="X992" s="84"/>
    </row>
    <row r="993" spans="5:24" x14ac:dyDescent="0.2"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4"/>
      <c r="V993" s="84"/>
      <c r="W993" s="84"/>
      <c r="X993" s="84"/>
    </row>
    <row r="994" spans="5:24" x14ac:dyDescent="0.2"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4"/>
      <c r="V994" s="84"/>
      <c r="W994" s="84"/>
      <c r="X994" s="84"/>
    </row>
    <row r="995" spans="5:24" x14ac:dyDescent="0.2"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4"/>
      <c r="V995" s="84"/>
      <c r="W995" s="84"/>
      <c r="X995" s="84"/>
    </row>
    <row r="996" spans="5:24" x14ac:dyDescent="0.2"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4"/>
      <c r="V996" s="84"/>
      <c r="W996" s="84"/>
      <c r="X996" s="84"/>
    </row>
    <row r="997" spans="5:24" x14ac:dyDescent="0.2"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4"/>
      <c r="V997" s="84"/>
      <c r="W997" s="84"/>
      <c r="X997" s="84"/>
    </row>
    <row r="998" spans="5:24" x14ac:dyDescent="0.2"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4"/>
      <c r="V998" s="84"/>
      <c r="W998" s="84"/>
      <c r="X998" s="84"/>
    </row>
    <row r="999" spans="5:24" x14ac:dyDescent="0.2"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  <c r="W999" s="84"/>
      <c r="X999" s="84"/>
    </row>
    <row r="1000" spans="5:24" x14ac:dyDescent="0.2"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</row>
    <row r="1001" spans="5:24" x14ac:dyDescent="0.2"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  <c r="W1001" s="84"/>
      <c r="X1001" s="84"/>
    </row>
    <row r="1002" spans="5:24" x14ac:dyDescent="0.2"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  <c r="W1002" s="84"/>
      <c r="X1002" s="84"/>
    </row>
    <row r="1003" spans="5:24" x14ac:dyDescent="0.2"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  <c r="W1003" s="84"/>
      <c r="X1003" s="84"/>
    </row>
    <row r="1004" spans="5:24" x14ac:dyDescent="0.2"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  <c r="W1004" s="84"/>
      <c r="X1004" s="84"/>
    </row>
    <row r="1005" spans="5:24" x14ac:dyDescent="0.2"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  <c r="W1005" s="84"/>
      <c r="X1005" s="84"/>
    </row>
    <row r="1006" spans="5:24" x14ac:dyDescent="0.2"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  <c r="R1006" s="84"/>
      <c r="S1006" s="84"/>
      <c r="T1006" s="84"/>
      <c r="U1006" s="84"/>
      <c r="V1006" s="84"/>
      <c r="W1006" s="84"/>
      <c r="X1006" s="84"/>
    </row>
    <row r="1007" spans="5:24" x14ac:dyDescent="0.2"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  <c r="W1007" s="84"/>
      <c r="X1007" s="84"/>
    </row>
    <row r="1008" spans="5:24" x14ac:dyDescent="0.2"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  <c r="W1008" s="84"/>
      <c r="X1008" s="84"/>
    </row>
    <row r="1009" spans="5:24" x14ac:dyDescent="0.2"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  <c r="W1009" s="84"/>
      <c r="X1009" s="84"/>
    </row>
    <row r="1010" spans="5:24" x14ac:dyDescent="0.2"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  <c r="W1010" s="84"/>
      <c r="X1010" s="84"/>
    </row>
    <row r="1011" spans="5:24" x14ac:dyDescent="0.2"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  <c r="W1011" s="84"/>
      <c r="X1011" s="84"/>
    </row>
    <row r="1012" spans="5:24" x14ac:dyDescent="0.2"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  <c r="W1012" s="84"/>
      <c r="X1012" s="84"/>
    </row>
    <row r="1013" spans="5:24" x14ac:dyDescent="0.2"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  <c r="W1013" s="84"/>
      <c r="X1013" s="84"/>
    </row>
    <row r="1014" spans="5:24" x14ac:dyDescent="0.2"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  <c r="W1014" s="84"/>
      <c r="X1014" s="84"/>
    </row>
    <row r="1015" spans="5:24" x14ac:dyDescent="0.2"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  <c r="W1015" s="84"/>
      <c r="X1015" s="84"/>
    </row>
    <row r="1016" spans="5:24" x14ac:dyDescent="0.2"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  <c r="W1016" s="84"/>
      <c r="X1016" s="84"/>
    </row>
    <row r="1017" spans="5:24" x14ac:dyDescent="0.2"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  <c r="W1017" s="84"/>
      <c r="X1017" s="84"/>
    </row>
    <row r="1018" spans="5:24" x14ac:dyDescent="0.2"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  <c r="W1018" s="84"/>
      <c r="X1018" s="84"/>
    </row>
    <row r="1019" spans="5:24" x14ac:dyDescent="0.2"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  <c r="W1019" s="84"/>
      <c r="X1019" s="84"/>
    </row>
    <row r="1020" spans="5:24" x14ac:dyDescent="0.2"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  <c r="W1020" s="84"/>
      <c r="X1020" s="84"/>
    </row>
    <row r="1021" spans="5:24" x14ac:dyDescent="0.2"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  <c r="W1021" s="84"/>
      <c r="X1021" s="84"/>
    </row>
    <row r="1022" spans="5:24" x14ac:dyDescent="0.2"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  <c r="W1022" s="84"/>
      <c r="X1022" s="84"/>
    </row>
    <row r="1023" spans="5:24" x14ac:dyDescent="0.2"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  <c r="S1023" s="84"/>
      <c r="T1023" s="84"/>
      <c r="U1023" s="84"/>
      <c r="V1023" s="84"/>
      <c r="W1023" s="84"/>
      <c r="X1023" s="84"/>
    </row>
    <row r="1024" spans="5:24" x14ac:dyDescent="0.2"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  <c r="W1024" s="84"/>
      <c r="X1024" s="84"/>
    </row>
    <row r="1025" spans="5:24" x14ac:dyDescent="0.2"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  <c r="W1025" s="84"/>
      <c r="X1025" s="84"/>
    </row>
    <row r="1026" spans="5:24" x14ac:dyDescent="0.2"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  <c r="W1026" s="84"/>
      <c r="X1026" s="84"/>
    </row>
    <row r="1027" spans="5:24" x14ac:dyDescent="0.2"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</row>
    <row r="1028" spans="5:24" x14ac:dyDescent="0.2"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</row>
    <row r="1029" spans="5:24" x14ac:dyDescent="0.2"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  <c r="W1029" s="84"/>
      <c r="X1029" s="84"/>
    </row>
    <row r="1030" spans="5:24" x14ac:dyDescent="0.2"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  <c r="W1030" s="84"/>
      <c r="X1030" s="84"/>
    </row>
    <row r="1031" spans="5:24" x14ac:dyDescent="0.2"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  <c r="W1031" s="84"/>
      <c r="X1031" s="84"/>
    </row>
    <row r="1032" spans="5:24" x14ac:dyDescent="0.2"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  <c r="W1032" s="84"/>
      <c r="X1032" s="84"/>
    </row>
    <row r="1033" spans="5:24" x14ac:dyDescent="0.2"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  <c r="W1033" s="84"/>
      <c r="X1033" s="84"/>
    </row>
    <row r="1034" spans="5:24" x14ac:dyDescent="0.2"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  <c r="W1034" s="84"/>
      <c r="X1034" s="84"/>
    </row>
    <row r="1035" spans="5:24" x14ac:dyDescent="0.2"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  <c r="W1035" s="84"/>
      <c r="X1035" s="84"/>
    </row>
    <row r="1036" spans="5:24" x14ac:dyDescent="0.2"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  <c r="W1036" s="84"/>
      <c r="X1036" s="84"/>
    </row>
    <row r="1037" spans="5:24" x14ac:dyDescent="0.2"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  <c r="W1037" s="84"/>
      <c r="X1037" s="84"/>
    </row>
    <row r="1038" spans="5:24" x14ac:dyDescent="0.2"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  <c r="W1038" s="84"/>
      <c r="X1038" s="84"/>
    </row>
    <row r="1039" spans="5:24" x14ac:dyDescent="0.2"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  <c r="W1039" s="84"/>
      <c r="X1039" s="84"/>
    </row>
    <row r="1040" spans="5:24" x14ac:dyDescent="0.2"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  <c r="S1040" s="84"/>
      <c r="T1040" s="84"/>
      <c r="U1040" s="84"/>
      <c r="V1040" s="84"/>
      <c r="W1040" s="84"/>
      <c r="X1040" s="84"/>
    </row>
    <row r="1041" spans="5:24" x14ac:dyDescent="0.2"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  <c r="W1041" s="84"/>
      <c r="X1041" s="84"/>
    </row>
    <row r="1042" spans="5:24" x14ac:dyDescent="0.2"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  <c r="W1042" s="84"/>
      <c r="X1042" s="84"/>
    </row>
    <row r="1043" spans="5:24" x14ac:dyDescent="0.2"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  <c r="W1043" s="84"/>
      <c r="X1043" s="84"/>
    </row>
    <row r="1044" spans="5:24" x14ac:dyDescent="0.2"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  <c r="W1044" s="84"/>
      <c r="X1044" s="84"/>
    </row>
    <row r="1045" spans="5:24" x14ac:dyDescent="0.2"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  <c r="W1045" s="84"/>
      <c r="X1045" s="84"/>
    </row>
    <row r="1046" spans="5:24" x14ac:dyDescent="0.2"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  <c r="W1046" s="84"/>
      <c r="X1046" s="84"/>
    </row>
    <row r="1047" spans="5:24" x14ac:dyDescent="0.2"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  <c r="W1047" s="84"/>
      <c r="X1047" s="84"/>
    </row>
    <row r="1048" spans="5:24" x14ac:dyDescent="0.2"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  <c r="W1048" s="84"/>
      <c r="X1048" s="84"/>
    </row>
    <row r="1049" spans="5:24" x14ac:dyDescent="0.2"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  <c r="W1049" s="84"/>
      <c r="X1049" s="84"/>
    </row>
    <row r="1050" spans="5:24" x14ac:dyDescent="0.2"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  <c r="W1050" s="84"/>
      <c r="X1050" s="84"/>
    </row>
    <row r="1051" spans="5:24" x14ac:dyDescent="0.2"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  <c r="W1051" s="84"/>
      <c r="X1051" s="84"/>
    </row>
    <row r="1052" spans="5:24" x14ac:dyDescent="0.2"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  <c r="W1052" s="84"/>
      <c r="X1052" s="84"/>
    </row>
    <row r="1053" spans="5:24" x14ac:dyDescent="0.2"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  <c r="W1053" s="84"/>
      <c r="X1053" s="84"/>
    </row>
    <row r="1054" spans="5:24" x14ac:dyDescent="0.2"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  <c r="W1054" s="84"/>
      <c r="X1054" s="84"/>
    </row>
    <row r="1055" spans="5:24" x14ac:dyDescent="0.2"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  <c r="W1055" s="84"/>
      <c r="X1055" s="84"/>
    </row>
    <row r="1056" spans="5:24" x14ac:dyDescent="0.2"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  <c r="W1056" s="84"/>
      <c r="X1056" s="84"/>
    </row>
    <row r="1057" spans="5:24" x14ac:dyDescent="0.2"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  <c r="R1057" s="84"/>
      <c r="S1057" s="84"/>
      <c r="T1057" s="84"/>
      <c r="U1057" s="84"/>
      <c r="V1057" s="84"/>
      <c r="W1057" s="84"/>
      <c r="X1057" s="84"/>
    </row>
    <row r="1058" spans="5:24" x14ac:dyDescent="0.2"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  <c r="R1058" s="84"/>
      <c r="S1058" s="84"/>
      <c r="T1058" s="84"/>
      <c r="U1058" s="84"/>
      <c r="V1058" s="84"/>
      <c r="W1058" s="84"/>
      <c r="X1058" s="84"/>
    </row>
    <row r="1059" spans="5:24" x14ac:dyDescent="0.2"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  <c r="S1059" s="84"/>
      <c r="T1059" s="84"/>
      <c r="U1059" s="84"/>
      <c r="V1059" s="84"/>
      <c r="W1059" s="84"/>
      <c r="X1059" s="84"/>
    </row>
    <row r="1060" spans="5:24" x14ac:dyDescent="0.2"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  <c r="S1060" s="84"/>
      <c r="T1060" s="84"/>
      <c r="U1060" s="84"/>
      <c r="V1060" s="84"/>
      <c r="W1060" s="84"/>
      <c r="X1060" s="84"/>
    </row>
    <row r="1061" spans="5:24" x14ac:dyDescent="0.2"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  <c r="S1061" s="84"/>
      <c r="T1061" s="84"/>
      <c r="U1061" s="84"/>
      <c r="V1061" s="84"/>
      <c r="W1061" s="84"/>
      <c r="X1061" s="84"/>
    </row>
    <row r="1062" spans="5:24" x14ac:dyDescent="0.2"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  <c r="S1062" s="84"/>
      <c r="T1062" s="84"/>
      <c r="U1062" s="84"/>
      <c r="V1062" s="84"/>
      <c r="W1062" s="84"/>
      <c r="X1062" s="84"/>
    </row>
    <row r="1063" spans="5:24" x14ac:dyDescent="0.2"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  <c r="S1063" s="84"/>
      <c r="T1063" s="84"/>
      <c r="U1063" s="84"/>
      <c r="V1063" s="84"/>
      <c r="W1063" s="84"/>
      <c r="X1063" s="84"/>
    </row>
    <row r="1064" spans="5:24" x14ac:dyDescent="0.2"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  <c r="S1064" s="84"/>
      <c r="T1064" s="84"/>
      <c r="U1064" s="84"/>
      <c r="V1064" s="84"/>
      <c r="W1064" s="84"/>
      <c r="X1064" s="84"/>
    </row>
    <row r="1065" spans="5:24" x14ac:dyDescent="0.2"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  <c r="S1065" s="84"/>
      <c r="T1065" s="84"/>
      <c r="U1065" s="84"/>
      <c r="V1065" s="84"/>
      <c r="W1065" s="84"/>
      <c r="X1065" s="84"/>
    </row>
    <row r="1066" spans="5:24" x14ac:dyDescent="0.2"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  <c r="S1066" s="84"/>
      <c r="T1066" s="84"/>
      <c r="U1066" s="84"/>
      <c r="V1066" s="84"/>
      <c r="W1066" s="84"/>
      <c r="X1066" s="84"/>
    </row>
    <row r="1067" spans="5:24" x14ac:dyDescent="0.2"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  <c r="S1067" s="84"/>
      <c r="T1067" s="84"/>
      <c r="U1067" s="84"/>
      <c r="V1067" s="84"/>
      <c r="W1067" s="84"/>
      <c r="X1067" s="84"/>
    </row>
    <row r="1068" spans="5:24" x14ac:dyDescent="0.2"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  <c r="S1068" s="84"/>
      <c r="T1068" s="84"/>
      <c r="U1068" s="84"/>
      <c r="V1068" s="84"/>
      <c r="W1068" s="84"/>
      <c r="X1068" s="84"/>
    </row>
    <row r="1069" spans="5:24" x14ac:dyDescent="0.2"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  <c r="S1069" s="84"/>
      <c r="T1069" s="84"/>
      <c r="U1069" s="84"/>
      <c r="V1069" s="84"/>
      <c r="W1069" s="84"/>
      <c r="X1069" s="84"/>
    </row>
    <row r="1070" spans="5:24" x14ac:dyDescent="0.2"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  <c r="S1070" s="84"/>
      <c r="T1070" s="84"/>
      <c r="U1070" s="84"/>
      <c r="V1070" s="84"/>
      <c r="W1070" s="84"/>
      <c r="X1070" s="84"/>
    </row>
    <row r="1071" spans="5:24" x14ac:dyDescent="0.2"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  <c r="S1071" s="84"/>
      <c r="T1071" s="84"/>
      <c r="U1071" s="84"/>
      <c r="V1071" s="84"/>
      <c r="W1071" s="84"/>
      <c r="X1071" s="84"/>
    </row>
    <row r="1072" spans="5:24" x14ac:dyDescent="0.2"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  <c r="S1072" s="84"/>
      <c r="T1072" s="84"/>
      <c r="U1072" s="84"/>
      <c r="V1072" s="84"/>
      <c r="W1072" s="84"/>
      <c r="X1072" s="84"/>
    </row>
    <row r="1073" spans="5:24" x14ac:dyDescent="0.2"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  <c r="S1073" s="84"/>
      <c r="T1073" s="84"/>
      <c r="U1073" s="84"/>
      <c r="V1073" s="84"/>
      <c r="W1073" s="84"/>
      <c r="X1073" s="84"/>
    </row>
    <row r="1074" spans="5:24" x14ac:dyDescent="0.2"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  <c r="S1074" s="84"/>
      <c r="T1074" s="84"/>
      <c r="U1074" s="84"/>
      <c r="V1074" s="84"/>
      <c r="W1074" s="84"/>
      <c r="X1074" s="84"/>
    </row>
    <row r="1075" spans="5:24" x14ac:dyDescent="0.2"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  <c r="S1075" s="84"/>
      <c r="T1075" s="84"/>
      <c r="U1075" s="84"/>
      <c r="V1075" s="84"/>
      <c r="W1075" s="84"/>
      <c r="X1075" s="84"/>
    </row>
    <row r="1076" spans="5:24" x14ac:dyDescent="0.2"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  <c r="S1076" s="84"/>
      <c r="T1076" s="84"/>
      <c r="U1076" s="84"/>
      <c r="V1076" s="84"/>
      <c r="W1076" s="84"/>
      <c r="X1076" s="84"/>
    </row>
    <row r="1077" spans="5:24" x14ac:dyDescent="0.2"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  <c r="S1077" s="84"/>
      <c r="T1077" s="84"/>
      <c r="U1077" s="84"/>
      <c r="V1077" s="84"/>
      <c r="W1077" s="84"/>
      <c r="X1077" s="84"/>
    </row>
    <row r="1078" spans="5:24" x14ac:dyDescent="0.2"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  <c r="S1078" s="84"/>
      <c r="T1078" s="84"/>
      <c r="U1078" s="84"/>
      <c r="V1078" s="84"/>
      <c r="W1078" s="84"/>
      <c r="X1078" s="84"/>
    </row>
    <row r="1079" spans="5:24" x14ac:dyDescent="0.2"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  <c r="S1079" s="84"/>
      <c r="T1079" s="84"/>
      <c r="U1079" s="84"/>
      <c r="V1079" s="84"/>
      <c r="W1079" s="84"/>
      <c r="X1079" s="84"/>
    </row>
    <row r="1080" spans="5:24" x14ac:dyDescent="0.2"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  <c r="S1080" s="84"/>
      <c r="T1080" s="84"/>
      <c r="U1080" s="84"/>
      <c r="V1080" s="84"/>
      <c r="W1080" s="84"/>
      <c r="X1080" s="84"/>
    </row>
    <row r="1081" spans="5:24" x14ac:dyDescent="0.2"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  <c r="S1081" s="84"/>
      <c r="T1081" s="84"/>
      <c r="U1081" s="84"/>
      <c r="V1081" s="84"/>
      <c r="W1081" s="84"/>
      <c r="X1081" s="84"/>
    </row>
    <row r="1082" spans="5:24" x14ac:dyDescent="0.2"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  <c r="S1082" s="84"/>
      <c r="T1082" s="84"/>
      <c r="U1082" s="84"/>
      <c r="V1082" s="84"/>
      <c r="W1082" s="84"/>
      <c r="X1082" s="84"/>
    </row>
    <row r="1083" spans="5:24" x14ac:dyDescent="0.2"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  <c r="S1083" s="84"/>
      <c r="T1083" s="84"/>
      <c r="U1083" s="84"/>
      <c r="V1083" s="84"/>
      <c r="W1083" s="84"/>
      <c r="X1083" s="84"/>
    </row>
    <row r="1084" spans="5:24" x14ac:dyDescent="0.2"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  <c r="S1084" s="84"/>
      <c r="T1084" s="84"/>
      <c r="U1084" s="84"/>
      <c r="V1084" s="84"/>
      <c r="W1084" s="84"/>
      <c r="X1084" s="84"/>
    </row>
    <row r="1085" spans="5:24" x14ac:dyDescent="0.2"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  <c r="S1085" s="84"/>
      <c r="T1085" s="84"/>
      <c r="U1085" s="84"/>
      <c r="V1085" s="84"/>
      <c r="W1085" s="84"/>
      <c r="X1085" s="84"/>
    </row>
    <row r="1086" spans="5:24" x14ac:dyDescent="0.2"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  <c r="S1086" s="84"/>
      <c r="T1086" s="84"/>
      <c r="U1086" s="84"/>
      <c r="V1086" s="84"/>
      <c r="W1086" s="84"/>
      <c r="X1086" s="84"/>
    </row>
    <row r="1087" spans="5:24" x14ac:dyDescent="0.2"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  <c r="S1087" s="84"/>
      <c r="T1087" s="84"/>
      <c r="U1087" s="84"/>
      <c r="V1087" s="84"/>
      <c r="W1087" s="84"/>
      <c r="X1087" s="84"/>
    </row>
    <row r="1088" spans="5:24" x14ac:dyDescent="0.2"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  <c r="S1088" s="84"/>
      <c r="T1088" s="84"/>
      <c r="U1088" s="84"/>
      <c r="V1088" s="84"/>
      <c r="W1088" s="84"/>
      <c r="X1088" s="84"/>
    </row>
    <row r="1089" spans="5:24" x14ac:dyDescent="0.2"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  <c r="S1089" s="84"/>
      <c r="T1089" s="84"/>
      <c r="U1089" s="84"/>
      <c r="V1089" s="84"/>
      <c r="W1089" s="84"/>
      <c r="X1089" s="84"/>
    </row>
    <row r="1090" spans="5:24" x14ac:dyDescent="0.2"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  <c r="S1090" s="84"/>
      <c r="T1090" s="84"/>
      <c r="U1090" s="84"/>
      <c r="V1090" s="84"/>
      <c r="W1090" s="84"/>
      <c r="X1090" s="84"/>
    </row>
    <row r="1091" spans="5:24" x14ac:dyDescent="0.2"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  <c r="S1091" s="84"/>
      <c r="T1091" s="84"/>
      <c r="U1091" s="84"/>
      <c r="V1091" s="84"/>
      <c r="W1091" s="84"/>
      <c r="X1091" s="84"/>
    </row>
    <row r="1092" spans="5:24" x14ac:dyDescent="0.2"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  <c r="S1092" s="84"/>
      <c r="T1092" s="84"/>
      <c r="U1092" s="84"/>
      <c r="V1092" s="84"/>
      <c r="W1092" s="84"/>
      <c r="X1092" s="84"/>
    </row>
    <row r="1093" spans="5:24" x14ac:dyDescent="0.2"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  <c r="S1093" s="84"/>
      <c r="T1093" s="84"/>
      <c r="U1093" s="84"/>
      <c r="V1093" s="84"/>
      <c r="W1093" s="84"/>
      <c r="X1093" s="84"/>
    </row>
    <row r="1094" spans="5:24" x14ac:dyDescent="0.2"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  <c r="S1094" s="84"/>
      <c r="T1094" s="84"/>
      <c r="U1094" s="84"/>
      <c r="V1094" s="84"/>
      <c r="W1094" s="84"/>
      <c r="X1094" s="84"/>
    </row>
    <row r="1095" spans="5:24" x14ac:dyDescent="0.2"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  <c r="R1095" s="84"/>
      <c r="S1095" s="84"/>
      <c r="T1095" s="84"/>
      <c r="U1095" s="84"/>
      <c r="V1095" s="84"/>
      <c r="W1095" s="84"/>
      <c r="X1095" s="84"/>
    </row>
    <row r="1096" spans="5:24" x14ac:dyDescent="0.2"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  <c r="R1096" s="84"/>
      <c r="S1096" s="84"/>
      <c r="T1096" s="84"/>
      <c r="U1096" s="84"/>
      <c r="V1096" s="84"/>
      <c r="W1096" s="84"/>
      <c r="X1096" s="84"/>
    </row>
    <row r="1097" spans="5:24" x14ac:dyDescent="0.2"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  <c r="R1097" s="84"/>
      <c r="S1097" s="84"/>
      <c r="T1097" s="84"/>
      <c r="U1097" s="84"/>
      <c r="V1097" s="84"/>
      <c r="W1097" s="84"/>
      <c r="X1097" s="84"/>
    </row>
    <row r="1098" spans="5:24" x14ac:dyDescent="0.2">
      <c r="E1098" s="84"/>
      <c r="F1098" s="84"/>
      <c r="G1098" s="84"/>
      <c r="H1098" s="84"/>
      <c r="I1098" s="84"/>
      <c r="J1098" s="84"/>
      <c r="K1098" s="84"/>
      <c r="L1098" s="84"/>
      <c r="M1098" s="84"/>
      <c r="N1098" s="84"/>
      <c r="O1098" s="84"/>
      <c r="P1098" s="84"/>
      <c r="Q1098" s="84"/>
      <c r="R1098" s="84"/>
      <c r="S1098" s="84"/>
      <c r="T1098" s="84"/>
      <c r="U1098" s="84"/>
      <c r="V1098" s="84"/>
      <c r="W1098" s="84"/>
      <c r="X1098" s="84"/>
    </row>
    <row r="1099" spans="5:24" x14ac:dyDescent="0.2">
      <c r="E1099" s="84"/>
      <c r="F1099" s="84"/>
      <c r="G1099" s="84"/>
      <c r="H1099" s="84"/>
      <c r="I1099" s="84"/>
      <c r="J1099" s="84"/>
      <c r="K1099" s="84"/>
      <c r="L1099" s="84"/>
      <c r="M1099" s="84"/>
      <c r="N1099" s="84"/>
      <c r="O1099" s="84"/>
      <c r="P1099" s="84"/>
      <c r="Q1099" s="84"/>
      <c r="R1099" s="84"/>
      <c r="S1099" s="84"/>
      <c r="T1099" s="84"/>
      <c r="U1099" s="84"/>
      <c r="V1099" s="84"/>
      <c r="W1099" s="84"/>
      <c r="X1099" s="84"/>
    </row>
    <row r="1100" spans="5:24" x14ac:dyDescent="0.2">
      <c r="E1100" s="84"/>
      <c r="F1100" s="84"/>
      <c r="G1100" s="84"/>
      <c r="H1100" s="84"/>
      <c r="I1100" s="84"/>
      <c r="J1100" s="84"/>
      <c r="K1100" s="84"/>
      <c r="L1100" s="84"/>
      <c r="M1100" s="84"/>
      <c r="N1100" s="84"/>
      <c r="O1100" s="84"/>
      <c r="P1100" s="84"/>
      <c r="Q1100" s="84"/>
      <c r="R1100" s="84"/>
      <c r="S1100" s="84"/>
      <c r="T1100" s="84"/>
      <c r="U1100" s="84"/>
      <c r="V1100" s="84"/>
      <c r="W1100" s="84"/>
      <c r="X1100" s="84"/>
    </row>
    <row r="1101" spans="5:24" x14ac:dyDescent="0.2">
      <c r="E1101" s="84"/>
      <c r="F1101" s="84"/>
      <c r="G1101" s="84"/>
      <c r="H1101" s="84"/>
      <c r="I1101" s="84"/>
      <c r="J1101" s="84"/>
      <c r="K1101" s="84"/>
      <c r="L1101" s="84"/>
      <c r="M1101" s="84"/>
      <c r="N1101" s="84"/>
      <c r="O1101" s="84"/>
      <c r="P1101" s="84"/>
      <c r="Q1101" s="84"/>
      <c r="R1101" s="84"/>
      <c r="S1101" s="84"/>
      <c r="T1101" s="84"/>
      <c r="U1101" s="84"/>
      <c r="V1101" s="84"/>
      <c r="W1101" s="84"/>
      <c r="X1101" s="84"/>
    </row>
    <row r="1102" spans="5:24" x14ac:dyDescent="0.2">
      <c r="E1102" s="84"/>
      <c r="F1102" s="84"/>
      <c r="G1102" s="84"/>
      <c r="H1102" s="84"/>
      <c r="I1102" s="84"/>
      <c r="J1102" s="84"/>
      <c r="K1102" s="84"/>
      <c r="L1102" s="84"/>
      <c r="M1102" s="84"/>
      <c r="N1102" s="84"/>
      <c r="O1102" s="84"/>
      <c r="P1102" s="84"/>
      <c r="Q1102" s="84"/>
      <c r="R1102" s="84"/>
      <c r="S1102" s="84"/>
      <c r="T1102" s="84"/>
      <c r="U1102" s="84"/>
      <c r="V1102" s="84"/>
      <c r="W1102" s="84"/>
      <c r="X1102" s="84"/>
    </row>
    <row r="1103" spans="5:24" x14ac:dyDescent="0.2">
      <c r="E1103" s="84"/>
      <c r="F1103" s="84"/>
      <c r="G1103" s="84"/>
      <c r="H1103" s="84"/>
      <c r="I1103" s="84"/>
      <c r="J1103" s="84"/>
      <c r="K1103" s="84"/>
      <c r="L1103" s="84"/>
      <c r="M1103" s="84"/>
      <c r="N1103" s="84"/>
      <c r="O1103" s="84"/>
      <c r="P1103" s="84"/>
      <c r="Q1103" s="84"/>
      <c r="R1103" s="84"/>
      <c r="S1103" s="84"/>
      <c r="T1103" s="84"/>
      <c r="U1103" s="84"/>
      <c r="V1103" s="84"/>
      <c r="W1103" s="84"/>
      <c r="X1103" s="84"/>
    </row>
    <row r="1104" spans="5:24" x14ac:dyDescent="0.2">
      <c r="E1104" s="84"/>
      <c r="F1104" s="84"/>
      <c r="G1104" s="84"/>
      <c r="H1104" s="84"/>
      <c r="I1104" s="84"/>
      <c r="J1104" s="84"/>
      <c r="K1104" s="84"/>
      <c r="L1104" s="84"/>
      <c r="M1104" s="84"/>
      <c r="N1104" s="84"/>
      <c r="O1104" s="84"/>
      <c r="P1104" s="84"/>
      <c r="Q1104" s="84"/>
      <c r="R1104" s="84"/>
      <c r="S1104" s="84"/>
      <c r="T1104" s="84"/>
      <c r="U1104" s="84"/>
      <c r="V1104" s="84"/>
      <c r="W1104" s="84"/>
      <c r="X1104" s="84"/>
    </row>
    <row r="1105" spans="5:24" x14ac:dyDescent="0.2">
      <c r="E1105" s="84"/>
      <c r="F1105" s="84"/>
      <c r="G1105" s="84"/>
      <c r="H1105" s="84"/>
      <c r="I1105" s="84"/>
      <c r="J1105" s="84"/>
      <c r="K1105" s="84"/>
      <c r="L1105" s="84"/>
      <c r="M1105" s="84"/>
      <c r="N1105" s="84"/>
      <c r="O1105" s="84"/>
      <c r="P1105" s="84"/>
      <c r="Q1105" s="84"/>
      <c r="R1105" s="84"/>
      <c r="S1105" s="84"/>
      <c r="T1105" s="84"/>
      <c r="U1105" s="84"/>
      <c r="V1105" s="84"/>
      <c r="W1105" s="84"/>
      <c r="X1105" s="84"/>
    </row>
    <row r="1106" spans="5:24" x14ac:dyDescent="0.2">
      <c r="E1106" s="84"/>
      <c r="F1106" s="84"/>
      <c r="G1106" s="84"/>
      <c r="H1106" s="84"/>
      <c r="I1106" s="84"/>
      <c r="J1106" s="84"/>
      <c r="K1106" s="84"/>
      <c r="L1106" s="84"/>
      <c r="M1106" s="84"/>
      <c r="N1106" s="84"/>
      <c r="O1106" s="84"/>
      <c r="P1106" s="84"/>
      <c r="Q1106" s="84"/>
      <c r="R1106" s="84"/>
      <c r="S1106" s="84"/>
      <c r="T1106" s="84"/>
      <c r="U1106" s="84"/>
      <c r="V1106" s="84"/>
      <c r="W1106" s="84"/>
      <c r="X1106" s="84"/>
    </row>
    <row r="1107" spans="5:24" x14ac:dyDescent="0.2"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  <c r="S1107" s="84"/>
      <c r="T1107" s="84"/>
      <c r="U1107" s="84"/>
      <c r="V1107" s="84"/>
      <c r="W1107" s="84"/>
      <c r="X1107" s="84"/>
    </row>
    <row r="1108" spans="5:24" x14ac:dyDescent="0.2"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  <c r="S1108" s="84"/>
      <c r="T1108" s="84"/>
      <c r="U1108" s="84"/>
      <c r="V1108" s="84"/>
      <c r="W1108" s="84"/>
      <c r="X1108" s="84"/>
    </row>
    <row r="1109" spans="5:24" x14ac:dyDescent="0.2"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  <c r="S1109" s="84"/>
      <c r="T1109" s="84"/>
      <c r="U1109" s="84"/>
      <c r="V1109" s="84"/>
      <c r="W1109" s="84"/>
      <c r="X1109" s="84"/>
    </row>
    <row r="1110" spans="5:24" x14ac:dyDescent="0.2"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  <c r="S1110" s="84"/>
      <c r="T1110" s="84"/>
      <c r="U1110" s="84"/>
      <c r="V1110" s="84"/>
      <c r="W1110" s="84"/>
      <c r="X1110" s="84"/>
    </row>
    <row r="1111" spans="5:24" x14ac:dyDescent="0.2"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  <c r="S1111" s="84"/>
      <c r="T1111" s="84"/>
      <c r="U1111" s="84"/>
      <c r="V1111" s="84"/>
      <c r="W1111" s="84"/>
      <c r="X1111" s="84"/>
    </row>
    <row r="1112" spans="5:24" x14ac:dyDescent="0.2"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  <c r="S1112" s="84"/>
      <c r="T1112" s="84"/>
      <c r="U1112" s="84"/>
      <c r="V1112" s="84"/>
      <c r="W1112" s="84"/>
      <c r="X1112" s="84"/>
    </row>
    <row r="1113" spans="5:24" x14ac:dyDescent="0.2"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  <c r="S1113" s="84"/>
      <c r="T1113" s="84"/>
      <c r="U1113" s="84"/>
      <c r="V1113" s="84"/>
      <c r="W1113" s="84"/>
      <c r="X1113" s="84"/>
    </row>
    <row r="1114" spans="5:24" x14ac:dyDescent="0.2"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  <c r="S1114" s="84"/>
      <c r="T1114" s="84"/>
      <c r="U1114" s="84"/>
      <c r="V1114" s="84"/>
      <c r="W1114" s="84"/>
      <c r="X1114" s="84"/>
    </row>
    <row r="1115" spans="5:24" x14ac:dyDescent="0.2"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  <c r="S1115" s="84"/>
      <c r="T1115" s="84"/>
      <c r="U1115" s="84"/>
      <c r="V1115" s="84"/>
      <c r="W1115" s="84"/>
      <c r="X1115" s="84"/>
    </row>
    <row r="1116" spans="5:24" x14ac:dyDescent="0.2"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  <c r="S1116" s="84"/>
      <c r="T1116" s="84"/>
      <c r="U1116" s="84"/>
      <c r="V1116" s="84"/>
      <c r="W1116" s="84"/>
      <c r="X1116" s="84"/>
    </row>
    <row r="1117" spans="5:24" x14ac:dyDescent="0.2"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  <c r="S1117" s="84"/>
      <c r="T1117" s="84"/>
      <c r="U1117" s="84"/>
      <c r="V1117" s="84"/>
      <c r="W1117" s="84"/>
      <c r="X1117" s="84"/>
    </row>
    <row r="1118" spans="5:24" x14ac:dyDescent="0.2"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  <c r="S1118" s="84"/>
      <c r="T1118" s="84"/>
      <c r="U1118" s="84"/>
      <c r="V1118" s="84"/>
      <c r="W1118" s="84"/>
      <c r="X1118" s="84"/>
    </row>
    <row r="1119" spans="5:24" x14ac:dyDescent="0.2"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  <c r="S1119" s="84"/>
      <c r="T1119" s="84"/>
      <c r="U1119" s="84"/>
      <c r="V1119" s="84"/>
      <c r="W1119" s="84"/>
      <c r="X1119" s="84"/>
    </row>
    <row r="1120" spans="5:24" x14ac:dyDescent="0.2"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  <c r="S1120" s="84"/>
      <c r="T1120" s="84"/>
      <c r="U1120" s="84"/>
      <c r="V1120" s="84"/>
      <c r="W1120" s="84"/>
      <c r="X1120" s="84"/>
    </row>
    <row r="1121" spans="5:24" x14ac:dyDescent="0.2"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  <c r="S1121" s="84"/>
      <c r="T1121" s="84"/>
      <c r="U1121" s="84"/>
      <c r="V1121" s="84"/>
      <c r="W1121" s="84"/>
      <c r="X1121" s="84"/>
    </row>
    <row r="1122" spans="5:24" x14ac:dyDescent="0.2"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  <c r="S1122" s="84"/>
      <c r="T1122" s="84"/>
      <c r="U1122" s="84"/>
      <c r="V1122" s="84"/>
      <c r="W1122" s="84"/>
      <c r="X1122" s="84"/>
    </row>
    <row r="1123" spans="5:24" x14ac:dyDescent="0.2"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  <c r="S1123" s="84"/>
      <c r="T1123" s="84"/>
      <c r="U1123" s="84"/>
      <c r="V1123" s="84"/>
      <c r="W1123" s="84"/>
      <c r="X1123" s="84"/>
    </row>
    <row r="1124" spans="5:24" x14ac:dyDescent="0.2"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  <c r="S1124" s="84"/>
      <c r="T1124" s="84"/>
      <c r="U1124" s="84"/>
      <c r="V1124" s="84"/>
      <c r="W1124" s="84"/>
      <c r="X1124" s="84"/>
    </row>
    <row r="1125" spans="5:24" x14ac:dyDescent="0.2"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  <c r="S1125" s="84"/>
      <c r="T1125" s="84"/>
      <c r="U1125" s="84"/>
      <c r="V1125" s="84"/>
      <c r="W1125" s="84"/>
      <c r="X1125" s="84"/>
    </row>
    <row r="1126" spans="5:24" x14ac:dyDescent="0.2"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  <c r="S1126" s="84"/>
      <c r="T1126" s="84"/>
      <c r="U1126" s="84"/>
      <c r="V1126" s="84"/>
      <c r="W1126" s="84"/>
      <c r="X1126" s="84"/>
    </row>
    <row r="1127" spans="5:24" x14ac:dyDescent="0.2"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  <c r="S1127" s="84"/>
      <c r="T1127" s="84"/>
      <c r="U1127" s="84"/>
      <c r="V1127" s="84"/>
      <c r="W1127" s="84"/>
      <c r="X1127" s="84"/>
    </row>
    <row r="1128" spans="5:24" x14ac:dyDescent="0.2"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  <c r="S1128" s="84"/>
      <c r="T1128" s="84"/>
      <c r="U1128" s="84"/>
      <c r="V1128" s="84"/>
      <c r="W1128" s="84"/>
      <c r="X1128" s="84"/>
    </row>
    <row r="1129" spans="5:24" x14ac:dyDescent="0.2"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  <c r="S1129" s="84"/>
      <c r="T1129" s="84"/>
      <c r="U1129" s="84"/>
      <c r="V1129" s="84"/>
      <c r="W1129" s="84"/>
      <c r="X1129" s="84"/>
    </row>
    <row r="1130" spans="5:24" x14ac:dyDescent="0.2">
      <c r="E1130" s="84"/>
      <c r="F1130" s="84"/>
      <c r="G1130" s="84"/>
      <c r="H1130" s="84"/>
      <c r="I1130" s="84"/>
      <c r="J1130" s="84"/>
      <c r="K1130" s="84"/>
      <c r="L1130" s="84"/>
      <c r="M1130" s="84"/>
      <c r="N1130" s="84"/>
      <c r="O1130" s="84"/>
      <c r="P1130" s="84"/>
      <c r="Q1130" s="84"/>
      <c r="R1130" s="84"/>
      <c r="S1130" s="84"/>
      <c r="T1130" s="84"/>
      <c r="U1130" s="84"/>
      <c r="V1130" s="84"/>
      <c r="W1130" s="84"/>
      <c r="X1130" s="84"/>
    </row>
    <row r="1131" spans="5:24" x14ac:dyDescent="0.2"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  <c r="S1131" s="84"/>
      <c r="T1131" s="84"/>
      <c r="U1131" s="84"/>
      <c r="V1131" s="84"/>
      <c r="W1131" s="84"/>
      <c r="X1131" s="84"/>
    </row>
    <row r="1132" spans="5:24" x14ac:dyDescent="0.2"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  <c r="S1132" s="84"/>
      <c r="T1132" s="84"/>
      <c r="U1132" s="84"/>
      <c r="V1132" s="84"/>
      <c r="W1132" s="84"/>
      <c r="X1132" s="84"/>
    </row>
    <row r="1133" spans="5:24" x14ac:dyDescent="0.2"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  <c r="S1133" s="84"/>
      <c r="T1133" s="84"/>
      <c r="U1133" s="84"/>
      <c r="V1133" s="84"/>
      <c r="W1133" s="84"/>
      <c r="X1133" s="84"/>
    </row>
    <row r="1134" spans="5:24" x14ac:dyDescent="0.2"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  <c r="S1134" s="84"/>
      <c r="T1134" s="84"/>
      <c r="U1134" s="84"/>
      <c r="V1134" s="84"/>
      <c r="W1134" s="84"/>
      <c r="X1134" s="84"/>
    </row>
    <row r="1135" spans="5:24" x14ac:dyDescent="0.2"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  <c r="S1135" s="84"/>
      <c r="T1135" s="84"/>
      <c r="U1135" s="84"/>
      <c r="V1135" s="84"/>
      <c r="W1135" s="84"/>
      <c r="X1135" s="84"/>
    </row>
    <row r="1136" spans="5:24" x14ac:dyDescent="0.2"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  <c r="S1136" s="84"/>
      <c r="T1136" s="84"/>
      <c r="U1136" s="84"/>
      <c r="V1136" s="84"/>
      <c r="W1136" s="84"/>
      <c r="X1136" s="84"/>
    </row>
    <row r="1137" spans="5:24" x14ac:dyDescent="0.2"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  <c r="S1137" s="84"/>
      <c r="T1137" s="84"/>
      <c r="U1137" s="84"/>
      <c r="V1137" s="84"/>
      <c r="W1137" s="84"/>
      <c r="X1137" s="84"/>
    </row>
    <row r="1138" spans="5:24" x14ac:dyDescent="0.2"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  <c r="S1138" s="84"/>
      <c r="T1138" s="84"/>
      <c r="U1138" s="84"/>
      <c r="V1138" s="84"/>
      <c r="W1138" s="84"/>
      <c r="X1138" s="84"/>
    </row>
    <row r="1139" spans="5:24" x14ac:dyDescent="0.2"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  <c r="S1139" s="84"/>
      <c r="T1139" s="84"/>
      <c r="U1139" s="84"/>
      <c r="V1139" s="84"/>
      <c r="W1139" s="84"/>
      <c r="X1139" s="84"/>
    </row>
    <row r="1140" spans="5:24" x14ac:dyDescent="0.2"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  <c r="S1140" s="84"/>
      <c r="T1140" s="84"/>
      <c r="U1140" s="84"/>
      <c r="V1140" s="84"/>
      <c r="W1140" s="84"/>
      <c r="X1140" s="84"/>
    </row>
    <row r="1141" spans="5:24" x14ac:dyDescent="0.2"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  <c r="S1141" s="84"/>
      <c r="T1141" s="84"/>
      <c r="U1141" s="84"/>
      <c r="V1141" s="84"/>
      <c r="W1141" s="84"/>
      <c r="X1141" s="84"/>
    </row>
    <row r="1142" spans="5:24" x14ac:dyDescent="0.2"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  <c r="S1142" s="84"/>
      <c r="T1142" s="84"/>
      <c r="U1142" s="84"/>
      <c r="V1142" s="84"/>
      <c r="W1142" s="84"/>
      <c r="X1142" s="84"/>
    </row>
    <row r="1143" spans="5:24" x14ac:dyDescent="0.2"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  <c r="R1143" s="84"/>
      <c r="S1143" s="84"/>
      <c r="T1143" s="84"/>
      <c r="U1143" s="84"/>
      <c r="V1143" s="84"/>
      <c r="W1143" s="84"/>
      <c r="X1143" s="84"/>
    </row>
    <row r="1144" spans="5:24" x14ac:dyDescent="0.2"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  <c r="R1144" s="84"/>
      <c r="S1144" s="84"/>
      <c r="T1144" s="84"/>
      <c r="U1144" s="84"/>
      <c r="V1144" s="84"/>
      <c r="W1144" s="84"/>
      <c r="X1144" s="84"/>
    </row>
    <row r="1145" spans="5:24" x14ac:dyDescent="0.2"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  <c r="R1145" s="84"/>
      <c r="S1145" s="84"/>
      <c r="T1145" s="84"/>
      <c r="U1145" s="84"/>
      <c r="V1145" s="84"/>
      <c r="W1145" s="84"/>
      <c r="X1145" s="84"/>
    </row>
    <row r="1146" spans="5:24" x14ac:dyDescent="0.2"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  <c r="R1146" s="84"/>
      <c r="S1146" s="84"/>
      <c r="T1146" s="84"/>
      <c r="U1146" s="84"/>
      <c r="V1146" s="84"/>
      <c r="W1146" s="84"/>
      <c r="X1146" s="84"/>
    </row>
    <row r="1147" spans="5:24" x14ac:dyDescent="0.2"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  <c r="R1147" s="84"/>
      <c r="S1147" s="84"/>
      <c r="T1147" s="84"/>
      <c r="U1147" s="84"/>
      <c r="V1147" s="84"/>
      <c r="W1147" s="84"/>
      <c r="X1147" s="84"/>
    </row>
    <row r="1148" spans="5:24" x14ac:dyDescent="0.2"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  <c r="R1148" s="84"/>
      <c r="S1148" s="84"/>
      <c r="T1148" s="84"/>
      <c r="U1148" s="84"/>
      <c r="V1148" s="84"/>
      <c r="W1148" s="84"/>
      <c r="X1148" s="84"/>
    </row>
    <row r="1149" spans="5:24" x14ac:dyDescent="0.2"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  <c r="R1149" s="84"/>
      <c r="S1149" s="84"/>
      <c r="T1149" s="84"/>
      <c r="U1149" s="84"/>
      <c r="V1149" s="84"/>
      <c r="W1149" s="84"/>
      <c r="X1149" s="84"/>
    </row>
    <row r="1150" spans="5:24" x14ac:dyDescent="0.2"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  <c r="R1150" s="84"/>
      <c r="S1150" s="84"/>
      <c r="T1150" s="84"/>
      <c r="U1150" s="84"/>
      <c r="V1150" s="84"/>
      <c r="W1150" s="84"/>
      <c r="X1150" s="84"/>
    </row>
    <row r="1151" spans="5:24" x14ac:dyDescent="0.2"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  <c r="R1151" s="84"/>
      <c r="S1151" s="84"/>
      <c r="T1151" s="84"/>
      <c r="U1151" s="84"/>
      <c r="V1151" s="84"/>
      <c r="W1151" s="84"/>
      <c r="X1151" s="84"/>
    </row>
    <row r="1152" spans="5:24" x14ac:dyDescent="0.2"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  <c r="R1152" s="84"/>
      <c r="S1152" s="84"/>
      <c r="T1152" s="84"/>
      <c r="U1152" s="84"/>
      <c r="V1152" s="84"/>
      <c r="W1152" s="84"/>
      <c r="X1152" s="84"/>
    </row>
    <row r="1153" spans="5:24" x14ac:dyDescent="0.2"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  <c r="S1153" s="84"/>
      <c r="T1153" s="84"/>
      <c r="U1153" s="84"/>
      <c r="V1153" s="84"/>
      <c r="W1153" s="84"/>
      <c r="X1153" s="84"/>
    </row>
    <row r="1154" spans="5:24" x14ac:dyDescent="0.2"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  <c r="S1154" s="84"/>
      <c r="T1154" s="84"/>
      <c r="U1154" s="84"/>
      <c r="V1154" s="84"/>
      <c r="W1154" s="84"/>
      <c r="X1154" s="84"/>
    </row>
    <row r="1155" spans="5:24" x14ac:dyDescent="0.2"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  <c r="S1155" s="84"/>
      <c r="T1155" s="84"/>
      <c r="U1155" s="84"/>
      <c r="V1155" s="84"/>
      <c r="W1155" s="84"/>
      <c r="X1155" s="84"/>
    </row>
    <row r="1156" spans="5:24" x14ac:dyDescent="0.2"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  <c r="S1156" s="84"/>
      <c r="T1156" s="84"/>
      <c r="U1156" s="84"/>
      <c r="V1156" s="84"/>
      <c r="W1156" s="84"/>
      <c r="X1156" s="84"/>
    </row>
    <row r="1157" spans="5:24" x14ac:dyDescent="0.2"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  <c r="S1157" s="84"/>
      <c r="T1157" s="84"/>
      <c r="U1157" s="84"/>
      <c r="V1157" s="84"/>
      <c r="W1157" s="84"/>
      <c r="X1157" s="84"/>
    </row>
    <row r="1158" spans="5:24" x14ac:dyDescent="0.2"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  <c r="S1158" s="84"/>
      <c r="T1158" s="84"/>
      <c r="U1158" s="84"/>
      <c r="V1158" s="84"/>
      <c r="W1158" s="84"/>
      <c r="X1158" s="84"/>
    </row>
    <row r="1159" spans="5:24" x14ac:dyDescent="0.2"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  <c r="S1159" s="84"/>
      <c r="T1159" s="84"/>
      <c r="U1159" s="84"/>
      <c r="V1159" s="84"/>
      <c r="W1159" s="84"/>
      <c r="X1159" s="84"/>
    </row>
    <row r="1160" spans="5:24" x14ac:dyDescent="0.2"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  <c r="S1160" s="84"/>
      <c r="T1160" s="84"/>
      <c r="U1160" s="84"/>
      <c r="V1160" s="84"/>
      <c r="W1160" s="84"/>
      <c r="X1160" s="84"/>
    </row>
    <row r="1161" spans="5:24" x14ac:dyDescent="0.2"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  <c r="S1161" s="84"/>
      <c r="T1161" s="84"/>
      <c r="U1161" s="84"/>
      <c r="V1161" s="84"/>
      <c r="W1161" s="84"/>
      <c r="X1161" s="84"/>
    </row>
    <row r="1162" spans="5:24" x14ac:dyDescent="0.2"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  <c r="S1162" s="84"/>
      <c r="T1162" s="84"/>
      <c r="U1162" s="84"/>
      <c r="V1162" s="84"/>
      <c r="W1162" s="84"/>
      <c r="X1162" s="84"/>
    </row>
    <row r="1163" spans="5:24" x14ac:dyDescent="0.2"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  <c r="S1163" s="84"/>
      <c r="T1163" s="84"/>
      <c r="U1163" s="84"/>
      <c r="V1163" s="84"/>
      <c r="W1163" s="84"/>
      <c r="X1163" s="84"/>
    </row>
    <row r="1164" spans="5:24" x14ac:dyDescent="0.2"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  <c r="S1164" s="84"/>
      <c r="T1164" s="84"/>
      <c r="U1164" s="84"/>
      <c r="V1164" s="84"/>
      <c r="W1164" s="84"/>
      <c r="X1164" s="84"/>
    </row>
    <row r="1165" spans="5:24" x14ac:dyDescent="0.2"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  <c r="S1165" s="84"/>
      <c r="T1165" s="84"/>
      <c r="U1165" s="84"/>
      <c r="V1165" s="84"/>
      <c r="W1165" s="84"/>
      <c r="X1165" s="84"/>
    </row>
    <row r="1166" spans="5:24" x14ac:dyDescent="0.2"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  <c r="S1166" s="84"/>
      <c r="T1166" s="84"/>
      <c r="U1166" s="84"/>
      <c r="V1166" s="84"/>
      <c r="W1166" s="84"/>
      <c r="X1166" s="84"/>
    </row>
    <row r="1167" spans="5:24" x14ac:dyDescent="0.2"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  <c r="S1167" s="84"/>
      <c r="T1167" s="84"/>
      <c r="U1167" s="84"/>
      <c r="V1167" s="84"/>
      <c r="W1167" s="84"/>
      <c r="X1167" s="84"/>
    </row>
    <row r="1168" spans="5:24" x14ac:dyDescent="0.2"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  <c r="S1168" s="84"/>
      <c r="T1168" s="84"/>
      <c r="U1168" s="84"/>
      <c r="V1168" s="84"/>
      <c r="W1168" s="84"/>
      <c r="X1168" s="84"/>
    </row>
    <row r="1169" spans="5:24" x14ac:dyDescent="0.2"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  <c r="S1169" s="84"/>
      <c r="T1169" s="84"/>
      <c r="U1169" s="84"/>
      <c r="V1169" s="84"/>
      <c r="W1169" s="84"/>
      <c r="X1169" s="84"/>
    </row>
    <row r="1170" spans="5:24" x14ac:dyDescent="0.2"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  <c r="S1170" s="84"/>
      <c r="T1170" s="84"/>
      <c r="U1170" s="84"/>
      <c r="V1170" s="84"/>
      <c r="W1170" s="84"/>
      <c r="X1170" s="84"/>
    </row>
    <row r="1171" spans="5:24" x14ac:dyDescent="0.2"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  <c r="S1171" s="84"/>
      <c r="T1171" s="84"/>
      <c r="U1171" s="84"/>
      <c r="V1171" s="84"/>
      <c r="W1171" s="84"/>
      <c r="X1171" s="84"/>
    </row>
    <row r="1172" spans="5:24" x14ac:dyDescent="0.2"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  <c r="S1172" s="84"/>
      <c r="T1172" s="84"/>
      <c r="U1172" s="84"/>
      <c r="V1172" s="84"/>
      <c r="W1172" s="84"/>
      <c r="X1172" s="84"/>
    </row>
    <row r="1173" spans="5:24" x14ac:dyDescent="0.2"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  <c r="S1173" s="84"/>
      <c r="T1173" s="84"/>
      <c r="U1173" s="84"/>
      <c r="V1173" s="84"/>
      <c r="W1173" s="84"/>
      <c r="X1173" s="84"/>
    </row>
    <row r="1174" spans="5:24" x14ac:dyDescent="0.2"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  <c r="S1174" s="84"/>
      <c r="T1174" s="84"/>
      <c r="U1174" s="84"/>
      <c r="V1174" s="84"/>
      <c r="W1174" s="84"/>
      <c r="X1174" s="84"/>
    </row>
    <row r="1175" spans="5:24" x14ac:dyDescent="0.2"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  <c r="S1175" s="84"/>
      <c r="T1175" s="84"/>
      <c r="U1175" s="84"/>
      <c r="V1175" s="84"/>
      <c r="W1175" s="84"/>
      <c r="X1175" s="84"/>
    </row>
    <row r="1176" spans="5:24" x14ac:dyDescent="0.2"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  <c r="R1176" s="84"/>
      <c r="S1176" s="84"/>
      <c r="T1176" s="84"/>
      <c r="U1176" s="84"/>
      <c r="V1176" s="84"/>
      <c r="W1176" s="84"/>
      <c r="X1176" s="84"/>
    </row>
    <row r="1177" spans="5:24" x14ac:dyDescent="0.2"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  <c r="R1177" s="84"/>
      <c r="S1177" s="84"/>
      <c r="T1177" s="84"/>
      <c r="U1177" s="84"/>
      <c r="V1177" s="84"/>
      <c r="W1177" s="84"/>
      <c r="X1177" s="84"/>
    </row>
    <row r="1178" spans="5:24" x14ac:dyDescent="0.2"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  <c r="R1178" s="84"/>
      <c r="S1178" s="84"/>
      <c r="T1178" s="84"/>
      <c r="U1178" s="84"/>
      <c r="V1178" s="84"/>
      <c r="W1178" s="84"/>
      <c r="X1178" s="84"/>
    </row>
    <row r="1179" spans="5:24" x14ac:dyDescent="0.2"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  <c r="S1179" s="84"/>
      <c r="T1179" s="84"/>
      <c r="U1179" s="84"/>
      <c r="V1179" s="84"/>
      <c r="W1179" s="84"/>
      <c r="X1179" s="84"/>
    </row>
    <row r="1180" spans="5:24" x14ac:dyDescent="0.2"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  <c r="S1180" s="84"/>
      <c r="T1180" s="84"/>
      <c r="U1180" s="84"/>
      <c r="V1180" s="84"/>
      <c r="W1180" s="84"/>
      <c r="X1180" s="84"/>
    </row>
    <row r="1181" spans="5:24" x14ac:dyDescent="0.2"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  <c r="S1181" s="84"/>
      <c r="T1181" s="84"/>
      <c r="U1181" s="84"/>
      <c r="V1181" s="84"/>
      <c r="W1181" s="84"/>
      <c r="X1181" s="84"/>
    </row>
    <row r="1182" spans="5:24" x14ac:dyDescent="0.2"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  <c r="S1182" s="84"/>
      <c r="T1182" s="84"/>
      <c r="U1182" s="84"/>
      <c r="V1182" s="84"/>
      <c r="W1182" s="84"/>
      <c r="X1182" s="84"/>
    </row>
    <row r="1183" spans="5:24" x14ac:dyDescent="0.2"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  <c r="S1183" s="84"/>
      <c r="T1183" s="84"/>
      <c r="U1183" s="84"/>
      <c r="V1183" s="84"/>
      <c r="W1183" s="84"/>
      <c r="X1183" s="84"/>
    </row>
    <row r="1184" spans="5:24" x14ac:dyDescent="0.2"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  <c r="S1184" s="84"/>
      <c r="T1184" s="84"/>
      <c r="U1184" s="84"/>
      <c r="V1184" s="84"/>
      <c r="W1184" s="84"/>
      <c r="X1184" s="84"/>
    </row>
    <row r="1185" spans="5:24" x14ac:dyDescent="0.2"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  <c r="S1185" s="84"/>
      <c r="T1185" s="84"/>
      <c r="U1185" s="84"/>
      <c r="V1185" s="84"/>
      <c r="W1185" s="84"/>
      <c r="X1185" s="84"/>
    </row>
    <row r="1186" spans="5:24" x14ac:dyDescent="0.2"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  <c r="S1186" s="84"/>
      <c r="T1186" s="84"/>
      <c r="U1186" s="84"/>
      <c r="V1186" s="84"/>
      <c r="W1186" s="84"/>
      <c r="X1186" s="84"/>
    </row>
    <row r="1187" spans="5:24" x14ac:dyDescent="0.2"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  <c r="S1187" s="84"/>
      <c r="T1187" s="84"/>
      <c r="U1187" s="84"/>
      <c r="V1187" s="84"/>
      <c r="W1187" s="84"/>
      <c r="X1187" s="84"/>
    </row>
    <row r="1188" spans="5:24" x14ac:dyDescent="0.2"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  <c r="S1188" s="84"/>
      <c r="T1188" s="84"/>
      <c r="U1188" s="84"/>
      <c r="V1188" s="84"/>
      <c r="W1188" s="84"/>
      <c r="X1188" s="84"/>
    </row>
    <row r="1189" spans="5:24" x14ac:dyDescent="0.2"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  <c r="S1189" s="84"/>
      <c r="T1189" s="84"/>
      <c r="U1189" s="84"/>
      <c r="V1189" s="84"/>
      <c r="W1189" s="84"/>
      <c r="X1189" s="84"/>
    </row>
    <row r="1190" spans="5:24" x14ac:dyDescent="0.2"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  <c r="S1190" s="84"/>
      <c r="T1190" s="84"/>
      <c r="U1190" s="84"/>
      <c r="V1190" s="84"/>
      <c r="W1190" s="84"/>
      <c r="X1190" s="84"/>
    </row>
    <row r="1191" spans="5:24" x14ac:dyDescent="0.2">
      <c r="E1191" s="84"/>
      <c r="F1191" s="84"/>
      <c r="G1191" s="84"/>
      <c r="H1191" s="84"/>
      <c r="I1191" s="84"/>
      <c r="J1191" s="84"/>
      <c r="K1191" s="84"/>
      <c r="L1191" s="84"/>
      <c r="M1191" s="84"/>
      <c r="N1191" s="84"/>
      <c r="O1191" s="84"/>
      <c r="P1191" s="84"/>
      <c r="Q1191" s="84"/>
      <c r="R1191" s="84"/>
      <c r="S1191" s="84"/>
      <c r="T1191" s="84"/>
      <c r="U1191" s="84"/>
      <c r="V1191" s="84"/>
      <c r="W1191" s="84"/>
      <c r="X1191" s="84"/>
    </row>
    <row r="1192" spans="5:24" x14ac:dyDescent="0.2">
      <c r="E1192" s="84"/>
      <c r="F1192" s="84"/>
      <c r="G1192" s="84"/>
      <c r="H1192" s="84"/>
      <c r="I1192" s="84"/>
      <c r="J1192" s="84"/>
      <c r="K1192" s="84"/>
      <c r="L1192" s="84"/>
      <c r="M1192" s="84"/>
      <c r="N1192" s="84"/>
      <c r="O1192" s="84"/>
      <c r="P1192" s="84"/>
      <c r="Q1192" s="84"/>
      <c r="R1192" s="84"/>
      <c r="S1192" s="84"/>
      <c r="T1192" s="84"/>
      <c r="U1192" s="84"/>
      <c r="V1192" s="84"/>
      <c r="W1192" s="84"/>
      <c r="X1192" s="84"/>
    </row>
    <row r="1193" spans="5:24" x14ac:dyDescent="0.2">
      <c r="E1193" s="84"/>
      <c r="F1193" s="84"/>
      <c r="G1193" s="84"/>
      <c r="H1193" s="84"/>
      <c r="I1193" s="84"/>
      <c r="J1193" s="84"/>
      <c r="K1193" s="84"/>
      <c r="L1193" s="84"/>
      <c r="M1193" s="84"/>
      <c r="N1193" s="84"/>
      <c r="O1193" s="84"/>
      <c r="P1193" s="84"/>
      <c r="Q1193" s="84"/>
      <c r="R1193" s="84"/>
      <c r="S1193" s="84"/>
      <c r="T1193" s="84"/>
      <c r="U1193" s="84"/>
      <c r="V1193" s="84"/>
      <c r="W1193" s="84"/>
      <c r="X1193" s="84"/>
    </row>
    <row r="1194" spans="5:24" x14ac:dyDescent="0.2">
      <c r="E1194" s="84"/>
      <c r="F1194" s="84"/>
      <c r="G1194" s="84"/>
      <c r="H1194" s="84"/>
      <c r="I1194" s="84"/>
      <c r="J1194" s="84"/>
      <c r="K1194" s="84"/>
      <c r="L1194" s="84"/>
      <c r="M1194" s="84"/>
      <c r="N1194" s="84"/>
      <c r="O1194" s="84"/>
      <c r="P1194" s="84"/>
      <c r="Q1194" s="84"/>
      <c r="R1194" s="84"/>
      <c r="S1194" s="84"/>
      <c r="T1194" s="84"/>
      <c r="U1194" s="84"/>
      <c r="V1194" s="84"/>
      <c r="W1194" s="84"/>
      <c r="X1194" s="84"/>
    </row>
    <row r="1195" spans="5:24" x14ac:dyDescent="0.2">
      <c r="E1195" s="84"/>
      <c r="F1195" s="84"/>
      <c r="G1195" s="84"/>
      <c r="H1195" s="84"/>
      <c r="I1195" s="84"/>
      <c r="J1195" s="84"/>
      <c r="K1195" s="84"/>
      <c r="L1195" s="84"/>
      <c r="M1195" s="84"/>
      <c r="N1195" s="84"/>
      <c r="O1195" s="84"/>
      <c r="P1195" s="84"/>
      <c r="Q1195" s="84"/>
      <c r="R1195" s="84"/>
      <c r="S1195" s="84"/>
      <c r="T1195" s="84"/>
      <c r="U1195" s="84"/>
      <c r="V1195" s="84"/>
      <c r="W1195" s="84"/>
      <c r="X1195" s="84"/>
    </row>
    <row r="1196" spans="5:24" x14ac:dyDescent="0.2">
      <c r="E1196" s="84"/>
      <c r="F1196" s="84"/>
      <c r="G1196" s="84"/>
      <c r="H1196" s="84"/>
      <c r="I1196" s="84"/>
      <c r="J1196" s="84"/>
      <c r="K1196" s="84"/>
      <c r="L1196" s="84"/>
      <c r="M1196" s="84"/>
      <c r="N1196" s="84"/>
      <c r="O1196" s="84"/>
      <c r="P1196" s="84"/>
      <c r="Q1196" s="84"/>
      <c r="R1196" s="84"/>
      <c r="S1196" s="84"/>
      <c r="T1196" s="84"/>
      <c r="U1196" s="84"/>
      <c r="V1196" s="84"/>
      <c r="W1196" s="84"/>
      <c r="X1196" s="84"/>
    </row>
    <row r="1197" spans="5:24" x14ac:dyDescent="0.2">
      <c r="E1197" s="84"/>
      <c r="F1197" s="84"/>
      <c r="G1197" s="84"/>
      <c r="H1197" s="84"/>
      <c r="I1197" s="84"/>
      <c r="J1197" s="84"/>
      <c r="K1197" s="84"/>
      <c r="L1197" s="84"/>
      <c r="M1197" s="84"/>
      <c r="N1197" s="84"/>
      <c r="O1197" s="84"/>
      <c r="P1197" s="84"/>
      <c r="Q1197" s="84"/>
      <c r="R1197" s="84"/>
      <c r="S1197" s="84"/>
      <c r="T1197" s="84"/>
      <c r="U1197" s="84"/>
      <c r="V1197" s="84"/>
      <c r="W1197" s="84"/>
      <c r="X1197" s="84"/>
    </row>
    <row r="1198" spans="5:24" x14ac:dyDescent="0.2">
      <c r="E1198" s="84"/>
      <c r="F1198" s="84"/>
      <c r="G1198" s="84"/>
      <c r="H1198" s="84"/>
      <c r="I1198" s="84"/>
      <c r="J1198" s="84"/>
      <c r="K1198" s="84"/>
      <c r="L1198" s="84"/>
      <c r="M1198" s="84"/>
      <c r="N1198" s="84"/>
      <c r="O1198" s="84"/>
      <c r="P1198" s="84"/>
      <c r="Q1198" s="84"/>
      <c r="R1198" s="84"/>
      <c r="S1198" s="84"/>
      <c r="T1198" s="84"/>
      <c r="U1198" s="84"/>
      <c r="V1198" s="84"/>
      <c r="W1198" s="84"/>
      <c r="X1198" s="84"/>
    </row>
    <row r="1199" spans="5:24" x14ac:dyDescent="0.2"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  <c r="S1199" s="84"/>
      <c r="T1199" s="84"/>
      <c r="U1199" s="84"/>
      <c r="V1199" s="84"/>
      <c r="W1199" s="84"/>
      <c r="X1199" s="84"/>
    </row>
    <row r="1200" spans="5:24" x14ac:dyDescent="0.2"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  <c r="S1200" s="84"/>
      <c r="T1200" s="84"/>
      <c r="U1200" s="84"/>
      <c r="V1200" s="84"/>
      <c r="W1200" s="84"/>
      <c r="X1200" s="84"/>
    </row>
    <row r="1201" spans="5:24" x14ac:dyDescent="0.2"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  <c r="S1201" s="84"/>
      <c r="T1201" s="84"/>
      <c r="U1201" s="84"/>
      <c r="V1201" s="84"/>
      <c r="W1201" s="84"/>
      <c r="X1201" s="84"/>
    </row>
    <row r="1202" spans="5:24" x14ac:dyDescent="0.2"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  <c r="S1202" s="84"/>
      <c r="T1202" s="84"/>
      <c r="U1202" s="84"/>
      <c r="V1202" s="84"/>
      <c r="W1202" s="84"/>
      <c r="X1202" s="84"/>
    </row>
    <row r="1203" spans="5:24" x14ac:dyDescent="0.2"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  <c r="S1203" s="84"/>
      <c r="T1203" s="84"/>
      <c r="U1203" s="84"/>
      <c r="V1203" s="84"/>
      <c r="W1203" s="84"/>
      <c r="X1203" s="84"/>
    </row>
    <row r="1204" spans="5:24" x14ac:dyDescent="0.2"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  <c r="S1204" s="84"/>
      <c r="T1204" s="84"/>
      <c r="U1204" s="84"/>
      <c r="V1204" s="84"/>
      <c r="W1204" s="84"/>
      <c r="X1204" s="84"/>
    </row>
    <row r="1205" spans="5:24" x14ac:dyDescent="0.2"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  <c r="S1205" s="84"/>
      <c r="T1205" s="84"/>
      <c r="U1205" s="84"/>
      <c r="V1205" s="84"/>
      <c r="W1205" s="84"/>
      <c r="X1205" s="84"/>
    </row>
    <row r="1206" spans="5:24" x14ac:dyDescent="0.2"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  <c r="S1206" s="84"/>
      <c r="T1206" s="84"/>
      <c r="U1206" s="84"/>
      <c r="V1206" s="84"/>
      <c r="W1206" s="84"/>
      <c r="X1206" s="84"/>
    </row>
    <row r="1207" spans="5:24" x14ac:dyDescent="0.2"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  <c r="S1207" s="84"/>
      <c r="T1207" s="84"/>
      <c r="U1207" s="84"/>
      <c r="V1207" s="84"/>
      <c r="W1207" s="84"/>
      <c r="X1207" s="84"/>
    </row>
    <row r="1208" spans="5:24" x14ac:dyDescent="0.2"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  <c r="S1208" s="84"/>
      <c r="T1208" s="84"/>
      <c r="U1208" s="84"/>
      <c r="V1208" s="84"/>
      <c r="W1208" s="84"/>
      <c r="X1208" s="84"/>
    </row>
    <row r="1209" spans="5:24" x14ac:dyDescent="0.2"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  <c r="S1209" s="84"/>
      <c r="T1209" s="84"/>
      <c r="U1209" s="84"/>
      <c r="V1209" s="84"/>
      <c r="W1209" s="84"/>
      <c r="X1209" s="84"/>
    </row>
    <row r="1210" spans="5:24" x14ac:dyDescent="0.2"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  <c r="S1210" s="84"/>
      <c r="T1210" s="84"/>
      <c r="U1210" s="84"/>
      <c r="V1210" s="84"/>
      <c r="W1210" s="84"/>
      <c r="X1210" s="84"/>
    </row>
    <row r="1211" spans="5:24" x14ac:dyDescent="0.2"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  <c r="S1211" s="84"/>
      <c r="T1211" s="84"/>
      <c r="U1211" s="84"/>
      <c r="V1211" s="84"/>
      <c r="W1211" s="84"/>
      <c r="X1211" s="84"/>
    </row>
    <row r="1212" spans="5:24" x14ac:dyDescent="0.2"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  <c r="S1212" s="84"/>
      <c r="T1212" s="84"/>
      <c r="U1212" s="84"/>
      <c r="V1212" s="84"/>
      <c r="W1212" s="84"/>
      <c r="X1212" s="84"/>
    </row>
    <row r="1213" spans="5:24" x14ac:dyDescent="0.2"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  <c r="S1213" s="84"/>
      <c r="T1213" s="84"/>
      <c r="U1213" s="84"/>
      <c r="V1213" s="84"/>
      <c r="W1213" s="84"/>
      <c r="X1213" s="84"/>
    </row>
    <row r="1214" spans="5:24" x14ac:dyDescent="0.2"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  <c r="S1214" s="84"/>
      <c r="T1214" s="84"/>
      <c r="U1214" s="84"/>
      <c r="V1214" s="84"/>
      <c r="W1214" s="84"/>
      <c r="X1214" s="84"/>
    </row>
    <row r="1215" spans="5:24" x14ac:dyDescent="0.2"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  <c r="S1215" s="84"/>
      <c r="T1215" s="84"/>
      <c r="U1215" s="84"/>
      <c r="V1215" s="84"/>
      <c r="W1215" s="84"/>
      <c r="X1215" s="84"/>
    </row>
    <row r="1216" spans="5:24" x14ac:dyDescent="0.2"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  <c r="S1216" s="84"/>
      <c r="T1216" s="84"/>
      <c r="U1216" s="84"/>
      <c r="V1216" s="84"/>
      <c r="W1216" s="84"/>
      <c r="X1216" s="84"/>
    </row>
    <row r="1217" spans="5:24" x14ac:dyDescent="0.2"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  <c r="S1217" s="84"/>
      <c r="T1217" s="84"/>
      <c r="U1217" s="84"/>
      <c r="V1217" s="84"/>
      <c r="W1217" s="84"/>
      <c r="X1217" s="84"/>
    </row>
    <row r="1218" spans="5:24" x14ac:dyDescent="0.2"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  <c r="S1218" s="84"/>
      <c r="T1218" s="84"/>
      <c r="U1218" s="84"/>
      <c r="V1218" s="84"/>
      <c r="W1218" s="84"/>
      <c r="X1218" s="84"/>
    </row>
    <row r="1219" spans="5:24" x14ac:dyDescent="0.2"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  <c r="S1219" s="84"/>
      <c r="T1219" s="84"/>
      <c r="U1219" s="84"/>
      <c r="V1219" s="84"/>
      <c r="W1219" s="84"/>
      <c r="X1219" s="84"/>
    </row>
    <row r="1220" spans="5:24" x14ac:dyDescent="0.2"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  <c r="S1220" s="84"/>
      <c r="T1220" s="84"/>
      <c r="U1220" s="84"/>
      <c r="V1220" s="84"/>
      <c r="W1220" s="84"/>
      <c r="X1220" s="84"/>
    </row>
    <row r="1221" spans="5:24" x14ac:dyDescent="0.2"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  <c r="S1221" s="84"/>
      <c r="T1221" s="84"/>
      <c r="U1221" s="84"/>
      <c r="V1221" s="84"/>
      <c r="W1221" s="84"/>
      <c r="X1221" s="84"/>
    </row>
    <row r="1222" spans="5:24" x14ac:dyDescent="0.2">
      <c r="E1222" s="84"/>
      <c r="F1222" s="84"/>
      <c r="G1222" s="84"/>
      <c r="H1222" s="84"/>
      <c r="I1222" s="84"/>
      <c r="J1222" s="84"/>
      <c r="K1222" s="84"/>
      <c r="L1222" s="84"/>
      <c r="M1222" s="84"/>
      <c r="N1222" s="84"/>
      <c r="O1222" s="84"/>
      <c r="P1222" s="84"/>
      <c r="Q1222" s="84"/>
      <c r="R1222" s="84"/>
      <c r="S1222" s="84"/>
      <c r="T1222" s="84"/>
      <c r="U1222" s="84"/>
      <c r="V1222" s="84"/>
      <c r="W1222" s="84"/>
      <c r="X1222" s="84"/>
    </row>
    <row r="1223" spans="5:24" x14ac:dyDescent="0.2">
      <c r="E1223" s="84"/>
      <c r="F1223" s="84"/>
      <c r="G1223" s="84"/>
      <c r="H1223" s="84"/>
      <c r="I1223" s="84"/>
      <c r="J1223" s="84"/>
      <c r="K1223" s="84"/>
      <c r="L1223" s="84"/>
      <c r="M1223" s="84"/>
      <c r="N1223" s="84"/>
      <c r="O1223" s="84"/>
      <c r="P1223" s="84"/>
      <c r="Q1223" s="84"/>
      <c r="R1223" s="84"/>
      <c r="S1223" s="84"/>
      <c r="T1223" s="84"/>
      <c r="U1223" s="84"/>
      <c r="V1223" s="84"/>
      <c r="W1223" s="84"/>
      <c r="X1223" s="84"/>
    </row>
    <row r="1224" spans="5:24" x14ac:dyDescent="0.2">
      <c r="E1224" s="84"/>
      <c r="F1224" s="84"/>
      <c r="G1224" s="84"/>
      <c r="H1224" s="84"/>
      <c r="I1224" s="84"/>
      <c r="J1224" s="84"/>
      <c r="K1224" s="84"/>
      <c r="L1224" s="84"/>
      <c r="M1224" s="84"/>
      <c r="N1224" s="84"/>
      <c r="O1224" s="84"/>
      <c r="P1224" s="84"/>
      <c r="Q1224" s="84"/>
      <c r="R1224" s="84"/>
      <c r="S1224" s="84"/>
      <c r="T1224" s="84"/>
      <c r="U1224" s="84"/>
      <c r="V1224" s="84"/>
      <c r="W1224" s="84"/>
      <c r="X1224" s="84"/>
    </row>
    <row r="1225" spans="5:24" x14ac:dyDescent="0.2">
      <c r="E1225" s="84"/>
      <c r="F1225" s="84"/>
      <c r="G1225" s="84"/>
      <c r="H1225" s="84"/>
      <c r="I1225" s="84"/>
      <c r="J1225" s="84"/>
      <c r="K1225" s="84"/>
      <c r="L1225" s="84"/>
      <c r="M1225" s="84"/>
      <c r="N1225" s="84"/>
      <c r="O1225" s="84"/>
      <c r="P1225" s="84"/>
      <c r="Q1225" s="84"/>
      <c r="R1225" s="84"/>
      <c r="S1225" s="84"/>
      <c r="T1225" s="84"/>
      <c r="U1225" s="84"/>
      <c r="V1225" s="84"/>
      <c r="W1225" s="84"/>
      <c r="X1225" s="84"/>
    </row>
    <row r="1226" spans="5:24" x14ac:dyDescent="0.2">
      <c r="E1226" s="84"/>
      <c r="F1226" s="84"/>
      <c r="G1226" s="84"/>
      <c r="H1226" s="84"/>
      <c r="I1226" s="84"/>
      <c r="J1226" s="84"/>
      <c r="K1226" s="84"/>
      <c r="L1226" s="84"/>
      <c r="M1226" s="84"/>
      <c r="N1226" s="84"/>
      <c r="O1226" s="84"/>
      <c r="P1226" s="84"/>
      <c r="Q1226" s="84"/>
      <c r="R1226" s="84"/>
      <c r="S1226" s="84"/>
      <c r="T1226" s="84"/>
      <c r="U1226" s="84"/>
      <c r="V1226" s="84"/>
      <c r="W1226" s="84"/>
      <c r="X1226" s="84"/>
    </row>
    <row r="1227" spans="5:24" x14ac:dyDescent="0.2"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  <c r="S1227" s="84"/>
      <c r="T1227" s="84"/>
      <c r="U1227" s="84"/>
      <c r="V1227" s="84"/>
      <c r="W1227" s="84"/>
      <c r="X1227" s="84"/>
    </row>
    <row r="1228" spans="5:24" x14ac:dyDescent="0.2"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  <c r="S1228" s="84"/>
      <c r="T1228" s="84"/>
      <c r="U1228" s="84"/>
      <c r="V1228" s="84"/>
      <c r="W1228" s="84"/>
      <c r="X1228" s="84"/>
    </row>
    <row r="1229" spans="5:24" x14ac:dyDescent="0.2"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  <c r="S1229" s="84"/>
      <c r="T1229" s="84"/>
      <c r="U1229" s="84"/>
      <c r="V1229" s="84"/>
      <c r="W1229" s="84"/>
      <c r="X1229" s="84"/>
    </row>
    <row r="1230" spans="5:24" x14ac:dyDescent="0.2"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  <c r="S1230" s="84"/>
      <c r="T1230" s="84"/>
      <c r="U1230" s="84"/>
      <c r="V1230" s="84"/>
      <c r="W1230" s="84"/>
      <c r="X1230" s="84"/>
    </row>
    <row r="1231" spans="5:24" x14ac:dyDescent="0.2"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  <c r="S1231" s="84"/>
      <c r="T1231" s="84"/>
      <c r="U1231" s="84"/>
      <c r="V1231" s="84"/>
      <c r="W1231" s="84"/>
      <c r="X1231" s="84"/>
    </row>
    <row r="1232" spans="5:24" x14ac:dyDescent="0.2"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  <c r="S1232" s="84"/>
      <c r="T1232" s="84"/>
      <c r="U1232" s="84"/>
      <c r="V1232" s="84"/>
      <c r="W1232" s="84"/>
      <c r="X1232" s="84"/>
    </row>
    <row r="1233" spans="5:24" x14ac:dyDescent="0.2"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  <c r="S1233" s="84"/>
      <c r="T1233" s="84"/>
      <c r="U1233" s="84"/>
      <c r="V1233" s="84"/>
      <c r="W1233" s="84"/>
      <c r="X1233" s="84"/>
    </row>
    <row r="1234" spans="5:24" x14ac:dyDescent="0.2"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  <c r="S1234" s="84"/>
      <c r="T1234" s="84"/>
      <c r="U1234" s="84"/>
      <c r="V1234" s="84"/>
      <c r="W1234" s="84"/>
      <c r="X1234" s="84"/>
    </row>
    <row r="1235" spans="5:24" x14ac:dyDescent="0.2"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  <c r="S1235" s="84"/>
      <c r="T1235" s="84"/>
      <c r="U1235" s="84"/>
      <c r="V1235" s="84"/>
      <c r="W1235" s="84"/>
      <c r="X1235" s="84"/>
    </row>
    <row r="1236" spans="5:24" x14ac:dyDescent="0.2"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  <c r="S1236" s="84"/>
      <c r="T1236" s="84"/>
      <c r="U1236" s="84"/>
      <c r="V1236" s="84"/>
      <c r="W1236" s="84"/>
      <c r="X1236" s="84"/>
    </row>
    <row r="1237" spans="5:24" x14ac:dyDescent="0.2"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  <c r="S1237" s="84"/>
      <c r="T1237" s="84"/>
      <c r="U1237" s="84"/>
      <c r="V1237" s="84"/>
      <c r="W1237" s="84"/>
      <c r="X1237" s="84"/>
    </row>
    <row r="1238" spans="5:24" x14ac:dyDescent="0.2"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  <c r="S1238" s="84"/>
      <c r="T1238" s="84"/>
      <c r="U1238" s="84"/>
      <c r="V1238" s="84"/>
      <c r="W1238" s="84"/>
      <c r="X1238" s="84"/>
    </row>
    <row r="1239" spans="5:24" x14ac:dyDescent="0.2"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  <c r="R1239" s="84"/>
      <c r="S1239" s="84"/>
      <c r="T1239" s="84"/>
      <c r="U1239" s="84"/>
      <c r="V1239" s="84"/>
      <c r="W1239" s="84"/>
      <c r="X1239" s="84"/>
    </row>
    <row r="1240" spans="5:24" x14ac:dyDescent="0.2"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  <c r="R1240" s="84"/>
      <c r="S1240" s="84"/>
      <c r="T1240" s="84"/>
      <c r="U1240" s="84"/>
      <c r="V1240" s="84"/>
      <c r="W1240" s="84"/>
      <c r="X1240" s="84"/>
    </row>
    <row r="1241" spans="5:24" x14ac:dyDescent="0.2"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  <c r="R1241" s="84"/>
      <c r="S1241" s="84"/>
      <c r="T1241" s="84"/>
      <c r="U1241" s="84"/>
      <c r="V1241" s="84"/>
      <c r="W1241" s="84"/>
      <c r="X1241" s="84"/>
    </row>
    <row r="1242" spans="5:24" x14ac:dyDescent="0.2"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  <c r="R1242" s="84"/>
      <c r="S1242" s="84"/>
      <c r="T1242" s="84"/>
      <c r="U1242" s="84"/>
      <c r="V1242" s="84"/>
      <c r="W1242" s="84"/>
      <c r="X1242" s="84"/>
    </row>
    <row r="1243" spans="5:24" x14ac:dyDescent="0.2"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  <c r="R1243" s="84"/>
      <c r="S1243" s="84"/>
      <c r="T1243" s="84"/>
      <c r="U1243" s="84"/>
      <c r="V1243" s="84"/>
      <c r="W1243" s="84"/>
      <c r="X1243" s="84"/>
    </row>
    <row r="1244" spans="5:24" x14ac:dyDescent="0.2"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  <c r="R1244" s="84"/>
      <c r="S1244" s="84"/>
      <c r="T1244" s="84"/>
      <c r="U1244" s="84"/>
      <c r="V1244" s="84"/>
      <c r="W1244" s="84"/>
      <c r="X1244" s="84"/>
    </row>
    <row r="1245" spans="5:24" x14ac:dyDescent="0.2"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  <c r="S1245" s="84"/>
      <c r="T1245" s="84"/>
      <c r="U1245" s="84"/>
      <c r="V1245" s="84"/>
      <c r="W1245" s="84"/>
      <c r="X1245" s="84"/>
    </row>
    <row r="1246" spans="5:24" x14ac:dyDescent="0.2"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  <c r="S1246" s="84"/>
      <c r="T1246" s="84"/>
      <c r="U1246" s="84"/>
      <c r="V1246" s="84"/>
      <c r="W1246" s="84"/>
      <c r="X1246" s="84"/>
    </row>
    <row r="1247" spans="5:24" x14ac:dyDescent="0.2"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  <c r="S1247" s="84"/>
      <c r="T1247" s="84"/>
      <c r="U1247" s="84"/>
      <c r="V1247" s="84"/>
      <c r="W1247" s="84"/>
      <c r="X1247" s="84"/>
    </row>
    <row r="1248" spans="5:24" x14ac:dyDescent="0.2"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  <c r="S1248" s="84"/>
      <c r="T1248" s="84"/>
      <c r="U1248" s="84"/>
      <c r="V1248" s="84"/>
      <c r="W1248" s="84"/>
      <c r="X1248" s="84"/>
    </row>
    <row r="1249" spans="5:24" x14ac:dyDescent="0.2"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  <c r="S1249" s="84"/>
      <c r="T1249" s="84"/>
      <c r="U1249" s="84"/>
      <c r="V1249" s="84"/>
      <c r="W1249" s="84"/>
      <c r="X1249" s="84"/>
    </row>
    <row r="1250" spans="5:24" x14ac:dyDescent="0.2"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  <c r="S1250" s="84"/>
      <c r="T1250" s="84"/>
      <c r="U1250" s="84"/>
      <c r="V1250" s="84"/>
      <c r="W1250" s="84"/>
      <c r="X1250" s="84"/>
    </row>
    <row r="1251" spans="5:24" x14ac:dyDescent="0.2"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  <c r="S1251" s="84"/>
      <c r="T1251" s="84"/>
      <c r="U1251" s="84"/>
      <c r="V1251" s="84"/>
      <c r="W1251" s="84"/>
      <c r="X1251" s="84"/>
    </row>
    <row r="1252" spans="5:24" x14ac:dyDescent="0.2"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  <c r="S1252" s="84"/>
      <c r="T1252" s="84"/>
      <c r="U1252" s="84"/>
      <c r="V1252" s="84"/>
      <c r="W1252" s="84"/>
      <c r="X1252" s="84"/>
    </row>
    <row r="1253" spans="5:24" x14ac:dyDescent="0.2"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  <c r="S1253" s="84"/>
      <c r="T1253" s="84"/>
      <c r="U1253" s="84"/>
      <c r="V1253" s="84"/>
      <c r="W1253" s="84"/>
      <c r="X1253" s="84"/>
    </row>
    <row r="1254" spans="5:24" x14ac:dyDescent="0.2"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  <c r="S1254" s="84"/>
      <c r="T1254" s="84"/>
      <c r="U1254" s="84"/>
      <c r="V1254" s="84"/>
      <c r="W1254" s="84"/>
      <c r="X1254" s="84"/>
    </row>
    <row r="1255" spans="5:24" x14ac:dyDescent="0.2"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  <c r="S1255" s="84"/>
      <c r="T1255" s="84"/>
      <c r="U1255" s="84"/>
      <c r="V1255" s="84"/>
      <c r="W1255" s="84"/>
      <c r="X1255" s="84"/>
    </row>
    <row r="1256" spans="5:24" x14ac:dyDescent="0.2"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  <c r="S1256" s="84"/>
      <c r="T1256" s="84"/>
      <c r="U1256" s="84"/>
      <c r="V1256" s="84"/>
      <c r="W1256" s="84"/>
      <c r="X1256" s="84"/>
    </row>
    <row r="1257" spans="5:24" x14ac:dyDescent="0.2"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  <c r="S1257" s="84"/>
      <c r="T1257" s="84"/>
      <c r="U1257" s="84"/>
      <c r="V1257" s="84"/>
      <c r="W1257" s="84"/>
      <c r="X1257" s="84"/>
    </row>
    <row r="1258" spans="5:24" x14ac:dyDescent="0.2"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  <c r="S1258" s="84"/>
      <c r="T1258" s="84"/>
      <c r="U1258" s="84"/>
      <c r="V1258" s="84"/>
      <c r="W1258" s="84"/>
      <c r="X1258" s="84"/>
    </row>
    <row r="1259" spans="5:24" x14ac:dyDescent="0.2"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  <c r="S1259" s="84"/>
      <c r="T1259" s="84"/>
      <c r="U1259" s="84"/>
      <c r="V1259" s="84"/>
      <c r="W1259" s="84"/>
      <c r="X1259" s="84"/>
    </row>
    <row r="1260" spans="5:24" x14ac:dyDescent="0.2"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  <c r="S1260" s="84"/>
      <c r="T1260" s="84"/>
      <c r="U1260" s="84"/>
      <c r="V1260" s="84"/>
      <c r="W1260" s="84"/>
      <c r="X1260" s="84"/>
    </row>
    <row r="1261" spans="5:24" x14ac:dyDescent="0.2"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  <c r="S1261" s="84"/>
      <c r="T1261" s="84"/>
      <c r="U1261" s="84"/>
      <c r="V1261" s="84"/>
      <c r="W1261" s="84"/>
      <c r="X1261" s="84"/>
    </row>
    <row r="1262" spans="5:24" x14ac:dyDescent="0.2"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  <c r="S1262" s="84"/>
      <c r="T1262" s="84"/>
      <c r="U1262" s="84"/>
      <c r="V1262" s="84"/>
      <c r="W1262" s="84"/>
      <c r="X1262" s="84"/>
    </row>
    <row r="1263" spans="5:24" x14ac:dyDescent="0.2"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  <c r="S1263" s="84"/>
      <c r="T1263" s="84"/>
      <c r="U1263" s="84"/>
      <c r="V1263" s="84"/>
      <c r="W1263" s="84"/>
      <c r="X1263" s="84"/>
    </row>
    <row r="1264" spans="5:24" x14ac:dyDescent="0.2"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  <c r="S1264" s="84"/>
      <c r="T1264" s="84"/>
      <c r="U1264" s="84"/>
      <c r="V1264" s="84"/>
      <c r="W1264" s="84"/>
      <c r="X1264" s="84"/>
    </row>
    <row r="1265" spans="5:24" x14ac:dyDescent="0.2"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  <c r="S1265" s="84"/>
      <c r="T1265" s="84"/>
      <c r="U1265" s="84"/>
      <c r="V1265" s="84"/>
      <c r="W1265" s="84"/>
      <c r="X1265" s="84"/>
    </row>
    <row r="1266" spans="5:24" x14ac:dyDescent="0.2"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  <c r="S1266" s="84"/>
      <c r="T1266" s="84"/>
      <c r="U1266" s="84"/>
      <c r="V1266" s="84"/>
      <c r="W1266" s="84"/>
      <c r="X1266" s="84"/>
    </row>
    <row r="1267" spans="5:24" x14ac:dyDescent="0.2"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  <c r="S1267" s="84"/>
      <c r="T1267" s="84"/>
      <c r="U1267" s="84"/>
      <c r="V1267" s="84"/>
      <c r="W1267" s="84"/>
      <c r="X1267" s="84"/>
    </row>
    <row r="1268" spans="5:24" x14ac:dyDescent="0.2"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  <c r="R1268" s="84"/>
      <c r="S1268" s="84"/>
      <c r="T1268" s="84"/>
      <c r="U1268" s="84"/>
      <c r="V1268" s="84"/>
      <c r="W1268" s="84"/>
      <c r="X1268" s="84"/>
    </row>
    <row r="1269" spans="5:24" x14ac:dyDescent="0.2"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  <c r="R1269" s="84"/>
      <c r="S1269" s="84"/>
      <c r="T1269" s="84"/>
      <c r="U1269" s="84"/>
      <c r="V1269" s="84"/>
      <c r="W1269" s="84"/>
      <c r="X1269" s="84"/>
    </row>
    <row r="1270" spans="5:24" x14ac:dyDescent="0.2"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  <c r="R1270" s="84"/>
      <c r="S1270" s="84"/>
      <c r="T1270" s="84"/>
      <c r="U1270" s="84"/>
      <c r="V1270" s="84"/>
      <c r="W1270" s="84"/>
      <c r="X1270" s="84"/>
    </row>
    <row r="1271" spans="5:24" x14ac:dyDescent="0.2"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  <c r="R1271" s="84"/>
      <c r="S1271" s="84"/>
      <c r="T1271" s="84"/>
      <c r="U1271" s="84"/>
      <c r="V1271" s="84"/>
      <c r="W1271" s="84"/>
      <c r="X1271" s="84"/>
    </row>
    <row r="1272" spans="5:24" x14ac:dyDescent="0.2"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  <c r="R1272" s="84"/>
      <c r="S1272" s="84"/>
      <c r="T1272" s="84"/>
      <c r="U1272" s="84"/>
      <c r="V1272" s="84"/>
      <c r="W1272" s="84"/>
      <c r="X1272" s="84"/>
    </row>
    <row r="1273" spans="5:24" x14ac:dyDescent="0.2"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  <c r="R1273" s="84"/>
      <c r="S1273" s="84"/>
      <c r="T1273" s="84"/>
      <c r="U1273" s="84"/>
      <c r="V1273" s="84"/>
      <c r="W1273" s="84"/>
      <c r="X1273" s="84"/>
    </row>
    <row r="1274" spans="5:24" x14ac:dyDescent="0.2"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  <c r="R1274" s="84"/>
      <c r="S1274" s="84"/>
      <c r="T1274" s="84"/>
      <c r="U1274" s="84"/>
      <c r="V1274" s="84"/>
      <c r="W1274" s="84"/>
      <c r="X1274" s="84"/>
    </row>
    <row r="1275" spans="5:24" x14ac:dyDescent="0.2"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  <c r="S1275" s="84"/>
      <c r="T1275" s="84"/>
      <c r="U1275" s="84"/>
      <c r="V1275" s="84"/>
      <c r="W1275" s="84"/>
      <c r="X1275" s="84"/>
    </row>
    <row r="1276" spans="5:24" x14ac:dyDescent="0.2"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  <c r="S1276" s="84"/>
      <c r="T1276" s="84"/>
      <c r="U1276" s="84"/>
      <c r="V1276" s="84"/>
      <c r="W1276" s="84"/>
      <c r="X1276" s="84"/>
    </row>
    <row r="1277" spans="5:24" x14ac:dyDescent="0.2"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  <c r="S1277" s="84"/>
      <c r="T1277" s="84"/>
      <c r="U1277" s="84"/>
      <c r="V1277" s="84"/>
      <c r="W1277" s="84"/>
      <c r="X1277" s="84"/>
    </row>
    <row r="1278" spans="5:24" x14ac:dyDescent="0.2"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  <c r="S1278" s="84"/>
      <c r="T1278" s="84"/>
      <c r="U1278" s="84"/>
      <c r="V1278" s="84"/>
      <c r="W1278" s="84"/>
      <c r="X1278" s="84"/>
    </row>
    <row r="1279" spans="5:24" x14ac:dyDescent="0.2"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  <c r="S1279" s="84"/>
      <c r="T1279" s="84"/>
      <c r="U1279" s="84"/>
      <c r="V1279" s="84"/>
      <c r="W1279" s="84"/>
      <c r="X1279" s="84"/>
    </row>
    <row r="1280" spans="5:24" x14ac:dyDescent="0.2"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  <c r="S1280" s="84"/>
      <c r="T1280" s="84"/>
      <c r="U1280" s="84"/>
      <c r="V1280" s="84"/>
      <c r="W1280" s="84"/>
      <c r="X1280" s="84"/>
    </row>
    <row r="1281" spans="5:24" x14ac:dyDescent="0.2"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  <c r="S1281" s="84"/>
      <c r="T1281" s="84"/>
      <c r="U1281" s="84"/>
      <c r="V1281" s="84"/>
      <c r="W1281" s="84"/>
      <c r="X1281" s="84"/>
    </row>
    <row r="1282" spans="5:24" x14ac:dyDescent="0.2"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  <c r="S1282" s="84"/>
      <c r="T1282" s="84"/>
      <c r="U1282" s="84"/>
      <c r="V1282" s="84"/>
      <c r="W1282" s="84"/>
      <c r="X1282" s="84"/>
    </row>
    <row r="1283" spans="5:24" x14ac:dyDescent="0.2"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  <c r="S1283" s="84"/>
      <c r="T1283" s="84"/>
      <c r="U1283" s="84"/>
      <c r="V1283" s="84"/>
      <c r="W1283" s="84"/>
      <c r="X1283" s="84"/>
    </row>
    <row r="1284" spans="5:24" x14ac:dyDescent="0.2"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  <c r="S1284" s="84"/>
      <c r="T1284" s="84"/>
      <c r="U1284" s="84"/>
      <c r="V1284" s="84"/>
      <c r="W1284" s="84"/>
      <c r="X1284" s="84"/>
    </row>
    <row r="1285" spans="5:24" x14ac:dyDescent="0.2"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  <c r="S1285" s="84"/>
      <c r="T1285" s="84"/>
      <c r="U1285" s="84"/>
      <c r="V1285" s="84"/>
      <c r="W1285" s="84"/>
      <c r="X1285" s="84"/>
    </row>
    <row r="1286" spans="5:24" x14ac:dyDescent="0.2"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  <c r="S1286" s="84"/>
      <c r="T1286" s="84"/>
      <c r="U1286" s="84"/>
      <c r="V1286" s="84"/>
      <c r="W1286" s="84"/>
      <c r="X1286" s="84"/>
    </row>
    <row r="1287" spans="5:24" x14ac:dyDescent="0.2">
      <c r="E1287" s="84"/>
      <c r="F1287" s="84"/>
      <c r="G1287" s="84"/>
      <c r="H1287" s="84"/>
      <c r="I1287" s="84"/>
      <c r="J1287" s="84"/>
      <c r="K1287" s="84"/>
      <c r="L1287" s="84"/>
      <c r="M1287" s="84"/>
      <c r="N1287" s="84"/>
      <c r="O1287" s="84"/>
      <c r="P1287" s="84"/>
      <c r="Q1287" s="84"/>
      <c r="R1287" s="84"/>
      <c r="S1287" s="84"/>
      <c r="T1287" s="84"/>
      <c r="U1287" s="84"/>
      <c r="V1287" s="84"/>
      <c r="W1287" s="84"/>
      <c r="X1287" s="84"/>
    </row>
    <row r="1288" spans="5:24" x14ac:dyDescent="0.2">
      <c r="E1288" s="84"/>
      <c r="F1288" s="84"/>
      <c r="G1288" s="84"/>
      <c r="H1288" s="84"/>
      <c r="I1288" s="84"/>
      <c r="J1288" s="84"/>
      <c r="K1288" s="84"/>
      <c r="L1288" s="84"/>
      <c r="M1288" s="84"/>
      <c r="N1288" s="84"/>
      <c r="O1288" s="84"/>
      <c r="P1288" s="84"/>
      <c r="Q1288" s="84"/>
      <c r="R1288" s="84"/>
      <c r="S1288" s="84"/>
      <c r="T1288" s="84"/>
      <c r="U1288" s="84"/>
      <c r="V1288" s="84"/>
      <c r="W1288" s="84"/>
      <c r="X1288" s="84"/>
    </row>
    <row r="1289" spans="5:24" x14ac:dyDescent="0.2">
      <c r="E1289" s="84"/>
      <c r="F1289" s="84"/>
      <c r="G1289" s="84"/>
      <c r="H1289" s="84"/>
      <c r="I1289" s="84"/>
      <c r="J1289" s="84"/>
      <c r="K1289" s="84"/>
      <c r="L1289" s="84"/>
      <c r="M1289" s="84"/>
      <c r="N1289" s="84"/>
      <c r="O1289" s="84"/>
      <c r="P1289" s="84"/>
      <c r="Q1289" s="84"/>
      <c r="R1289" s="84"/>
      <c r="S1289" s="84"/>
      <c r="T1289" s="84"/>
      <c r="U1289" s="84"/>
      <c r="V1289" s="84"/>
      <c r="W1289" s="84"/>
      <c r="X1289" s="84"/>
    </row>
    <row r="1290" spans="5:24" x14ac:dyDescent="0.2">
      <c r="E1290" s="84"/>
      <c r="F1290" s="84"/>
      <c r="G1290" s="84"/>
      <c r="H1290" s="84"/>
      <c r="I1290" s="84"/>
      <c r="J1290" s="84"/>
      <c r="K1290" s="84"/>
      <c r="L1290" s="84"/>
      <c r="M1290" s="84"/>
      <c r="N1290" s="84"/>
      <c r="O1290" s="84"/>
      <c r="P1290" s="84"/>
      <c r="Q1290" s="84"/>
      <c r="R1290" s="84"/>
      <c r="S1290" s="84"/>
      <c r="T1290" s="84"/>
      <c r="U1290" s="84"/>
      <c r="V1290" s="84"/>
      <c r="W1290" s="84"/>
      <c r="X1290" s="84"/>
    </row>
    <row r="1291" spans="5:24" x14ac:dyDescent="0.2"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  <c r="S1291" s="84"/>
      <c r="T1291" s="84"/>
      <c r="U1291" s="84"/>
      <c r="V1291" s="84"/>
      <c r="W1291" s="84"/>
      <c r="X1291" s="84"/>
    </row>
    <row r="1292" spans="5:24" x14ac:dyDescent="0.2"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  <c r="S1292" s="84"/>
      <c r="T1292" s="84"/>
      <c r="U1292" s="84"/>
      <c r="V1292" s="84"/>
      <c r="W1292" s="84"/>
      <c r="X1292" s="84"/>
    </row>
    <row r="1293" spans="5:24" x14ac:dyDescent="0.2"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  <c r="S1293" s="84"/>
      <c r="T1293" s="84"/>
      <c r="U1293" s="84"/>
      <c r="V1293" s="84"/>
      <c r="W1293" s="84"/>
      <c r="X1293" s="84"/>
    </row>
    <row r="1294" spans="5:24" x14ac:dyDescent="0.2"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  <c r="S1294" s="84"/>
      <c r="T1294" s="84"/>
      <c r="U1294" s="84"/>
      <c r="V1294" s="84"/>
      <c r="W1294" s="84"/>
      <c r="X1294" s="84"/>
    </row>
    <row r="1295" spans="5:24" x14ac:dyDescent="0.2"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  <c r="S1295" s="84"/>
      <c r="T1295" s="84"/>
      <c r="U1295" s="84"/>
      <c r="V1295" s="84"/>
      <c r="W1295" s="84"/>
      <c r="X1295" s="84"/>
    </row>
    <row r="1296" spans="5:24" x14ac:dyDescent="0.2"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  <c r="S1296" s="84"/>
      <c r="T1296" s="84"/>
      <c r="U1296" s="84"/>
      <c r="V1296" s="84"/>
      <c r="W1296" s="84"/>
      <c r="X1296" s="84"/>
    </row>
    <row r="1297" spans="5:24" x14ac:dyDescent="0.2"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  <c r="S1297" s="84"/>
      <c r="T1297" s="84"/>
      <c r="U1297" s="84"/>
      <c r="V1297" s="84"/>
      <c r="W1297" s="84"/>
      <c r="X1297" s="84"/>
    </row>
    <row r="1298" spans="5:24" x14ac:dyDescent="0.2"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  <c r="S1298" s="84"/>
      <c r="T1298" s="84"/>
      <c r="U1298" s="84"/>
      <c r="V1298" s="84"/>
      <c r="W1298" s="84"/>
      <c r="X1298" s="84"/>
    </row>
    <row r="1299" spans="5:24" x14ac:dyDescent="0.2"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  <c r="S1299" s="84"/>
      <c r="T1299" s="84"/>
      <c r="U1299" s="84"/>
      <c r="V1299" s="84"/>
      <c r="W1299" s="84"/>
      <c r="X1299" s="84"/>
    </row>
    <row r="1300" spans="5:24" x14ac:dyDescent="0.2"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  <c r="S1300" s="84"/>
      <c r="T1300" s="84"/>
      <c r="U1300" s="84"/>
      <c r="V1300" s="84"/>
      <c r="W1300" s="84"/>
      <c r="X1300" s="84"/>
    </row>
    <row r="1301" spans="5:24" x14ac:dyDescent="0.2"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  <c r="S1301" s="84"/>
      <c r="T1301" s="84"/>
      <c r="U1301" s="84"/>
      <c r="V1301" s="84"/>
      <c r="W1301" s="84"/>
      <c r="X1301" s="84"/>
    </row>
    <row r="1302" spans="5:24" x14ac:dyDescent="0.2"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  <c r="S1302" s="84"/>
      <c r="T1302" s="84"/>
      <c r="U1302" s="84"/>
      <c r="V1302" s="84"/>
      <c r="W1302" s="84"/>
      <c r="X1302" s="84"/>
    </row>
    <row r="1303" spans="5:24" x14ac:dyDescent="0.2"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  <c r="S1303" s="84"/>
      <c r="T1303" s="84"/>
      <c r="U1303" s="84"/>
      <c r="V1303" s="84"/>
      <c r="W1303" s="84"/>
      <c r="X1303" s="84"/>
    </row>
    <row r="1304" spans="5:24" x14ac:dyDescent="0.2"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  <c r="S1304" s="84"/>
      <c r="T1304" s="84"/>
      <c r="U1304" s="84"/>
      <c r="V1304" s="84"/>
      <c r="W1304" s="84"/>
      <c r="X1304" s="84"/>
    </row>
    <row r="1305" spans="5:24" x14ac:dyDescent="0.2"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  <c r="S1305" s="84"/>
      <c r="T1305" s="84"/>
      <c r="U1305" s="84"/>
      <c r="V1305" s="84"/>
      <c r="W1305" s="84"/>
      <c r="X1305" s="84"/>
    </row>
    <row r="1306" spans="5:24" x14ac:dyDescent="0.2"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  <c r="S1306" s="84"/>
      <c r="T1306" s="84"/>
      <c r="U1306" s="84"/>
      <c r="V1306" s="84"/>
      <c r="W1306" s="84"/>
      <c r="X1306" s="84"/>
    </row>
    <row r="1307" spans="5:24" x14ac:dyDescent="0.2"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  <c r="S1307" s="84"/>
      <c r="T1307" s="84"/>
      <c r="U1307" s="84"/>
      <c r="V1307" s="84"/>
      <c r="W1307" s="84"/>
      <c r="X1307" s="84"/>
    </row>
    <row r="1308" spans="5:24" x14ac:dyDescent="0.2"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  <c r="S1308" s="84"/>
      <c r="T1308" s="84"/>
      <c r="U1308" s="84"/>
      <c r="V1308" s="84"/>
      <c r="W1308" s="84"/>
      <c r="X1308" s="84"/>
    </row>
    <row r="1309" spans="5:24" x14ac:dyDescent="0.2"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  <c r="S1309" s="84"/>
      <c r="T1309" s="84"/>
      <c r="U1309" s="84"/>
      <c r="V1309" s="84"/>
      <c r="W1309" s="84"/>
      <c r="X1309" s="84"/>
    </row>
    <row r="1310" spans="5:24" x14ac:dyDescent="0.2"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  <c r="S1310" s="84"/>
      <c r="T1310" s="84"/>
      <c r="U1310" s="84"/>
      <c r="V1310" s="84"/>
      <c r="W1310" s="84"/>
      <c r="X1310" s="84"/>
    </row>
    <row r="1311" spans="5:24" x14ac:dyDescent="0.2"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  <c r="S1311" s="84"/>
      <c r="T1311" s="84"/>
      <c r="U1311" s="84"/>
      <c r="V1311" s="84"/>
      <c r="W1311" s="84"/>
      <c r="X1311" s="84"/>
    </row>
    <row r="1312" spans="5:24" x14ac:dyDescent="0.2"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  <c r="S1312" s="84"/>
      <c r="T1312" s="84"/>
      <c r="U1312" s="84"/>
      <c r="V1312" s="84"/>
      <c r="W1312" s="84"/>
      <c r="X1312" s="84"/>
    </row>
    <row r="1313" spans="5:24" x14ac:dyDescent="0.2"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  <c r="S1313" s="84"/>
      <c r="T1313" s="84"/>
      <c r="U1313" s="84"/>
      <c r="V1313" s="84"/>
      <c r="W1313" s="84"/>
      <c r="X1313" s="84"/>
    </row>
    <row r="1314" spans="5:24" x14ac:dyDescent="0.2">
      <c r="E1314" s="84"/>
      <c r="F1314" s="84"/>
      <c r="G1314" s="84"/>
      <c r="H1314" s="84"/>
      <c r="I1314" s="84"/>
      <c r="J1314" s="84"/>
      <c r="K1314" s="84"/>
      <c r="L1314" s="84"/>
      <c r="M1314" s="84"/>
      <c r="N1314" s="84"/>
      <c r="O1314" s="84"/>
      <c r="P1314" s="84"/>
      <c r="Q1314" s="84"/>
      <c r="R1314" s="84"/>
      <c r="S1314" s="84"/>
      <c r="T1314" s="84"/>
      <c r="U1314" s="84"/>
      <c r="V1314" s="84"/>
      <c r="W1314" s="84"/>
      <c r="X1314" s="84"/>
    </row>
    <row r="1315" spans="5:24" x14ac:dyDescent="0.2">
      <c r="E1315" s="84"/>
      <c r="F1315" s="84"/>
      <c r="G1315" s="84"/>
      <c r="H1315" s="84"/>
      <c r="I1315" s="84"/>
      <c r="J1315" s="84"/>
      <c r="K1315" s="84"/>
      <c r="L1315" s="84"/>
      <c r="M1315" s="84"/>
      <c r="N1315" s="84"/>
      <c r="O1315" s="84"/>
      <c r="P1315" s="84"/>
      <c r="Q1315" s="84"/>
      <c r="R1315" s="84"/>
      <c r="S1315" s="84"/>
      <c r="T1315" s="84"/>
      <c r="U1315" s="84"/>
      <c r="V1315" s="84"/>
      <c r="W1315" s="84"/>
      <c r="X1315" s="84"/>
    </row>
    <row r="1316" spans="5:24" x14ac:dyDescent="0.2">
      <c r="E1316" s="84"/>
      <c r="F1316" s="84"/>
      <c r="G1316" s="84"/>
      <c r="H1316" s="84"/>
      <c r="I1316" s="84"/>
      <c r="J1316" s="84"/>
      <c r="K1316" s="84"/>
      <c r="L1316" s="84"/>
      <c r="M1316" s="84"/>
      <c r="N1316" s="84"/>
      <c r="O1316" s="84"/>
      <c r="P1316" s="84"/>
      <c r="Q1316" s="84"/>
      <c r="R1316" s="84"/>
      <c r="S1316" s="84"/>
      <c r="T1316" s="84"/>
      <c r="U1316" s="84"/>
      <c r="V1316" s="84"/>
      <c r="W1316" s="84"/>
      <c r="X1316" s="84"/>
    </row>
    <row r="1317" spans="5:24" x14ac:dyDescent="0.2">
      <c r="E1317" s="84"/>
      <c r="F1317" s="84"/>
      <c r="G1317" s="84"/>
      <c r="H1317" s="84"/>
      <c r="I1317" s="84"/>
      <c r="J1317" s="84"/>
      <c r="K1317" s="84"/>
      <c r="L1317" s="84"/>
      <c r="M1317" s="84"/>
      <c r="N1317" s="84"/>
      <c r="O1317" s="84"/>
      <c r="P1317" s="84"/>
      <c r="Q1317" s="84"/>
      <c r="R1317" s="84"/>
      <c r="S1317" s="84"/>
      <c r="T1317" s="84"/>
      <c r="U1317" s="84"/>
      <c r="V1317" s="84"/>
      <c r="W1317" s="84"/>
      <c r="X1317" s="84"/>
    </row>
    <row r="1318" spans="5:24" x14ac:dyDescent="0.2">
      <c r="E1318" s="84"/>
      <c r="F1318" s="84"/>
      <c r="G1318" s="84"/>
      <c r="H1318" s="84"/>
      <c r="I1318" s="84"/>
      <c r="J1318" s="84"/>
      <c r="K1318" s="84"/>
      <c r="L1318" s="84"/>
      <c r="M1318" s="84"/>
      <c r="N1318" s="84"/>
      <c r="O1318" s="84"/>
      <c r="P1318" s="84"/>
      <c r="Q1318" s="84"/>
      <c r="R1318" s="84"/>
      <c r="S1318" s="84"/>
      <c r="T1318" s="84"/>
      <c r="U1318" s="84"/>
      <c r="V1318" s="84"/>
      <c r="W1318" s="84"/>
      <c r="X1318" s="84"/>
    </row>
    <row r="1319" spans="5:24" x14ac:dyDescent="0.2">
      <c r="E1319" s="84"/>
      <c r="F1319" s="84"/>
      <c r="G1319" s="84"/>
      <c r="H1319" s="84"/>
      <c r="I1319" s="84"/>
      <c r="J1319" s="84"/>
      <c r="K1319" s="84"/>
      <c r="L1319" s="84"/>
      <c r="M1319" s="84"/>
      <c r="N1319" s="84"/>
      <c r="O1319" s="84"/>
      <c r="P1319" s="84"/>
      <c r="Q1319" s="84"/>
      <c r="R1319" s="84"/>
      <c r="S1319" s="84"/>
      <c r="T1319" s="84"/>
      <c r="U1319" s="84"/>
      <c r="V1319" s="84"/>
      <c r="W1319" s="84"/>
      <c r="X1319" s="84"/>
    </row>
    <row r="1320" spans="5:24" x14ac:dyDescent="0.2">
      <c r="E1320" s="84"/>
      <c r="F1320" s="84"/>
      <c r="G1320" s="84"/>
      <c r="H1320" s="84"/>
      <c r="I1320" s="84"/>
      <c r="J1320" s="84"/>
      <c r="K1320" s="84"/>
      <c r="L1320" s="84"/>
      <c r="M1320" s="84"/>
      <c r="N1320" s="84"/>
      <c r="O1320" s="84"/>
      <c r="P1320" s="84"/>
      <c r="Q1320" s="84"/>
      <c r="R1320" s="84"/>
      <c r="S1320" s="84"/>
      <c r="T1320" s="84"/>
      <c r="U1320" s="84"/>
      <c r="V1320" s="84"/>
      <c r="W1320" s="84"/>
      <c r="X1320" s="84"/>
    </row>
    <row r="1321" spans="5:24" x14ac:dyDescent="0.2">
      <c r="E1321" s="84"/>
      <c r="F1321" s="84"/>
      <c r="G1321" s="84"/>
      <c r="H1321" s="84"/>
      <c r="I1321" s="84"/>
      <c r="J1321" s="84"/>
      <c r="K1321" s="84"/>
      <c r="L1321" s="84"/>
      <c r="M1321" s="84"/>
      <c r="N1321" s="84"/>
      <c r="O1321" s="84"/>
      <c r="P1321" s="84"/>
      <c r="Q1321" s="84"/>
      <c r="R1321" s="84"/>
      <c r="S1321" s="84"/>
      <c r="T1321" s="84"/>
      <c r="U1321" s="84"/>
      <c r="V1321" s="84"/>
      <c r="W1321" s="84"/>
      <c r="X1321" s="84"/>
    </row>
    <row r="1322" spans="5:24" x14ac:dyDescent="0.2">
      <c r="E1322" s="84"/>
      <c r="F1322" s="84"/>
      <c r="G1322" s="84"/>
      <c r="H1322" s="84"/>
      <c r="I1322" s="84"/>
      <c r="J1322" s="84"/>
      <c r="K1322" s="84"/>
      <c r="L1322" s="84"/>
      <c r="M1322" s="84"/>
      <c r="N1322" s="84"/>
      <c r="O1322" s="84"/>
      <c r="P1322" s="84"/>
      <c r="Q1322" s="84"/>
      <c r="R1322" s="84"/>
      <c r="S1322" s="84"/>
      <c r="T1322" s="84"/>
      <c r="U1322" s="84"/>
      <c r="V1322" s="84"/>
      <c r="W1322" s="84"/>
      <c r="X1322" s="84"/>
    </row>
    <row r="1323" spans="5:24" x14ac:dyDescent="0.2"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  <c r="S1323" s="84"/>
      <c r="T1323" s="84"/>
      <c r="U1323" s="84"/>
      <c r="V1323" s="84"/>
      <c r="W1323" s="84"/>
      <c r="X1323" s="84"/>
    </row>
    <row r="1324" spans="5:24" x14ac:dyDescent="0.2"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  <c r="S1324" s="84"/>
      <c r="T1324" s="84"/>
      <c r="U1324" s="84"/>
      <c r="V1324" s="84"/>
      <c r="W1324" s="84"/>
      <c r="X1324" s="84"/>
    </row>
    <row r="1325" spans="5:24" x14ac:dyDescent="0.2"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  <c r="S1325" s="84"/>
      <c r="T1325" s="84"/>
      <c r="U1325" s="84"/>
      <c r="V1325" s="84"/>
      <c r="W1325" s="84"/>
      <c r="X1325" s="84"/>
    </row>
    <row r="1326" spans="5:24" x14ac:dyDescent="0.2"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  <c r="S1326" s="84"/>
      <c r="T1326" s="84"/>
      <c r="U1326" s="84"/>
      <c r="V1326" s="84"/>
      <c r="W1326" s="84"/>
      <c r="X1326" s="84"/>
    </row>
    <row r="1327" spans="5:24" x14ac:dyDescent="0.2"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  <c r="S1327" s="84"/>
      <c r="T1327" s="84"/>
      <c r="U1327" s="84"/>
      <c r="V1327" s="84"/>
      <c r="W1327" s="84"/>
      <c r="X1327" s="84"/>
    </row>
    <row r="1328" spans="5:24" x14ac:dyDescent="0.2"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  <c r="S1328" s="84"/>
      <c r="T1328" s="84"/>
      <c r="U1328" s="84"/>
      <c r="V1328" s="84"/>
      <c r="W1328" s="84"/>
      <c r="X1328" s="84"/>
    </row>
    <row r="1329" spans="5:24" x14ac:dyDescent="0.2"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</row>
    <row r="1330" spans="5:24" x14ac:dyDescent="0.2"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</row>
    <row r="1331" spans="5:24" x14ac:dyDescent="0.2"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</row>
    <row r="1332" spans="5:24" x14ac:dyDescent="0.2"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</row>
    <row r="1333" spans="5:24" x14ac:dyDescent="0.2"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</row>
    <row r="1334" spans="5:24" x14ac:dyDescent="0.2"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</row>
    <row r="1335" spans="5:24" x14ac:dyDescent="0.2"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  <c r="R1335" s="84"/>
      <c r="S1335" s="84"/>
      <c r="T1335" s="84"/>
      <c r="U1335" s="84"/>
      <c r="V1335" s="84"/>
      <c r="W1335" s="84"/>
      <c r="X1335" s="84"/>
    </row>
    <row r="1336" spans="5:24" x14ac:dyDescent="0.2"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  <c r="R1336" s="84"/>
      <c r="S1336" s="84"/>
      <c r="T1336" s="84"/>
      <c r="U1336" s="84"/>
      <c r="V1336" s="84"/>
      <c r="W1336" s="84"/>
      <c r="X1336" s="84"/>
    </row>
    <row r="1337" spans="5:24" x14ac:dyDescent="0.2"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  <c r="S1337" s="84"/>
      <c r="T1337" s="84"/>
      <c r="U1337" s="84"/>
      <c r="V1337" s="84"/>
      <c r="W1337" s="84"/>
      <c r="X1337" s="84"/>
    </row>
    <row r="1338" spans="5:24" x14ac:dyDescent="0.2"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  <c r="S1338" s="84"/>
      <c r="T1338" s="84"/>
      <c r="U1338" s="84"/>
      <c r="V1338" s="84"/>
      <c r="W1338" s="84"/>
      <c r="X1338" s="84"/>
    </row>
    <row r="1339" spans="5:24" x14ac:dyDescent="0.2"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  <c r="S1339" s="84"/>
      <c r="T1339" s="84"/>
      <c r="U1339" s="84"/>
      <c r="V1339" s="84"/>
      <c r="W1339" s="84"/>
      <c r="X1339" s="84"/>
    </row>
    <row r="1340" spans="5:24" x14ac:dyDescent="0.2"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  <c r="S1340" s="84"/>
      <c r="T1340" s="84"/>
      <c r="U1340" s="84"/>
      <c r="V1340" s="84"/>
      <c r="W1340" s="84"/>
      <c r="X1340" s="84"/>
    </row>
    <row r="1341" spans="5:24" x14ac:dyDescent="0.2"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  <c r="S1341" s="84"/>
      <c r="T1341" s="84"/>
      <c r="U1341" s="84"/>
      <c r="V1341" s="84"/>
      <c r="W1341" s="84"/>
      <c r="X1341" s="84"/>
    </row>
    <row r="1342" spans="5:24" x14ac:dyDescent="0.2"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  <c r="S1342" s="84"/>
      <c r="T1342" s="84"/>
      <c r="U1342" s="84"/>
      <c r="V1342" s="84"/>
      <c r="W1342" s="84"/>
      <c r="X1342" s="84"/>
    </row>
    <row r="1343" spans="5:24" x14ac:dyDescent="0.2"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  <c r="S1343" s="84"/>
      <c r="T1343" s="84"/>
      <c r="U1343" s="84"/>
      <c r="V1343" s="84"/>
      <c r="W1343" s="84"/>
      <c r="X1343" s="84"/>
    </row>
    <row r="1344" spans="5:24" x14ac:dyDescent="0.2"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  <c r="S1344" s="84"/>
      <c r="T1344" s="84"/>
      <c r="U1344" s="84"/>
      <c r="V1344" s="84"/>
      <c r="W1344" s="84"/>
      <c r="X1344" s="84"/>
    </row>
    <row r="1345" spans="5:24" x14ac:dyDescent="0.2"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  <c r="S1345" s="84"/>
      <c r="T1345" s="84"/>
      <c r="U1345" s="84"/>
      <c r="V1345" s="84"/>
      <c r="W1345" s="84"/>
      <c r="X1345" s="84"/>
    </row>
    <row r="1346" spans="5:24" x14ac:dyDescent="0.2"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  <c r="S1346" s="84"/>
      <c r="T1346" s="84"/>
      <c r="U1346" s="84"/>
      <c r="V1346" s="84"/>
      <c r="W1346" s="84"/>
      <c r="X1346" s="84"/>
    </row>
    <row r="1347" spans="5:24" x14ac:dyDescent="0.2"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  <c r="S1347" s="84"/>
      <c r="T1347" s="84"/>
      <c r="U1347" s="84"/>
      <c r="V1347" s="84"/>
      <c r="W1347" s="84"/>
      <c r="X1347" s="84"/>
    </row>
    <row r="1348" spans="5:24" x14ac:dyDescent="0.2"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  <c r="S1348" s="84"/>
      <c r="T1348" s="84"/>
      <c r="U1348" s="84"/>
      <c r="V1348" s="84"/>
      <c r="W1348" s="84"/>
      <c r="X1348" s="84"/>
    </row>
    <row r="1349" spans="5:24" x14ac:dyDescent="0.2"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  <c r="S1349" s="84"/>
      <c r="T1349" s="84"/>
      <c r="U1349" s="84"/>
      <c r="V1349" s="84"/>
      <c r="W1349" s="84"/>
      <c r="X1349" s="84"/>
    </row>
    <row r="1350" spans="5:24" x14ac:dyDescent="0.2"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  <c r="S1350" s="84"/>
      <c r="T1350" s="84"/>
      <c r="U1350" s="84"/>
      <c r="V1350" s="84"/>
      <c r="W1350" s="84"/>
      <c r="X1350" s="84"/>
    </row>
    <row r="1351" spans="5:24" x14ac:dyDescent="0.2"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  <c r="S1351" s="84"/>
      <c r="T1351" s="84"/>
      <c r="U1351" s="84"/>
      <c r="V1351" s="84"/>
      <c r="W1351" s="84"/>
      <c r="X1351" s="84"/>
    </row>
    <row r="1352" spans="5:24" x14ac:dyDescent="0.2"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  <c r="S1352" s="84"/>
      <c r="T1352" s="84"/>
      <c r="U1352" s="84"/>
      <c r="V1352" s="84"/>
      <c r="W1352" s="84"/>
      <c r="X1352" s="84"/>
    </row>
    <row r="1353" spans="5:24" x14ac:dyDescent="0.2"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  <c r="S1353" s="84"/>
      <c r="T1353" s="84"/>
      <c r="U1353" s="84"/>
      <c r="V1353" s="84"/>
      <c r="W1353" s="84"/>
      <c r="X1353" s="84"/>
    </row>
    <row r="1354" spans="5:24" x14ac:dyDescent="0.2"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  <c r="S1354" s="84"/>
      <c r="T1354" s="84"/>
      <c r="U1354" s="84"/>
      <c r="V1354" s="84"/>
      <c r="W1354" s="84"/>
      <c r="X1354" s="84"/>
    </row>
    <row r="1355" spans="5:24" x14ac:dyDescent="0.2"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  <c r="S1355" s="84"/>
      <c r="T1355" s="84"/>
      <c r="U1355" s="84"/>
      <c r="V1355" s="84"/>
      <c r="W1355" s="84"/>
      <c r="X1355" s="84"/>
    </row>
    <row r="1356" spans="5:24" x14ac:dyDescent="0.2"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  <c r="S1356" s="84"/>
      <c r="T1356" s="84"/>
      <c r="U1356" s="84"/>
      <c r="V1356" s="84"/>
      <c r="W1356" s="84"/>
      <c r="X1356" s="84"/>
    </row>
    <row r="1357" spans="5:24" x14ac:dyDescent="0.2"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U1357" s="84"/>
      <c r="V1357" s="84"/>
      <c r="W1357" s="84"/>
      <c r="X1357" s="84"/>
    </row>
    <row r="1358" spans="5:24" x14ac:dyDescent="0.2"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  <c r="S1358" s="84"/>
      <c r="T1358" s="84"/>
      <c r="U1358" s="84"/>
      <c r="V1358" s="84"/>
      <c r="W1358" s="84"/>
      <c r="X1358" s="84"/>
    </row>
    <row r="1359" spans="5:24" x14ac:dyDescent="0.2"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  <c r="S1359" s="84"/>
      <c r="T1359" s="84"/>
      <c r="U1359" s="84"/>
      <c r="V1359" s="84"/>
      <c r="W1359" s="84"/>
      <c r="X1359" s="84"/>
    </row>
    <row r="1360" spans="5:24" x14ac:dyDescent="0.2"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  <c r="R1360" s="84"/>
      <c r="S1360" s="84"/>
      <c r="T1360" s="84"/>
      <c r="U1360" s="84"/>
      <c r="V1360" s="84"/>
      <c r="W1360" s="84"/>
      <c r="X1360" s="84"/>
    </row>
    <row r="1361" spans="5:24" x14ac:dyDescent="0.2"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  <c r="R1361" s="84"/>
      <c r="S1361" s="84"/>
      <c r="T1361" s="84"/>
      <c r="U1361" s="84"/>
      <c r="V1361" s="84"/>
      <c r="W1361" s="84"/>
      <c r="X1361" s="84"/>
    </row>
    <row r="1362" spans="5:24" x14ac:dyDescent="0.2"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  <c r="R1362" s="84"/>
      <c r="S1362" s="84"/>
      <c r="T1362" s="84"/>
      <c r="U1362" s="84"/>
      <c r="V1362" s="84"/>
      <c r="W1362" s="84"/>
      <c r="X1362" s="84"/>
    </row>
    <row r="1363" spans="5:24" x14ac:dyDescent="0.2"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  <c r="R1363" s="84"/>
      <c r="S1363" s="84"/>
      <c r="T1363" s="84"/>
      <c r="U1363" s="84"/>
      <c r="V1363" s="84"/>
      <c r="W1363" s="84"/>
      <c r="X1363" s="84"/>
    </row>
    <row r="1364" spans="5:24" x14ac:dyDescent="0.2"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  <c r="R1364" s="84"/>
      <c r="S1364" s="84"/>
      <c r="T1364" s="84"/>
      <c r="U1364" s="84"/>
      <c r="V1364" s="84"/>
      <c r="W1364" s="84"/>
      <c r="X1364" s="84"/>
    </row>
    <row r="1365" spans="5:24" x14ac:dyDescent="0.2"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  <c r="R1365" s="84"/>
      <c r="S1365" s="84"/>
      <c r="T1365" s="84"/>
      <c r="U1365" s="84"/>
      <c r="V1365" s="84"/>
      <c r="W1365" s="84"/>
      <c r="X1365" s="84"/>
    </row>
    <row r="1366" spans="5:24" x14ac:dyDescent="0.2"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  <c r="R1366" s="84"/>
      <c r="S1366" s="84"/>
      <c r="T1366" s="84"/>
      <c r="U1366" s="84"/>
      <c r="V1366" s="84"/>
      <c r="W1366" s="84"/>
      <c r="X1366" s="84"/>
    </row>
    <row r="1367" spans="5:24" x14ac:dyDescent="0.2"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  <c r="R1367" s="84"/>
      <c r="S1367" s="84"/>
      <c r="T1367" s="84"/>
      <c r="U1367" s="84"/>
      <c r="V1367" s="84"/>
      <c r="W1367" s="84"/>
      <c r="X1367" s="84"/>
    </row>
    <row r="1368" spans="5:24" x14ac:dyDescent="0.2">
      <c r="E1368" s="84"/>
      <c r="F1368" s="84"/>
      <c r="G1368" s="84"/>
      <c r="H1368" s="84"/>
      <c r="I1368" s="84"/>
      <c r="J1368" s="84"/>
      <c r="K1368" s="84"/>
      <c r="L1368" s="84"/>
      <c r="M1368" s="84"/>
      <c r="N1368" s="84"/>
      <c r="O1368" s="84"/>
      <c r="P1368" s="84"/>
      <c r="Q1368" s="84"/>
      <c r="R1368" s="84"/>
      <c r="S1368" s="84"/>
      <c r="T1368" s="84"/>
      <c r="U1368" s="84"/>
      <c r="V1368" s="84"/>
      <c r="W1368" s="84"/>
      <c r="X1368" s="84"/>
    </row>
    <row r="1369" spans="5:24" x14ac:dyDescent="0.2">
      <c r="E1369" s="84"/>
      <c r="F1369" s="84"/>
      <c r="G1369" s="84"/>
      <c r="H1369" s="84"/>
      <c r="I1369" s="84"/>
      <c r="J1369" s="84"/>
      <c r="K1369" s="84"/>
      <c r="L1369" s="84"/>
      <c r="M1369" s="84"/>
      <c r="N1369" s="84"/>
      <c r="O1369" s="84"/>
      <c r="P1369" s="84"/>
      <c r="Q1369" s="84"/>
      <c r="R1369" s="84"/>
      <c r="S1369" s="84"/>
      <c r="T1369" s="84"/>
      <c r="U1369" s="84"/>
      <c r="V1369" s="84"/>
      <c r="W1369" s="84"/>
      <c r="X1369" s="84"/>
    </row>
    <row r="1370" spans="5:24" x14ac:dyDescent="0.2">
      <c r="E1370" s="84"/>
      <c r="F1370" s="84"/>
      <c r="G1370" s="84"/>
      <c r="H1370" s="84"/>
      <c r="I1370" s="84"/>
      <c r="J1370" s="84"/>
      <c r="K1370" s="84"/>
      <c r="L1370" s="84"/>
      <c r="M1370" s="84"/>
      <c r="N1370" s="84"/>
      <c r="O1370" s="84"/>
      <c r="P1370" s="84"/>
      <c r="Q1370" s="84"/>
      <c r="R1370" s="84"/>
      <c r="S1370" s="84"/>
      <c r="T1370" s="84"/>
      <c r="U1370" s="84"/>
      <c r="V1370" s="84"/>
      <c r="W1370" s="84"/>
      <c r="X1370" s="84"/>
    </row>
    <row r="1371" spans="5:24" x14ac:dyDescent="0.2"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  <c r="S1371" s="84"/>
      <c r="T1371" s="84"/>
      <c r="U1371" s="84"/>
      <c r="V1371" s="84"/>
      <c r="W1371" s="84"/>
      <c r="X1371" s="84"/>
    </row>
    <row r="1372" spans="5:24" x14ac:dyDescent="0.2"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  <c r="S1372" s="84"/>
      <c r="T1372" s="84"/>
      <c r="U1372" s="84"/>
      <c r="V1372" s="84"/>
      <c r="W1372" s="84"/>
      <c r="X1372" s="84"/>
    </row>
    <row r="1373" spans="5:24" x14ac:dyDescent="0.2"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  <c r="S1373" s="84"/>
      <c r="T1373" s="84"/>
      <c r="U1373" s="84"/>
      <c r="V1373" s="84"/>
      <c r="W1373" s="84"/>
      <c r="X1373" s="84"/>
    </row>
    <row r="1374" spans="5:24" x14ac:dyDescent="0.2"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  <c r="S1374" s="84"/>
      <c r="T1374" s="84"/>
      <c r="U1374" s="84"/>
      <c r="V1374" s="84"/>
      <c r="W1374" s="84"/>
      <c r="X1374" s="84"/>
    </row>
    <row r="1375" spans="5:24" x14ac:dyDescent="0.2"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  <c r="S1375" s="84"/>
      <c r="T1375" s="84"/>
      <c r="U1375" s="84"/>
      <c r="V1375" s="84"/>
      <c r="W1375" s="84"/>
      <c r="X1375" s="84"/>
    </row>
    <row r="1376" spans="5:24" x14ac:dyDescent="0.2"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  <c r="S1376" s="84"/>
      <c r="T1376" s="84"/>
      <c r="U1376" s="84"/>
      <c r="V1376" s="84"/>
      <c r="W1376" s="84"/>
      <c r="X1376" s="84"/>
    </row>
    <row r="1377" spans="5:24" x14ac:dyDescent="0.2"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  <c r="S1377" s="84"/>
      <c r="T1377" s="84"/>
      <c r="U1377" s="84"/>
      <c r="V1377" s="84"/>
      <c r="W1377" s="84"/>
      <c r="X1377" s="84"/>
    </row>
    <row r="1378" spans="5:24" x14ac:dyDescent="0.2"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  <c r="S1378" s="84"/>
      <c r="T1378" s="84"/>
      <c r="U1378" s="84"/>
      <c r="V1378" s="84"/>
      <c r="W1378" s="84"/>
      <c r="X1378" s="84"/>
    </row>
    <row r="1379" spans="5:24" x14ac:dyDescent="0.2"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  <c r="S1379" s="84"/>
      <c r="T1379" s="84"/>
      <c r="U1379" s="84"/>
      <c r="V1379" s="84"/>
      <c r="W1379" s="84"/>
      <c r="X1379" s="84"/>
    </row>
    <row r="1380" spans="5:24" x14ac:dyDescent="0.2"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  <c r="S1380" s="84"/>
      <c r="T1380" s="84"/>
      <c r="U1380" s="84"/>
      <c r="V1380" s="84"/>
      <c r="W1380" s="84"/>
      <c r="X1380" s="84"/>
    </row>
    <row r="1381" spans="5:24" x14ac:dyDescent="0.2"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  <c r="S1381" s="84"/>
      <c r="T1381" s="84"/>
      <c r="U1381" s="84"/>
      <c r="V1381" s="84"/>
      <c r="W1381" s="84"/>
      <c r="X1381" s="84"/>
    </row>
    <row r="1382" spans="5:24" x14ac:dyDescent="0.2"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  <c r="S1382" s="84"/>
      <c r="T1382" s="84"/>
      <c r="U1382" s="84"/>
      <c r="V1382" s="84"/>
      <c r="W1382" s="84"/>
      <c r="X1382" s="84"/>
    </row>
    <row r="1383" spans="5:24" x14ac:dyDescent="0.2"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  <c r="S1383" s="84"/>
      <c r="T1383" s="84"/>
      <c r="U1383" s="84"/>
      <c r="V1383" s="84"/>
      <c r="W1383" s="84"/>
      <c r="X1383" s="84"/>
    </row>
    <row r="1384" spans="5:24" x14ac:dyDescent="0.2"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  <c r="S1384" s="84"/>
      <c r="T1384" s="84"/>
      <c r="U1384" s="84"/>
      <c r="V1384" s="84"/>
      <c r="W1384" s="84"/>
      <c r="X1384" s="84"/>
    </row>
    <row r="1385" spans="5:24" x14ac:dyDescent="0.2"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  <c r="S1385" s="84"/>
      <c r="T1385" s="84"/>
      <c r="U1385" s="84"/>
      <c r="V1385" s="84"/>
      <c r="W1385" s="84"/>
      <c r="X1385" s="84"/>
    </row>
    <row r="1386" spans="5:24" x14ac:dyDescent="0.2"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  <c r="S1386" s="84"/>
      <c r="T1386" s="84"/>
      <c r="U1386" s="84"/>
      <c r="V1386" s="84"/>
      <c r="W1386" s="84"/>
      <c r="X1386" s="84"/>
    </row>
    <row r="1387" spans="5:24" x14ac:dyDescent="0.2"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  <c r="S1387" s="84"/>
      <c r="T1387" s="84"/>
      <c r="U1387" s="84"/>
      <c r="V1387" s="84"/>
      <c r="W1387" s="84"/>
      <c r="X1387" s="84"/>
    </row>
    <row r="1388" spans="5:24" x14ac:dyDescent="0.2"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  <c r="S1388" s="84"/>
      <c r="T1388" s="84"/>
      <c r="U1388" s="84"/>
      <c r="V1388" s="84"/>
      <c r="W1388" s="84"/>
      <c r="X1388" s="84"/>
    </row>
    <row r="1389" spans="5:24" x14ac:dyDescent="0.2"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  <c r="S1389" s="84"/>
      <c r="T1389" s="84"/>
      <c r="U1389" s="84"/>
      <c r="V1389" s="84"/>
      <c r="W1389" s="84"/>
      <c r="X1389" s="84"/>
    </row>
    <row r="1390" spans="5:24" x14ac:dyDescent="0.2"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  <c r="S1390" s="84"/>
      <c r="T1390" s="84"/>
      <c r="U1390" s="84"/>
      <c r="V1390" s="84"/>
      <c r="W1390" s="84"/>
      <c r="X1390" s="84"/>
    </row>
    <row r="1391" spans="5:24" x14ac:dyDescent="0.2"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  <c r="S1391" s="84"/>
      <c r="T1391" s="84"/>
      <c r="U1391" s="84"/>
      <c r="V1391" s="84"/>
      <c r="W1391" s="84"/>
      <c r="X1391" s="84"/>
    </row>
    <row r="1392" spans="5:24" x14ac:dyDescent="0.2"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  <c r="S1392" s="84"/>
      <c r="T1392" s="84"/>
      <c r="U1392" s="84"/>
      <c r="V1392" s="84"/>
      <c r="W1392" s="84"/>
      <c r="X1392" s="84"/>
    </row>
    <row r="1393" spans="5:24" x14ac:dyDescent="0.2"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  <c r="S1393" s="84"/>
      <c r="T1393" s="84"/>
      <c r="U1393" s="84"/>
      <c r="V1393" s="84"/>
      <c r="W1393" s="84"/>
      <c r="X1393" s="84"/>
    </row>
    <row r="1394" spans="5:24" x14ac:dyDescent="0.2"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  <c r="S1394" s="84"/>
      <c r="T1394" s="84"/>
      <c r="U1394" s="84"/>
      <c r="V1394" s="84"/>
      <c r="W1394" s="84"/>
      <c r="X1394" s="84"/>
    </row>
    <row r="1395" spans="5:24" x14ac:dyDescent="0.2"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  <c r="S1395" s="84"/>
      <c r="T1395" s="84"/>
      <c r="U1395" s="84"/>
      <c r="V1395" s="84"/>
      <c r="W1395" s="84"/>
      <c r="X1395" s="84"/>
    </row>
    <row r="1396" spans="5:24" x14ac:dyDescent="0.2"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  <c r="S1396" s="84"/>
      <c r="T1396" s="84"/>
      <c r="U1396" s="84"/>
      <c r="V1396" s="84"/>
      <c r="W1396" s="84"/>
      <c r="X1396" s="84"/>
    </row>
    <row r="1397" spans="5:24" x14ac:dyDescent="0.2"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  <c r="S1397" s="84"/>
      <c r="T1397" s="84"/>
      <c r="U1397" s="84"/>
      <c r="V1397" s="84"/>
      <c r="W1397" s="84"/>
      <c r="X1397" s="84"/>
    </row>
    <row r="1398" spans="5:24" x14ac:dyDescent="0.2"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  <c r="S1398" s="84"/>
      <c r="T1398" s="84"/>
      <c r="U1398" s="84"/>
      <c r="V1398" s="84"/>
      <c r="W1398" s="84"/>
      <c r="X1398" s="84"/>
    </row>
    <row r="1399" spans="5:24" x14ac:dyDescent="0.2"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  <c r="S1399" s="84"/>
      <c r="T1399" s="84"/>
      <c r="U1399" s="84"/>
      <c r="V1399" s="84"/>
      <c r="W1399" s="84"/>
      <c r="X1399" s="84"/>
    </row>
    <row r="1400" spans="5:24" x14ac:dyDescent="0.2"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  <c r="S1400" s="84"/>
      <c r="T1400" s="84"/>
      <c r="U1400" s="84"/>
      <c r="V1400" s="84"/>
      <c r="W1400" s="84"/>
      <c r="X1400" s="84"/>
    </row>
    <row r="1401" spans="5:24" x14ac:dyDescent="0.2"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  <c r="S1401" s="84"/>
      <c r="T1401" s="84"/>
      <c r="U1401" s="84"/>
      <c r="V1401" s="84"/>
      <c r="W1401" s="84"/>
      <c r="X1401" s="84"/>
    </row>
    <row r="1402" spans="5:24" x14ac:dyDescent="0.2"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  <c r="S1402" s="84"/>
      <c r="T1402" s="84"/>
      <c r="U1402" s="84"/>
      <c r="V1402" s="84"/>
      <c r="W1402" s="84"/>
      <c r="X1402" s="84"/>
    </row>
    <row r="1403" spans="5:24" x14ac:dyDescent="0.2"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  <c r="S1403" s="84"/>
      <c r="T1403" s="84"/>
      <c r="U1403" s="84"/>
      <c r="V1403" s="84"/>
      <c r="W1403" s="84"/>
      <c r="X1403" s="84"/>
    </row>
    <row r="1404" spans="5:24" x14ac:dyDescent="0.2"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  <c r="S1404" s="84"/>
      <c r="T1404" s="84"/>
      <c r="U1404" s="84"/>
      <c r="V1404" s="84"/>
      <c r="W1404" s="84"/>
      <c r="X1404" s="84"/>
    </row>
    <row r="1405" spans="5:24" x14ac:dyDescent="0.2"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  <c r="S1405" s="84"/>
      <c r="T1405" s="84"/>
      <c r="U1405" s="84"/>
      <c r="V1405" s="84"/>
      <c r="W1405" s="84"/>
      <c r="X1405" s="84"/>
    </row>
    <row r="1406" spans="5:24" x14ac:dyDescent="0.2"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  <c r="S1406" s="84"/>
      <c r="T1406" s="84"/>
      <c r="U1406" s="84"/>
      <c r="V1406" s="84"/>
      <c r="W1406" s="84"/>
      <c r="X1406" s="84"/>
    </row>
    <row r="1407" spans="5:24" x14ac:dyDescent="0.2">
      <c r="E1407" s="84"/>
      <c r="F1407" s="84"/>
      <c r="G1407" s="84"/>
      <c r="H1407" s="84"/>
      <c r="I1407" s="84"/>
      <c r="J1407" s="84"/>
      <c r="K1407" s="84"/>
      <c r="L1407" s="84"/>
      <c r="M1407" s="84"/>
      <c r="N1407" s="84"/>
      <c r="O1407" s="84"/>
      <c r="P1407" s="84"/>
      <c r="Q1407" s="84"/>
      <c r="R1407" s="84"/>
      <c r="S1407" s="84"/>
      <c r="T1407" s="84"/>
      <c r="U1407" s="84"/>
      <c r="V1407" s="84"/>
      <c r="W1407" s="84"/>
      <c r="X1407" s="84"/>
    </row>
    <row r="1408" spans="5:24" x14ac:dyDescent="0.2">
      <c r="E1408" s="84"/>
      <c r="F1408" s="84"/>
      <c r="G1408" s="84"/>
      <c r="H1408" s="84"/>
      <c r="I1408" s="84"/>
      <c r="J1408" s="84"/>
      <c r="K1408" s="84"/>
      <c r="L1408" s="84"/>
      <c r="M1408" s="84"/>
      <c r="N1408" s="84"/>
      <c r="O1408" s="84"/>
      <c r="P1408" s="84"/>
      <c r="Q1408" s="84"/>
      <c r="R1408" s="84"/>
      <c r="S1408" s="84"/>
      <c r="T1408" s="84"/>
      <c r="U1408" s="84"/>
      <c r="V1408" s="84"/>
      <c r="W1408" s="84"/>
      <c r="X1408" s="84"/>
    </row>
    <row r="1409" spans="5:24" x14ac:dyDescent="0.2">
      <c r="E1409" s="84"/>
      <c r="F1409" s="84"/>
      <c r="G1409" s="84"/>
      <c r="H1409" s="84"/>
      <c r="I1409" s="84"/>
      <c r="J1409" s="84"/>
      <c r="K1409" s="84"/>
      <c r="L1409" s="84"/>
      <c r="M1409" s="84"/>
      <c r="N1409" s="84"/>
      <c r="O1409" s="84"/>
      <c r="P1409" s="84"/>
      <c r="Q1409" s="84"/>
      <c r="R1409" s="84"/>
      <c r="S1409" s="84"/>
      <c r="T1409" s="84"/>
      <c r="U1409" s="84"/>
      <c r="V1409" s="84"/>
      <c r="W1409" s="84"/>
      <c r="X1409" s="84"/>
    </row>
    <row r="1410" spans="5:24" x14ac:dyDescent="0.2">
      <c r="E1410" s="84"/>
      <c r="F1410" s="84"/>
      <c r="G1410" s="84"/>
      <c r="H1410" s="84"/>
      <c r="I1410" s="84"/>
      <c r="J1410" s="84"/>
      <c r="K1410" s="84"/>
      <c r="L1410" s="84"/>
      <c r="M1410" s="84"/>
      <c r="N1410" s="84"/>
      <c r="O1410" s="84"/>
      <c r="P1410" s="84"/>
      <c r="Q1410" s="84"/>
      <c r="R1410" s="84"/>
      <c r="S1410" s="84"/>
      <c r="T1410" s="84"/>
      <c r="U1410" s="84"/>
      <c r="V1410" s="84"/>
      <c r="W1410" s="84"/>
      <c r="X1410" s="84"/>
    </row>
    <row r="1411" spans="5:24" x14ac:dyDescent="0.2">
      <c r="E1411" s="84"/>
      <c r="F1411" s="84"/>
      <c r="G1411" s="84"/>
      <c r="H1411" s="84"/>
      <c r="I1411" s="84"/>
      <c r="J1411" s="84"/>
      <c r="K1411" s="84"/>
      <c r="L1411" s="84"/>
      <c r="M1411" s="84"/>
      <c r="N1411" s="84"/>
      <c r="O1411" s="84"/>
      <c r="P1411" s="84"/>
      <c r="Q1411" s="84"/>
      <c r="R1411" s="84"/>
      <c r="S1411" s="84"/>
      <c r="T1411" s="84"/>
      <c r="U1411" s="84"/>
      <c r="V1411" s="84"/>
      <c r="W1411" s="84"/>
      <c r="X1411" s="84"/>
    </row>
    <row r="1412" spans="5:24" x14ac:dyDescent="0.2">
      <c r="E1412" s="84"/>
      <c r="F1412" s="84"/>
      <c r="G1412" s="84"/>
      <c r="H1412" s="84"/>
      <c r="I1412" s="84"/>
      <c r="J1412" s="84"/>
      <c r="K1412" s="84"/>
      <c r="L1412" s="84"/>
      <c r="M1412" s="84"/>
      <c r="N1412" s="84"/>
      <c r="O1412" s="84"/>
      <c r="P1412" s="84"/>
      <c r="Q1412" s="84"/>
      <c r="R1412" s="84"/>
      <c r="S1412" s="84"/>
      <c r="T1412" s="84"/>
      <c r="U1412" s="84"/>
      <c r="V1412" s="84"/>
      <c r="W1412" s="84"/>
      <c r="X1412" s="84"/>
    </row>
    <row r="1413" spans="5:24" x14ac:dyDescent="0.2"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  <c r="R1413" s="84"/>
      <c r="S1413" s="84"/>
      <c r="T1413" s="84"/>
      <c r="U1413" s="84"/>
      <c r="V1413" s="84"/>
      <c r="W1413" s="84"/>
      <c r="X1413" s="84"/>
    </row>
    <row r="1414" spans="5:24" x14ac:dyDescent="0.2"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  <c r="R1414" s="84"/>
      <c r="S1414" s="84"/>
      <c r="T1414" s="84"/>
      <c r="U1414" s="84"/>
      <c r="V1414" s="84"/>
      <c r="W1414" s="84"/>
      <c r="X1414" s="84"/>
    </row>
    <row r="1415" spans="5:24" x14ac:dyDescent="0.2"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  <c r="R1415" s="84"/>
      <c r="S1415" s="84"/>
      <c r="T1415" s="84"/>
      <c r="U1415" s="84"/>
      <c r="V1415" s="84"/>
      <c r="W1415" s="84"/>
      <c r="X1415" s="84"/>
    </row>
    <row r="1416" spans="5:24" x14ac:dyDescent="0.2"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  <c r="R1416" s="84"/>
      <c r="S1416" s="84"/>
      <c r="T1416" s="84"/>
      <c r="U1416" s="84"/>
      <c r="V1416" s="84"/>
      <c r="W1416" s="84"/>
      <c r="X1416" s="84"/>
    </row>
    <row r="1417" spans="5:24" x14ac:dyDescent="0.2"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  <c r="R1417" s="84"/>
      <c r="S1417" s="84"/>
      <c r="T1417" s="84"/>
      <c r="U1417" s="84"/>
      <c r="V1417" s="84"/>
      <c r="W1417" s="84"/>
      <c r="X1417" s="84"/>
    </row>
    <row r="1418" spans="5:24" x14ac:dyDescent="0.2"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  <c r="R1418" s="84"/>
      <c r="S1418" s="84"/>
      <c r="T1418" s="84"/>
      <c r="U1418" s="84"/>
      <c r="V1418" s="84"/>
      <c r="W1418" s="84"/>
      <c r="X1418" s="84"/>
    </row>
    <row r="1419" spans="5:24" x14ac:dyDescent="0.2"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  <c r="S1419" s="84"/>
      <c r="T1419" s="84"/>
      <c r="U1419" s="84"/>
      <c r="V1419" s="84"/>
      <c r="W1419" s="84"/>
      <c r="X1419" s="84"/>
    </row>
    <row r="1420" spans="5:24" x14ac:dyDescent="0.2"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  <c r="S1420" s="84"/>
      <c r="T1420" s="84"/>
      <c r="U1420" s="84"/>
      <c r="V1420" s="84"/>
      <c r="W1420" s="84"/>
      <c r="X1420" s="84"/>
    </row>
    <row r="1421" spans="5:24" x14ac:dyDescent="0.2"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  <c r="S1421" s="84"/>
      <c r="T1421" s="84"/>
      <c r="U1421" s="84"/>
      <c r="V1421" s="84"/>
      <c r="W1421" s="84"/>
      <c r="X1421" s="84"/>
    </row>
    <row r="1422" spans="5:24" x14ac:dyDescent="0.2"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  <c r="S1422" s="84"/>
      <c r="T1422" s="84"/>
      <c r="U1422" s="84"/>
      <c r="V1422" s="84"/>
      <c r="W1422" s="84"/>
      <c r="X1422" s="84"/>
    </row>
    <row r="1423" spans="5:24" x14ac:dyDescent="0.2"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  <c r="S1423" s="84"/>
      <c r="T1423" s="84"/>
      <c r="U1423" s="84"/>
      <c r="V1423" s="84"/>
      <c r="W1423" s="84"/>
      <c r="X1423" s="84"/>
    </row>
    <row r="1424" spans="5:24" x14ac:dyDescent="0.2"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  <c r="S1424" s="84"/>
      <c r="T1424" s="84"/>
      <c r="U1424" s="84"/>
      <c r="V1424" s="84"/>
      <c r="W1424" s="84"/>
      <c r="X1424" s="84"/>
    </row>
    <row r="1425" spans="5:24" x14ac:dyDescent="0.2"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  <c r="S1425" s="84"/>
      <c r="T1425" s="84"/>
      <c r="U1425" s="84"/>
      <c r="V1425" s="84"/>
      <c r="W1425" s="84"/>
      <c r="X1425" s="84"/>
    </row>
    <row r="1426" spans="5:24" x14ac:dyDescent="0.2"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  <c r="S1426" s="84"/>
      <c r="T1426" s="84"/>
      <c r="U1426" s="84"/>
      <c r="V1426" s="84"/>
      <c r="W1426" s="84"/>
      <c r="X1426" s="84"/>
    </row>
    <row r="1427" spans="5:24" x14ac:dyDescent="0.2"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  <c r="S1427" s="84"/>
      <c r="T1427" s="84"/>
      <c r="U1427" s="84"/>
      <c r="V1427" s="84"/>
      <c r="W1427" s="84"/>
      <c r="X1427" s="84"/>
    </row>
    <row r="1428" spans="5:24" x14ac:dyDescent="0.2"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  <c r="S1428" s="84"/>
      <c r="T1428" s="84"/>
      <c r="U1428" s="84"/>
      <c r="V1428" s="84"/>
      <c r="W1428" s="84"/>
      <c r="X1428" s="84"/>
    </row>
    <row r="1429" spans="5:24" x14ac:dyDescent="0.2"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  <c r="S1429" s="84"/>
      <c r="T1429" s="84"/>
      <c r="U1429" s="84"/>
      <c r="V1429" s="84"/>
      <c r="W1429" s="84"/>
      <c r="X1429" s="84"/>
    </row>
    <row r="1430" spans="5:24" x14ac:dyDescent="0.2"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  <c r="S1430" s="84"/>
      <c r="T1430" s="84"/>
      <c r="U1430" s="84"/>
      <c r="V1430" s="84"/>
      <c r="W1430" s="84"/>
      <c r="X1430" s="84"/>
    </row>
    <row r="1431" spans="5:24" x14ac:dyDescent="0.2"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  <c r="S1431" s="84"/>
      <c r="T1431" s="84"/>
      <c r="U1431" s="84"/>
      <c r="V1431" s="84"/>
      <c r="W1431" s="84"/>
      <c r="X1431" s="84"/>
    </row>
    <row r="1432" spans="5:24" x14ac:dyDescent="0.2"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  <c r="S1432" s="84"/>
      <c r="T1432" s="84"/>
      <c r="U1432" s="84"/>
      <c r="V1432" s="84"/>
      <c r="W1432" s="84"/>
      <c r="X1432" s="84"/>
    </row>
    <row r="1433" spans="5:24" x14ac:dyDescent="0.2"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  <c r="S1433" s="84"/>
      <c r="T1433" s="84"/>
      <c r="U1433" s="84"/>
      <c r="V1433" s="84"/>
      <c r="W1433" s="84"/>
      <c r="X1433" s="84"/>
    </row>
    <row r="1434" spans="5:24" x14ac:dyDescent="0.2"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  <c r="S1434" s="84"/>
      <c r="T1434" s="84"/>
      <c r="U1434" s="84"/>
      <c r="V1434" s="84"/>
      <c r="W1434" s="84"/>
      <c r="X1434" s="84"/>
    </row>
    <row r="1435" spans="5:24" x14ac:dyDescent="0.2"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  <c r="S1435" s="84"/>
      <c r="T1435" s="84"/>
      <c r="U1435" s="84"/>
      <c r="V1435" s="84"/>
      <c r="W1435" s="84"/>
      <c r="X1435" s="84"/>
    </row>
    <row r="1436" spans="5:24" x14ac:dyDescent="0.2"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  <c r="S1436" s="84"/>
      <c r="T1436" s="84"/>
      <c r="U1436" s="84"/>
      <c r="V1436" s="84"/>
      <c r="W1436" s="84"/>
      <c r="X1436" s="84"/>
    </row>
    <row r="1437" spans="5:24" x14ac:dyDescent="0.2"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  <c r="S1437" s="84"/>
      <c r="T1437" s="84"/>
      <c r="U1437" s="84"/>
      <c r="V1437" s="84"/>
      <c r="W1437" s="84"/>
      <c r="X1437" s="84"/>
    </row>
    <row r="1438" spans="5:24" x14ac:dyDescent="0.2"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  <c r="S1438" s="84"/>
      <c r="T1438" s="84"/>
      <c r="U1438" s="84"/>
      <c r="V1438" s="84"/>
      <c r="W1438" s="84"/>
      <c r="X1438" s="84"/>
    </row>
    <row r="1439" spans="5:24" x14ac:dyDescent="0.2"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  <c r="S1439" s="84"/>
      <c r="T1439" s="84"/>
      <c r="U1439" s="84"/>
      <c r="V1439" s="84"/>
      <c r="W1439" s="84"/>
      <c r="X1439" s="84"/>
    </row>
    <row r="1440" spans="5:24" x14ac:dyDescent="0.2"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  <c r="S1440" s="84"/>
      <c r="T1440" s="84"/>
      <c r="U1440" s="84"/>
      <c r="V1440" s="84"/>
      <c r="W1440" s="84"/>
      <c r="X1440" s="84"/>
    </row>
    <row r="1441" spans="5:24" x14ac:dyDescent="0.2"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  <c r="S1441" s="84"/>
      <c r="T1441" s="84"/>
      <c r="U1441" s="84"/>
      <c r="V1441" s="84"/>
      <c r="W1441" s="84"/>
      <c r="X1441" s="84"/>
    </row>
    <row r="1442" spans="5:24" x14ac:dyDescent="0.2"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  <c r="S1442" s="84"/>
      <c r="T1442" s="84"/>
      <c r="U1442" s="84"/>
      <c r="V1442" s="84"/>
      <c r="W1442" s="84"/>
      <c r="X1442" s="84"/>
    </row>
    <row r="1443" spans="5:24" x14ac:dyDescent="0.2"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  <c r="S1443" s="84"/>
      <c r="T1443" s="84"/>
      <c r="U1443" s="84"/>
      <c r="V1443" s="84"/>
      <c r="W1443" s="84"/>
      <c r="X1443" s="84"/>
    </row>
    <row r="1444" spans="5:24" x14ac:dyDescent="0.2"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  <c r="S1444" s="84"/>
      <c r="T1444" s="84"/>
      <c r="U1444" s="84"/>
      <c r="V1444" s="84"/>
      <c r="W1444" s="84"/>
      <c r="X1444" s="84"/>
    </row>
    <row r="1445" spans="5:24" x14ac:dyDescent="0.2"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  <c r="S1445" s="84"/>
      <c r="T1445" s="84"/>
      <c r="U1445" s="84"/>
      <c r="V1445" s="84"/>
      <c r="W1445" s="84"/>
      <c r="X1445" s="84"/>
    </row>
    <row r="1446" spans="5:24" x14ac:dyDescent="0.2"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  <c r="S1446" s="84"/>
      <c r="T1446" s="84"/>
      <c r="U1446" s="84"/>
      <c r="V1446" s="84"/>
      <c r="W1446" s="84"/>
      <c r="X1446" s="84"/>
    </row>
    <row r="1447" spans="5:24" x14ac:dyDescent="0.2"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  <c r="S1447" s="84"/>
      <c r="T1447" s="84"/>
      <c r="U1447" s="84"/>
      <c r="V1447" s="84"/>
      <c r="W1447" s="84"/>
      <c r="X1447" s="84"/>
    </row>
    <row r="1448" spans="5:24" x14ac:dyDescent="0.2"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  <c r="S1448" s="84"/>
      <c r="T1448" s="84"/>
      <c r="U1448" s="84"/>
      <c r="V1448" s="84"/>
      <c r="W1448" s="84"/>
      <c r="X1448" s="84"/>
    </row>
    <row r="1449" spans="5:24" x14ac:dyDescent="0.2"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  <c r="S1449" s="84"/>
      <c r="T1449" s="84"/>
      <c r="U1449" s="84"/>
      <c r="V1449" s="84"/>
      <c r="W1449" s="84"/>
      <c r="X1449" s="84"/>
    </row>
    <row r="1450" spans="5:24" x14ac:dyDescent="0.2"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  <c r="S1450" s="84"/>
      <c r="T1450" s="84"/>
      <c r="U1450" s="84"/>
      <c r="V1450" s="84"/>
      <c r="W1450" s="84"/>
      <c r="X1450" s="84"/>
    </row>
    <row r="1451" spans="5:24" x14ac:dyDescent="0.2"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  <c r="S1451" s="84"/>
      <c r="T1451" s="84"/>
      <c r="U1451" s="84"/>
      <c r="V1451" s="84"/>
      <c r="W1451" s="84"/>
      <c r="X1451" s="84"/>
    </row>
    <row r="1452" spans="5:24" x14ac:dyDescent="0.2"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  <c r="S1452" s="84"/>
      <c r="T1452" s="84"/>
      <c r="U1452" s="84"/>
      <c r="V1452" s="84"/>
      <c r="W1452" s="84"/>
      <c r="X1452" s="84"/>
    </row>
    <row r="1453" spans="5:24" x14ac:dyDescent="0.2"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  <c r="S1453" s="84"/>
      <c r="T1453" s="84"/>
      <c r="U1453" s="84"/>
      <c r="V1453" s="84"/>
      <c r="W1453" s="84"/>
      <c r="X1453" s="84"/>
    </row>
    <row r="1454" spans="5:24" x14ac:dyDescent="0.2"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  <c r="S1454" s="84"/>
      <c r="T1454" s="84"/>
      <c r="U1454" s="84"/>
      <c r="V1454" s="84"/>
      <c r="W1454" s="84"/>
      <c r="X1454" s="84"/>
    </row>
    <row r="1455" spans="5:24" x14ac:dyDescent="0.2"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  <c r="R1455" s="84"/>
      <c r="S1455" s="84"/>
      <c r="T1455" s="84"/>
      <c r="U1455" s="84"/>
      <c r="V1455" s="84"/>
      <c r="W1455" s="84"/>
      <c r="X1455" s="84"/>
    </row>
    <row r="1456" spans="5:24" x14ac:dyDescent="0.2"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  <c r="R1456" s="84"/>
      <c r="S1456" s="84"/>
      <c r="T1456" s="84"/>
      <c r="U1456" s="84"/>
      <c r="V1456" s="84"/>
      <c r="W1456" s="84"/>
      <c r="X1456" s="84"/>
    </row>
    <row r="1457" spans="5:24" x14ac:dyDescent="0.2"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  <c r="R1457" s="84"/>
      <c r="S1457" s="84"/>
      <c r="T1457" s="84"/>
      <c r="U1457" s="84"/>
      <c r="V1457" s="84"/>
      <c r="W1457" s="84"/>
      <c r="X1457" s="84"/>
    </row>
    <row r="1458" spans="5:24" x14ac:dyDescent="0.2">
      <c r="E1458" s="84"/>
      <c r="F1458" s="84"/>
      <c r="G1458" s="84"/>
      <c r="H1458" s="84"/>
      <c r="I1458" s="84"/>
      <c r="J1458" s="84"/>
      <c r="K1458" s="84"/>
      <c r="L1458" s="84"/>
      <c r="M1458" s="84"/>
      <c r="N1458" s="84"/>
      <c r="O1458" s="84"/>
      <c r="P1458" s="84"/>
      <c r="Q1458" s="84"/>
      <c r="R1458" s="84"/>
      <c r="S1458" s="84"/>
      <c r="T1458" s="84"/>
      <c r="U1458" s="84"/>
      <c r="V1458" s="84"/>
      <c r="W1458" s="84"/>
      <c r="X1458" s="84"/>
    </row>
    <row r="1459" spans="5:24" x14ac:dyDescent="0.2">
      <c r="E1459" s="84"/>
      <c r="F1459" s="84"/>
      <c r="G1459" s="84"/>
      <c r="H1459" s="84"/>
      <c r="I1459" s="84"/>
      <c r="J1459" s="84"/>
      <c r="K1459" s="84"/>
      <c r="L1459" s="84"/>
      <c r="M1459" s="84"/>
      <c r="N1459" s="84"/>
      <c r="O1459" s="84"/>
      <c r="P1459" s="84"/>
      <c r="Q1459" s="84"/>
      <c r="R1459" s="84"/>
      <c r="S1459" s="84"/>
      <c r="T1459" s="84"/>
      <c r="U1459" s="84"/>
      <c r="V1459" s="84"/>
      <c r="W1459" s="84"/>
      <c r="X1459" s="84"/>
    </row>
    <row r="1460" spans="5:24" x14ac:dyDescent="0.2">
      <c r="E1460" s="84"/>
      <c r="F1460" s="84"/>
      <c r="G1460" s="84"/>
      <c r="H1460" s="84"/>
      <c r="I1460" s="84"/>
      <c r="J1460" s="84"/>
      <c r="K1460" s="84"/>
      <c r="L1460" s="84"/>
      <c r="M1460" s="84"/>
      <c r="N1460" s="84"/>
      <c r="O1460" s="84"/>
      <c r="P1460" s="84"/>
      <c r="Q1460" s="84"/>
      <c r="R1460" s="84"/>
      <c r="S1460" s="84"/>
      <c r="T1460" s="84"/>
      <c r="U1460" s="84"/>
      <c r="V1460" s="84"/>
      <c r="W1460" s="84"/>
      <c r="X1460" s="84"/>
    </row>
    <row r="1461" spans="5:24" x14ac:dyDescent="0.2">
      <c r="E1461" s="84"/>
      <c r="F1461" s="84"/>
      <c r="G1461" s="84"/>
      <c r="H1461" s="84"/>
      <c r="I1461" s="84"/>
      <c r="J1461" s="84"/>
      <c r="K1461" s="84"/>
      <c r="L1461" s="84"/>
      <c r="M1461" s="84"/>
      <c r="N1461" s="84"/>
      <c r="O1461" s="84"/>
      <c r="P1461" s="84"/>
      <c r="Q1461" s="84"/>
      <c r="R1461" s="84"/>
      <c r="S1461" s="84"/>
      <c r="T1461" s="84"/>
      <c r="U1461" s="84"/>
      <c r="V1461" s="84"/>
      <c r="W1461" s="84"/>
      <c r="X1461" s="84"/>
    </row>
    <row r="1462" spans="5:24" x14ac:dyDescent="0.2">
      <c r="E1462" s="84"/>
      <c r="F1462" s="84"/>
      <c r="G1462" s="84"/>
      <c r="H1462" s="84"/>
      <c r="I1462" s="84"/>
      <c r="J1462" s="84"/>
      <c r="K1462" s="84"/>
      <c r="L1462" s="84"/>
      <c r="M1462" s="84"/>
      <c r="N1462" s="84"/>
      <c r="O1462" s="84"/>
      <c r="P1462" s="84"/>
      <c r="Q1462" s="84"/>
      <c r="R1462" s="84"/>
      <c r="S1462" s="84"/>
      <c r="T1462" s="84"/>
      <c r="U1462" s="84"/>
      <c r="V1462" s="84"/>
      <c r="W1462" s="84"/>
      <c r="X1462" s="84"/>
    </row>
    <row r="1463" spans="5:24" x14ac:dyDescent="0.2">
      <c r="E1463" s="84"/>
      <c r="F1463" s="84"/>
      <c r="G1463" s="84"/>
      <c r="H1463" s="84"/>
      <c r="I1463" s="84"/>
      <c r="J1463" s="84"/>
      <c r="K1463" s="84"/>
      <c r="L1463" s="84"/>
      <c r="M1463" s="84"/>
      <c r="N1463" s="84"/>
      <c r="O1463" s="84"/>
      <c r="P1463" s="84"/>
      <c r="Q1463" s="84"/>
      <c r="R1463" s="84"/>
      <c r="S1463" s="84"/>
      <c r="T1463" s="84"/>
      <c r="U1463" s="84"/>
      <c r="V1463" s="84"/>
      <c r="W1463" s="84"/>
      <c r="X1463" s="84"/>
    </row>
    <row r="1464" spans="5:24" x14ac:dyDescent="0.2">
      <c r="E1464" s="84"/>
      <c r="F1464" s="84"/>
      <c r="G1464" s="84"/>
      <c r="H1464" s="84"/>
      <c r="I1464" s="84"/>
      <c r="J1464" s="84"/>
      <c r="K1464" s="84"/>
      <c r="L1464" s="84"/>
      <c r="M1464" s="84"/>
      <c r="N1464" s="84"/>
      <c r="O1464" s="84"/>
      <c r="P1464" s="84"/>
      <c r="Q1464" s="84"/>
      <c r="R1464" s="84"/>
      <c r="S1464" s="84"/>
      <c r="T1464" s="84"/>
      <c r="U1464" s="84"/>
      <c r="V1464" s="84"/>
      <c r="W1464" s="84"/>
      <c r="X1464" s="84"/>
    </row>
    <row r="1465" spans="5:24" x14ac:dyDescent="0.2">
      <c r="E1465" s="84"/>
      <c r="F1465" s="84"/>
      <c r="G1465" s="84"/>
      <c r="H1465" s="84"/>
      <c r="I1465" s="84"/>
      <c r="J1465" s="84"/>
      <c r="K1465" s="84"/>
      <c r="L1465" s="84"/>
      <c r="M1465" s="84"/>
      <c r="N1465" s="84"/>
      <c r="O1465" s="84"/>
      <c r="P1465" s="84"/>
      <c r="Q1465" s="84"/>
      <c r="R1465" s="84"/>
      <c r="S1465" s="84"/>
      <c r="T1465" s="84"/>
      <c r="U1465" s="84"/>
      <c r="V1465" s="84"/>
      <c r="W1465" s="84"/>
      <c r="X1465" s="84"/>
    </row>
    <row r="1466" spans="5:24" x14ac:dyDescent="0.2">
      <c r="E1466" s="84"/>
      <c r="F1466" s="84"/>
      <c r="G1466" s="84"/>
      <c r="H1466" s="84"/>
      <c r="I1466" s="84"/>
      <c r="J1466" s="84"/>
      <c r="K1466" s="84"/>
      <c r="L1466" s="84"/>
      <c r="M1466" s="84"/>
      <c r="N1466" s="84"/>
      <c r="O1466" s="84"/>
      <c r="P1466" s="84"/>
      <c r="Q1466" s="84"/>
      <c r="R1466" s="84"/>
      <c r="S1466" s="84"/>
      <c r="T1466" s="84"/>
      <c r="U1466" s="84"/>
      <c r="V1466" s="84"/>
      <c r="W1466" s="84"/>
      <c r="X1466" s="84"/>
    </row>
    <row r="1467" spans="5:24" x14ac:dyDescent="0.2"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  <c r="S1467" s="84"/>
      <c r="T1467" s="84"/>
      <c r="U1467" s="84"/>
      <c r="V1467" s="84"/>
      <c r="W1467" s="84"/>
      <c r="X1467" s="84"/>
    </row>
    <row r="1468" spans="5:24" x14ac:dyDescent="0.2"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  <c r="S1468" s="84"/>
      <c r="T1468" s="84"/>
      <c r="U1468" s="84"/>
      <c r="V1468" s="84"/>
      <c r="W1468" s="84"/>
      <c r="X1468" s="84"/>
    </row>
    <row r="1469" spans="5:24" x14ac:dyDescent="0.2"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  <c r="S1469" s="84"/>
      <c r="T1469" s="84"/>
      <c r="U1469" s="84"/>
      <c r="V1469" s="84"/>
      <c r="W1469" s="84"/>
      <c r="X1469" s="84"/>
    </row>
    <row r="1470" spans="5:24" x14ac:dyDescent="0.2"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  <c r="S1470" s="84"/>
      <c r="T1470" s="84"/>
      <c r="U1470" s="84"/>
      <c r="V1470" s="84"/>
      <c r="W1470" s="84"/>
      <c r="X1470" s="84"/>
    </row>
    <row r="1471" spans="5:24" x14ac:dyDescent="0.2"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  <c r="S1471" s="84"/>
      <c r="T1471" s="84"/>
      <c r="U1471" s="84"/>
      <c r="V1471" s="84"/>
      <c r="W1471" s="84"/>
      <c r="X1471" s="84"/>
    </row>
    <row r="1472" spans="5:24" x14ac:dyDescent="0.2"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  <c r="S1472" s="84"/>
      <c r="T1472" s="84"/>
      <c r="U1472" s="84"/>
      <c r="V1472" s="84"/>
      <c r="W1472" s="84"/>
      <c r="X1472" s="84"/>
    </row>
    <row r="1473" spans="5:24" x14ac:dyDescent="0.2"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  <c r="S1473" s="84"/>
      <c r="T1473" s="84"/>
      <c r="U1473" s="84"/>
      <c r="V1473" s="84"/>
      <c r="W1473" s="84"/>
      <c r="X1473" s="84"/>
    </row>
    <row r="1474" spans="5:24" x14ac:dyDescent="0.2"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  <c r="S1474" s="84"/>
      <c r="T1474" s="84"/>
      <c r="U1474" s="84"/>
      <c r="V1474" s="84"/>
      <c r="W1474" s="84"/>
      <c r="X1474" s="84"/>
    </row>
    <row r="1475" spans="5:24" x14ac:dyDescent="0.2"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  <c r="S1475" s="84"/>
      <c r="T1475" s="84"/>
      <c r="U1475" s="84"/>
      <c r="V1475" s="84"/>
      <c r="W1475" s="84"/>
      <c r="X1475" s="84"/>
    </row>
    <row r="1476" spans="5:24" x14ac:dyDescent="0.2"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  <c r="S1476" s="84"/>
      <c r="T1476" s="84"/>
      <c r="U1476" s="84"/>
      <c r="V1476" s="84"/>
      <c r="W1476" s="84"/>
      <c r="X1476" s="84"/>
    </row>
    <row r="1477" spans="5:24" x14ac:dyDescent="0.2"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  <c r="S1477" s="84"/>
      <c r="T1477" s="84"/>
      <c r="U1477" s="84"/>
      <c r="V1477" s="84"/>
      <c r="W1477" s="84"/>
      <c r="X1477" s="84"/>
    </row>
    <row r="1478" spans="5:24" x14ac:dyDescent="0.2"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  <c r="S1478" s="84"/>
      <c r="T1478" s="84"/>
      <c r="U1478" s="84"/>
      <c r="V1478" s="84"/>
      <c r="W1478" s="84"/>
      <c r="X1478" s="84"/>
    </row>
    <row r="1479" spans="5:24" x14ac:dyDescent="0.2"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  <c r="S1479" s="84"/>
      <c r="T1479" s="84"/>
      <c r="U1479" s="84"/>
      <c r="V1479" s="84"/>
      <c r="W1479" s="84"/>
      <c r="X1479" s="84"/>
    </row>
    <row r="1480" spans="5:24" x14ac:dyDescent="0.2"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  <c r="S1480" s="84"/>
      <c r="T1480" s="84"/>
      <c r="U1480" s="84"/>
      <c r="V1480" s="84"/>
      <c r="W1480" s="84"/>
      <c r="X1480" s="84"/>
    </row>
    <row r="1481" spans="5:24" x14ac:dyDescent="0.2"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  <c r="S1481" s="84"/>
      <c r="T1481" s="84"/>
      <c r="U1481" s="84"/>
      <c r="V1481" s="84"/>
      <c r="W1481" s="84"/>
      <c r="X1481" s="84"/>
    </row>
    <row r="1482" spans="5:24" x14ac:dyDescent="0.2"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  <c r="S1482" s="84"/>
      <c r="T1482" s="84"/>
      <c r="U1482" s="84"/>
      <c r="V1482" s="84"/>
      <c r="W1482" s="84"/>
      <c r="X1482" s="84"/>
    </row>
    <row r="1483" spans="5:24" x14ac:dyDescent="0.2"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  <c r="S1483" s="84"/>
      <c r="T1483" s="84"/>
      <c r="U1483" s="84"/>
      <c r="V1483" s="84"/>
      <c r="W1483" s="84"/>
      <c r="X1483" s="84"/>
    </row>
    <row r="1484" spans="5:24" x14ac:dyDescent="0.2"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  <c r="S1484" s="84"/>
      <c r="T1484" s="84"/>
      <c r="U1484" s="84"/>
      <c r="V1484" s="84"/>
      <c r="W1484" s="84"/>
      <c r="X1484" s="84"/>
    </row>
    <row r="1485" spans="5:24" x14ac:dyDescent="0.2"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  <c r="S1485" s="84"/>
      <c r="T1485" s="84"/>
      <c r="U1485" s="84"/>
      <c r="V1485" s="84"/>
      <c r="W1485" s="84"/>
      <c r="X1485" s="84"/>
    </row>
    <row r="1486" spans="5:24" x14ac:dyDescent="0.2"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  <c r="S1486" s="84"/>
      <c r="T1486" s="84"/>
      <c r="U1486" s="84"/>
      <c r="V1486" s="84"/>
      <c r="W1486" s="84"/>
      <c r="X1486" s="84"/>
    </row>
    <row r="1487" spans="5:24" x14ac:dyDescent="0.2"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  <c r="S1487" s="84"/>
      <c r="T1487" s="84"/>
      <c r="U1487" s="84"/>
      <c r="V1487" s="84"/>
      <c r="W1487" s="84"/>
      <c r="X1487" s="84"/>
    </row>
    <row r="1488" spans="5:24" x14ac:dyDescent="0.2"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  <c r="S1488" s="84"/>
      <c r="T1488" s="84"/>
      <c r="U1488" s="84"/>
      <c r="V1488" s="84"/>
      <c r="W1488" s="84"/>
      <c r="X1488" s="84"/>
    </row>
    <row r="1489" spans="5:24" x14ac:dyDescent="0.2"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  <c r="S1489" s="84"/>
      <c r="T1489" s="84"/>
      <c r="U1489" s="84"/>
      <c r="V1489" s="84"/>
      <c r="W1489" s="84"/>
      <c r="X1489" s="84"/>
    </row>
    <row r="1490" spans="5:24" x14ac:dyDescent="0.2"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  <c r="S1490" s="84"/>
      <c r="T1490" s="84"/>
      <c r="U1490" s="84"/>
      <c r="V1490" s="84"/>
      <c r="W1490" s="84"/>
      <c r="X1490" s="84"/>
    </row>
    <row r="1491" spans="5:24" x14ac:dyDescent="0.2"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  <c r="S1491" s="84"/>
      <c r="T1491" s="84"/>
      <c r="U1491" s="84"/>
      <c r="V1491" s="84"/>
      <c r="W1491" s="84"/>
      <c r="X1491" s="84"/>
    </row>
    <row r="1492" spans="5:24" x14ac:dyDescent="0.2"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  <c r="S1492" s="84"/>
      <c r="T1492" s="84"/>
      <c r="U1492" s="84"/>
      <c r="V1492" s="84"/>
      <c r="W1492" s="84"/>
      <c r="X1492" s="84"/>
    </row>
    <row r="1493" spans="5:24" x14ac:dyDescent="0.2"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  <c r="S1493" s="84"/>
      <c r="T1493" s="84"/>
      <c r="U1493" s="84"/>
      <c r="V1493" s="84"/>
      <c r="W1493" s="84"/>
      <c r="X1493" s="84"/>
    </row>
    <row r="1494" spans="5:24" x14ac:dyDescent="0.2"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  <c r="S1494" s="84"/>
      <c r="T1494" s="84"/>
      <c r="U1494" s="84"/>
      <c r="V1494" s="84"/>
      <c r="W1494" s="84"/>
      <c r="X1494" s="84"/>
    </row>
    <row r="1495" spans="5:24" x14ac:dyDescent="0.2"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  <c r="S1495" s="84"/>
      <c r="T1495" s="84"/>
      <c r="U1495" s="84"/>
      <c r="V1495" s="84"/>
      <c r="W1495" s="84"/>
      <c r="X1495" s="84"/>
    </row>
    <row r="1496" spans="5:24" x14ac:dyDescent="0.2"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  <c r="S1496" s="84"/>
      <c r="T1496" s="84"/>
      <c r="U1496" s="84"/>
      <c r="V1496" s="84"/>
      <c r="W1496" s="84"/>
      <c r="X1496" s="84"/>
    </row>
    <row r="1497" spans="5:24" x14ac:dyDescent="0.2"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  <c r="S1497" s="84"/>
      <c r="T1497" s="84"/>
      <c r="U1497" s="84"/>
      <c r="V1497" s="84"/>
      <c r="W1497" s="84"/>
      <c r="X1497" s="84"/>
    </row>
    <row r="1498" spans="5:24" x14ac:dyDescent="0.2"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  <c r="S1498" s="84"/>
      <c r="T1498" s="84"/>
      <c r="U1498" s="84"/>
      <c r="V1498" s="84"/>
      <c r="W1498" s="84"/>
      <c r="X1498" s="84"/>
    </row>
    <row r="1499" spans="5:24" x14ac:dyDescent="0.2"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  <c r="S1499" s="84"/>
      <c r="T1499" s="84"/>
      <c r="U1499" s="84"/>
      <c r="V1499" s="84"/>
      <c r="W1499" s="84"/>
      <c r="X1499" s="84"/>
    </row>
    <row r="1500" spans="5:24" x14ac:dyDescent="0.2"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  <c r="S1500" s="84"/>
      <c r="T1500" s="84"/>
      <c r="U1500" s="84"/>
      <c r="V1500" s="84"/>
      <c r="W1500" s="84"/>
      <c r="X1500" s="84"/>
    </row>
    <row r="1501" spans="5:24" x14ac:dyDescent="0.2"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  <c r="S1501" s="84"/>
      <c r="T1501" s="84"/>
      <c r="U1501" s="84"/>
      <c r="V1501" s="84"/>
      <c r="W1501" s="84"/>
      <c r="X1501" s="84"/>
    </row>
    <row r="1502" spans="5:24" x14ac:dyDescent="0.2"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  <c r="S1502" s="84"/>
      <c r="T1502" s="84"/>
      <c r="U1502" s="84"/>
      <c r="V1502" s="84"/>
      <c r="W1502" s="84"/>
      <c r="X1502" s="84"/>
    </row>
    <row r="1503" spans="5:24" x14ac:dyDescent="0.2"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  <c r="R1503" s="84"/>
      <c r="S1503" s="84"/>
      <c r="T1503" s="84"/>
      <c r="U1503" s="84"/>
      <c r="V1503" s="84"/>
      <c r="W1503" s="84"/>
      <c r="X1503" s="84"/>
    </row>
    <row r="1504" spans="5:24" x14ac:dyDescent="0.2"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  <c r="R1504" s="84"/>
      <c r="S1504" s="84"/>
      <c r="T1504" s="84"/>
      <c r="U1504" s="84"/>
      <c r="V1504" s="84"/>
      <c r="W1504" s="84"/>
      <c r="X1504" s="84"/>
    </row>
    <row r="1505" spans="5:24" x14ac:dyDescent="0.2"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  <c r="R1505" s="84"/>
      <c r="S1505" s="84"/>
      <c r="T1505" s="84"/>
      <c r="U1505" s="84"/>
      <c r="V1505" s="84"/>
      <c r="W1505" s="84"/>
      <c r="X1505" s="84"/>
    </row>
    <row r="1506" spans="5:24" x14ac:dyDescent="0.2"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  <c r="R1506" s="84"/>
      <c r="S1506" s="84"/>
      <c r="T1506" s="84"/>
      <c r="U1506" s="84"/>
      <c r="V1506" s="84"/>
      <c r="W1506" s="84"/>
      <c r="X1506" s="84"/>
    </row>
    <row r="1507" spans="5:24" x14ac:dyDescent="0.2"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  <c r="R1507" s="84"/>
      <c r="S1507" s="84"/>
      <c r="T1507" s="84"/>
      <c r="U1507" s="84"/>
      <c r="V1507" s="84"/>
      <c r="W1507" s="84"/>
      <c r="X1507" s="84"/>
    </row>
    <row r="1508" spans="5:24" x14ac:dyDescent="0.2"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  <c r="R1508" s="84"/>
      <c r="S1508" s="84"/>
      <c r="T1508" s="84"/>
      <c r="U1508" s="84"/>
      <c r="V1508" s="84"/>
      <c r="W1508" s="84"/>
      <c r="X1508" s="84"/>
    </row>
    <row r="1509" spans="5:24" x14ac:dyDescent="0.2"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  <c r="R1509" s="84"/>
      <c r="S1509" s="84"/>
      <c r="T1509" s="84"/>
      <c r="U1509" s="84"/>
      <c r="V1509" s="84"/>
      <c r="W1509" s="84"/>
      <c r="X1509" s="84"/>
    </row>
    <row r="1510" spans="5:24" x14ac:dyDescent="0.2"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  <c r="R1510" s="84"/>
      <c r="S1510" s="84"/>
      <c r="T1510" s="84"/>
      <c r="U1510" s="84"/>
      <c r="V1510" s="84"/>
      <c r="W1510" s="84"/>
      <c r="X1510" s="84"/>
    </row>
    <row r="1511" spans="5:24" x14ac:dyDescent="0.2"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  <c r="R1511" s="84"/>
      <c r="S1511" s="84"/>
      <c r="T1511" s="84"/>
      <c r="U1511" s="84"/>
      <c r="V1511" s="84"/>
      <c r="W1511" s="84"/>
      <c r="X1511" s="84"/>
    </row>
    <row r="1512" spans="5:24" x14ac:dyDescent="0.2"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  <c r="R1512" s="84"/>
      <c r="S1512" s="84"/>
      <c r="T1512" s="84"/>
      <c r="U1512" s="84"/>
      <c r="V1512" s="84"/>
      <c r="W1512" s="84"/>
      <c r="X1512" s="84"/>
    </row>
    <row r="1513" spans="5:24" x14ac:dyDescent="0.2"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  <c r="R1513" s="84"/>
      <c r="S1513" s="84"/>
      <c r="T1513" s="84"/>
      <c r="U1513" s="84"/>
      <c r="V1513" s="84"/>
      <c r="W1513" s="84"/>
      <c r="X1513" s="84"/>
    </row>
    <row r="1514" spans="5:24" x14ac:dyDescent="0.2"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  <c r="R1514" s="84"/>
      <c r="S1514" s="84"/>
      <c r="T1514" s="84"/>
      <c r="U1514" s="84"/>
      <c r="V1514" s="84"/>
      <c r="W1514" s="84"/>
      <c r="X1514" s="84"/>
    </row>
    <row r="1515" spans="5:24" x14ac:dyDescent="0.2"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  <c r="S1515" s="84"/>
      <c r="T1515" s="84"/>
      <c r="U1515" s="84"/>
      <c r="V1515" s="84"/>
      <c r="W1515" s="84"/>
      <c r="X1515" s="84"/>
    </row>
    <row r="1516" spans="5:24" x14ac:dyDescent="0.2"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  <c r="S1516" s="84"/>
      <c r="T1516" s="84"/>
      <c r="U1516" s="84"/>
      <c r="V1516" s="84"/>
      <c r="W1516" s="84"/>
      <c r="X1516" s="84"/>
    </row>
    <row r="1517" spans="5:24" x14ac:dyDescent="0.2"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  <c r="S1517" s="84"/>
      <c r="T1517" s="84"/>
      <c r="U1517" s="84"/>
      <c r="V1517" s="84"/>
      <c r="W1517" s="84"/>
      <c r="X1517" s="84"/>
    </row>
    <row r="1518" spans="5:24" x14ac:dyDescent="0.2"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  <c r="S1518" s="84"/>
      <c r="T1518" s="84"/>
      <c r="U1518" s="84"/>
      <c r="V1518" s="84"/>
      <c r="W1518" s="84"/>
      <c r="X1518" s="84"/>
    </row>
    <row r="1519" spans="5:24" x14ac:dyDescent="0.2"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  <c r="S1519" s="84"/>
      <c r="T1519" s="84"/>
      <c r="U1519" s="84"/>
      <c r="V1519" s="84"/>
      <c r="W1519" s="84"/>
      <c r="X1519" s="84"/>
    </row>
    <row r="1520" spans="5:24" x14ac:dyDescent="0.2"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  <c r="S1520" s="84"/>
      <c r="T1520" s="84"/>
      <c r="U1520" s="84"/>
      <c r="V1520" s="84"/>
      <c r="W1520" s="84"/>
      <c r="X1520" s="84"/>
    </row>
    <row r="1521" spans="5:24" x14ac:dyDescent="0.2"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  <c r="S1521" s="84"/>
      <c r="T1521" s="84"/>
      <c r="U1521" s="84"/>
      <c r="V1521" s="84"/>
      <c r="W1521" s="84"/>
      <c r="X1521" s="84"/>
    </row>
    <row r="1522" spans="5:24" x14ac:dyDescent="0.2"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  <c r="S1522" s="84"/>
      <c r="T1522" s="84"/>
      <c r="U1522" s="84"/>
      <c r="V1522" s="84"/>
      <c r="W1522" s="84"/>
      <c r="X1522" s="84"/>
    </row>
    <row r="1523" spans="5:24" x14ac:dyDescent="0.2"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  <c r="S1523" s="84"/>
      <c r="T1523" s="84"/>
      <c r="U1523" s="84"/>
      <c r="V1523" s="84"/>
      <c r="W1523" s="84"/>
      <c r="X1523" s="84"/>
    </row>
    <row r="1524" spans="5:24" x14ac:dyDescent="0.2"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  <c r="S1524" s="84"/>
      <c r="T1524" s="84"/>
      <c r="U1524" s="84"/>
      <c r="V1524" s="84"/>
      <c r="W1524" s="84"/>
      <c r="X1524" s="84"/>
    </row>
    <row r="1525" spans="5:24" x14ac:dyDescent="0.2"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  <c r="S1525" s="84"/>
      <c r="T1525" s="84"/>
      <c r="U1525" s="84"/>
      <c r="V1525" s="84"/>
      <c r="W1525" s="84"/>
      <c r="X1525" s="84"/>
    </row>
    <row r="1526" spans="5:24" x14ac:dyDescent="0.2"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  <c r="S1526" s="84"/>
      <c r="T1526" s="84"/>
      <c r="U1526" s="84"/>
      <c r="V1526" s="84"/>
      <c r="W1526" s="84"/>
      <c r="X1526" s="84"/>
    </row>
    <row r="1527" spans="5:24" x14ac:dyDescent="0.2"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  <c r="S1527" s="84"/>
      <c r="T1527" s="84"/>
      <c r="U1527" s="84"/>
      <c r="V1527" s="84"/>
      <c r="W1527" s="84"/>
      <c r="X1527" s="84"/>
    </row>
    <row r="1528" spans="5:24" x14ac:dyDescent="0.2"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  <c r="S1528" s="84"/>
      <c r="T1528" s="84"/>
      <c r="U1528" s="84"/>
      <c r="V1528" s="84"/>
      <c r="W1528" s="84"/>
      <c r="X1528" s="84"/>
    </row>
    <row r="1529" spans="5:24" x14ac:dyDescent="0.2"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  <c r="S1529" s="84"/>
      <c r="T1529" s="84"/>
      <c r="U1529" s="84"/>
      <c r="V1529" s="84"/>
      <c r="W1529" s="84"/>
      <c r="X1529" s="84"/>
    </row>
    <row r="1530" spans="5:24" x14ac:dyDescent="0.2"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  <c r="S1530" s="84"/>
      <c r="T1530" s="84"/>
      <c r="U1530" s="84"/>
      <c r="V1530" s="84"/>
      <c r="W1530" s="84"/>
      <c r="X1530" s="84"/>
    </row>
    <row r="1531" spans="5:24" x14ac:dyDescent="0.2"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  <c r="S1531" s="84"/>
      <c r="T1531" s="84"/>
      <c r="U1531" s="84"/>
      <c r="V1531" s="84"/>
      <c r="W1531" s="84"/>
      <c r="X1531" s="84"/>
    </row>
    <row r="1532" spans="5:24" x14ac:dyDescent="0.2"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  <c r="S1532" s="84"/>
      <c r="T1532" s="84"/>
      <c r="U1532" s="84"/>
      <c r="V1532" s="84"/>
      <c r="W1532" s="84"/>
      <c r="X1532" s="84"/>
    </row>
    <row r="1533" spans="5:24" x14ac:dyDescent="0.2"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  <c r="S1533" s="84"/>
      <c r="T1533" s="84"/>
      <c r="U1533" s="84"/>
      <c r="V1533" s="84"/>
      <c r="W1533" s="84"/>
      <c r="X1533" s="84"/>
    </row>
    <row r="1534" spans="5:24" x14ac:dyDescent="0.2"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  <c r="S1534" s="84"/>
      <c r="T1534" s="84"/>
      <c r="U1534" s="84"/>
      <c r="V1534" s="84"/>
      <c r="W1534" s="84"/>
      <c r="X1534" s="84"/>
    </row>
    <row r="1535" spans="5:24" x14ac:dyDescent="0.2"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  <c r="S1535" s="84"/>
      <c r="T1535" s="84"/>
      <c r="U1535" s="84"/>
      <c r="V1535" s="84"/>
      <c r="W1535" s="84"/>
      <c r="X1535" s="84"/>
    </row>
    <row r="1536" spans="5:24" x14ac:dyDescent="0.2"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  <c r="S1536" s="84"/>
      <c r="T1536" s="84"/>
      <c r="U1536" s="84"/>
      <c r="V1536" s="84"/>
      <c r="W1536" s="84"/>
      <c r="X1536" s="84"/>
    </row>
    <row r="1537" spans="5:24" x14ac:dyDescent="0.2"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  <c r="S1537" s="84"/>
      <c r="T1537" s="84"/>
      <c r="U1537" s="84"/>
      <c r="V1537" s="84"/>
      <c r="W1537" s="84"/>
      <c r="X1537" s="84"/>
    </row>
    <row r="1538" spans="5:24" x14ac:dyDescent="0.2"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  <c r="S1538" s="84"/>
      <c r="T1538" s="84"/>
      <c r="U1538" s="84"/>
      <c r="V1538" s="84"/>
      <c r="W1538" s="84"/>
      <c r="X1538" s="84"/>
    </row>
    <row r="1539" spans="5:24" x14ac:dyDescent="0.2"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  <c r="S1539" s="84"/>
      <c r="T1539" s="84"/>
      <c r="U1539" s="84"/>
      <c r="V1539" s="84"/>
      <c r="W1539" s="84"/>
      <c r="X1539" s="84"/>
    </row>
    <row r="1540" spans="5:24" x14ac:dyDescent="0.2"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  <c r="S1540" s="84"/>
      <c r="T1540" s="84"/>
      <c r="U1540" s="84"/>
      <c r="V1540" s="84"/>
      <c r="W1540" s="84"/>
      <c r="X1540" s="84"/>
    </row>
    <row r="1541" spans="5:24" x14ac:dyDescent="0.2"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  <c r="S1541" s="84"/>
      <c r="T1541" s="84"/>
      <c r="U1541" s="84"/>
      <c r="V1541" s="84"/>
      <c r="W1541" s="84"/>
      <c r="X1541" s="84"/>
    </row>
    <row r="1542" spans="5:24" x14ac:dyDescent="0.2"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  <c r="S1542" s="84"/>
      <c r="T1542" s="84"/>
      <c r="U1542" s="84"/>
      <c r="V1542" s="84"/>
      <c r="W1542" s="84"/>
      <c r="X1542" s="84"/>
    </row>
    <row r="1543" spans="5:24" x14ac:dyDescent="0.2"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  <c r="S1543" s="84"/>
      <c r="T1543" s="84"/>
      <c r="U1543" s="84"/>
      <c r="V1543" s="84"/>
      <c r="W1543" s="84"/>
      <c r="X1543" s="84"/>
    </row>
    <row r="1544" spans="5:24" x14ac:dyDescent="0.2"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  <c r="S1544" s="84"/>
      <c r="T1544" s="84"/>
      <c r="U1544" s="84"/>
      <c r="V1544" s="84"/>
      <c r="W1544" s="84"/>
      <c r="X1544" s="84"/>
    </row>
    <row r="1545" spans="5:24" x14ac:dyDescent="0.2"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  <c r="S1545" s="84"/>
      <c r="T1545" s="84"/>
      <c r="U1545" s="84"/>
      <c r="V1545" s="84"/>
      <c r="W1545" s="84"/>
      <c r="X1545" s="84"/>
    </row>
    <row r="1546" spans="5:24" x14ac:dyDescent="0.2"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  <c r="S1546" s="84"/>
      <c r="T1546" s="84"/>
      <c r="U1546" s="84"/>
      <c r="V1546" s="84"/>
      <c r="W1546" s="84"/>
      <c r="X1546" s="84"/>
    </row>
    <row r="1547" spans="5:24" x14ac:dyDescent="0.2"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  <c r="S1547" s="84"/>
      <c r="T1547" s="84"/>
      <c r="U1547" s="84"/>
      <c r="V1547" s="84"/>
      <c r="W1547" s="84"/>
      <c r="X1547" s="84"/>
    </row>
    <row r="1548" spans="5:24" x14ac:dyDescent="0.2"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  <c r="S1548" s="84"/>
      <c r="T1548" s="84"/>
      <c r="U1548" s="84"/>
      <c r="V1548" s="84"/>
      <c r="W1548" s="84"/>
      <c r="X1548" s="84"/>
    </row>
    <row r="1549" spans="5:24" x14ac:dyDescent="0.2"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  <c r="S1549" s="84"/>
      <c r="T1549" s="84"/>
      <c r="U1549" s="84"/>
      <c r="V1549" s="84"/>
      <c r="W1549" s="84"/>
      <c r="X1549" s="84"/>
    </row>
    <row r="1550" spans="5:24" x14ac:dyDescent="0.2"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  <c r="S1550" s="84"/>
      <c r="T1550" s="84"/>
      <c r="U1550" s="84"/>
      <c r="V1550" s="84"/>
      <c r="W1550" s="84"/>
      <c r="X1550" s="84"/>
    </row>
    <row r="1551" spans="5:24" x14ac:dyDescent="0.2">
      <c r="E1551" s="84"/>
      <c r="F1551" s="84"/>
      <c r="G1551" s="84"/>
      <c r="H1551" s="84"/>
      <c r="I1551" s="84"/>
      <c r="J1551" s="84"/>
      <c r="K1551" s="84"/>
      <c r="L1551" s="84"/>
      <c r="M1551" s="84"/>
      <c r="N1551" s="84"/>
      <c r="O1551" s="84"/>
      <c r="P1551" s="84"/>
      <c r="Q1551" s="84"/>
      <c r="R1551" s="84"/>
      <c r="S1551" s="84"/>
      <c r="T1551" s="84"/>
      <c r="U1551" s="84"/>
      <c r="V1551" s="84"/>
      <c r="W1551" s="84"/>
      <c r="X1551" s="84"/>
    </row>
    <row r="1552" spans="5:24" x14ac:dyDescent="0.2">
      <c r="E1552" s="84"/>
      <c r="F1552" s="84"/>
      <c r="G1552" s="84"/>
      <c r="H1552" s="84"/>
      <c r="I1552" s="84"/>
      <c r="J1552" s="84"/>
      <c r="K1552" s="84"/>
      <c r="L1552" s="84"/>
      <c r="M1552" s="84"/>
      <c r="N1552" s="84"/>
      <c r="O1552" s="84"/>
      <c r="P1552" s="84"/>
      <c r="Q1552" s="84"/>
      <c r="R1552" s="84"/>
      <c r="S1552" s="84"/>
      <c r="T1552" s="84"/>
      <c r="U1552" s="84"/>
      <c r="V1552" s="84"/>
      <c r="W1552" s="84"/>
      <c r="X1552" s="84"/>
    </row>
    <row r="1553" spans="5:24" x14ac:dyDescent="0.2">
      <c r="E1553" s="84"/>
      <c r="F1553" s="84"/>
      <c r="G1553" s="84"/>
      <c r="H1553" s="84"/>
      <c r="I1553" s="84"/>
      <c r="J1553" s="84"/>
      <c r="K1553" s="84"/>
      <c r="L1553" s="84"/>
      <c r="M1553" s="84"/>
      <c r="N1553" s="84"/>
      <c r="O1553" s="84"/>
      <c r="P1553" s="84"/>
      <c r="Q1553" s="84"/>
      <c r="R1553" s="84"/>
      <c r="S1553" s="84"/>
      <c r="T1553" s="84"/>
      <c r="U1553" s="84"/>
      <c r="V1553" s="84"/>
      <c r="W1553" s="84"/>
      <c r="X1553" s="84"/>
    </row>
    <row r="1554" spans="5:24" x14ac:dyDescent="0.2">
      <c r="E1554" s="84"/>
      <c r="F1554" s="84"/>
      <c r="G1554" s="84"/>
      <c r="H1554" s="84"/>
      <c r="I1554" s="84"/>
      <c r="J1554" s="84"/>
      <c r="K1554" s="84"/>
      <c r="L1554" s="84"/>
      <c r="M1554" s="84"/>
      <c r="N1554" s="84"/>
      <c r="O1554" s="84"/>
      <c r="P1554" s="84"/>
      <c r="Q1554" s="84"/>
      <c r="R1554" s="84"/>
      <c r="S1554" s="84"/>
      <c r="T1554" s="84"/>
      <c r="U1554" s="84"/>
      <c r="V1554" s="84"/>
      <c r="W1554" s="84"/>
      <c r="X1554" s="84"/>
    </row>
    <row r="1555" spans="5:24" x14ac:dyDescent="0.2">
      <c r="E1555" s="84"/>
      <c r="F1555" s="84"/>
      <c r="G1555" s="84"/>
      <c r="H1555" s="84"/>
      <c r="I1555" s="84"/>
      <c r="J1555" s="84"/>
      <c r="K1555" s="84"/>
      <c r="L1555" s="84"/>
      <c r="M1555" s="84"/>
      <c r="N1555" s="84"/>
      <c r="O1555" s="84"/>
      <c r="P1555" s="84"/>
      <c r="Q1555" s="84"/>
      <c r="R1555" s="84"/>
      <c r="S1555" s="84"/>
      <c r="T1555" s="84"/>
      <c r="U1555" s="84"/>
      <c r="V1555" s="84"/>
      <c r="W1555" s="84"/>
      <c r="X1555" s="84"/>
    </row>
    <row r="1556" spans="5:24" x14ac:dyDescent="0.2">
      <c r="E1556" s="84"/>
      <c r="F1556" s="84"/>
      <c r="G1556" s="84"/>
      <c r="H1556" s="84"/>
      <c r="I1556" s="84"/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  <c r="W1556" s="84"/>
      <c r="X1556" s="84"/>
    </row>
    <row r="1557" spans="5:24" x14ac:dyDescent="0.2">
      <c r="E1557" s="84"/>
      <c r="F1557" s="84"/>
      <c r="G1557" s="84"/>
      <c r="H1557" s="84"/>
      <c r="I1557" s="84"/>
      <c r="J1557" s="84"/>
      <c r="K1557" s="84"/>
      <c r="L1557" s="84"/>
      <c r="M1557" s="84"/>
      <c r="N1557" s="84"/>
      <c r="O1557" s="84"/>
      <c r="P1557" s="84"/>
      <c r="Q1557" s="84"/>
      <c r="R1557" s="84"/>
      <c r="S1557" s="84"/>
      <c r="T1557" s="84"/>
      <c r="U1557" s="84"/>
      <c r="V1557" s="84"/>
      <c r="W1557" s="84"/>
      <c r="X1557" s="84"/>
    </row>
    <row r="1558" spans="5:24" x14ac:dyDescent="0.2">
      <c r="E1558" s="84"/>
      <c r="F1558" s="84"/>
      <c r="G1558" s="84"/>
      <c r="H1558" s="84"/>
      <c r="I1558" s="84"/>
      <c r="J1558" s="84"/>
      <c r="K1558" s="84"/>
      <c r="L1558" s="84"/>
      <c r="M1558" s="84"/>
      <c r="N1558" s="84"/>
      <c r="O1558" s="84"/>
      <c r="P1558" s="84"/>
      <c r="Q1558" s="84"/>
      <c r="R1558" s="84"/>
      <c r="S1558" s="84"/>
      <c r="T1558" s="84"/>
      <c r="U1558" s="84"/>
      <c r="V1558" s="84"/>
      <c r="W1558" s="84"/>
      <c r="X1558" s="84"/>
    </row>
    <row r="1559" spans="5:24" x14ac:dyDescent="0.2">
      <c r="E1559" s="84"/>
      <c r="F1559" s="84"/>
      <c r="G1559" s="84"/>
      <c r="H1559" s="84"/>
      <c r="I1559" s="84"/>
      <c r="J1559" s="84"/>
      <c r="K1559" s="84"/>
      <c r="L1559" s="84"/>
      <c r="M1559" s="84"/>
      <c r="N1559" s="84"/>
      <c r="O1559" s="84"/>
      <c r="P1559" s="84"/>
      <c r="Q1559" s="84"/>
      <c r="R1559" s="84"/>
      <c r="S1559" s="84"/>
      <c r="T1559" s="84"/>
      <c r="U1559" s="84"/>
      <c r="V1559" s="84"/>
      <c r="W1559" s="84"/>
      <c r="X1559" s="84"/>
    </row>
    <row r="1560" spans="5:24" x14ac:dyDescent="0.2">
      <c r="E1560" s="84"/>
      <c r="F1560" s="84"/>
      <c r="G1560" s="84"/>
      <c r="H1560" s="84"/>
      <c r="I1560" s="84"/>
      <c r="J1560" s="84"/>
      <c r="K1560" s="84"/>
      <c r="L1560" s="84"/>
      <c r="M1560" s="84"/>
      <c r="N1560" s="84"/>
      <c r="O1560" s="84"/>
      <c r="P1560" s="84"/>
      <c r="Q1560" s="84"/>
      <c r="R1560" s="84"/>
      <c r="S1560" s="84"/>
      <c r="T1560" s="84"/>
      <c r="U1560" s="84"/>
      <c r="V1560" s="84"/>
      <c r="W1560" s="84"/>
      <c r="X1560" s="84"/>
    </row>
    <row r="1561" spans="5:24" x14ac:dyDescent="0.2">
      <c r="E1561" s="84"/>
      <c r="F1561" s="84"/>
      <c r="G1561" s="84"/>
      <c r="H1561" s="84"/>
      <c r="I1561" s="84"/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  <c r="W1561" s="84"/>
      <c r="X1561" s="84"/>
    </row>
    <row r="1562" spans="5:24" x14ac:dyDescent="0.2">
      <c r="E1562" s="84"/>
      <c r="F1562" s="84"/>
      <c r="G1562" s="84"/>
      <c r="H1562" s="84"/>
      <c r="I1562" s="84"/>
      <c r="J1562" s="84"/>
      <c r="K1562" s="84"/>
      <c r="L1562" s="84"/>
      <c r="M1562" s="84"/>
      <c r="N1562" s="84"/>
      <c r="O1562" s="84"/>
      <c r="P1562" s="84"/>
      <c r="Q1562" s="84"/>
      <c r="R1562" s="84"/>
      <c r="S1562" s="84"/>
      <c r="T1562" s="84"/>
      <c r="U1562" s="84"/>
      <c r="V1562" s="84"/>
      <c r="W1562" s="84"/>
      <c r="X1562" s="84"/>
    </row>
    <row r="1563" spans="5:24" x14ac:dyDescent="0.2"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  <c r="S1563" s="84"/>
      <c r="T1563" s="84"/>
      <c r="U1563" s="84"/>
      <c r="V1563" s="84"/>
      <c r="W1563" s="84"/>
      <c r="X1563" s="84"/>
    </row>
    <row r="1564" spans="5:24" x14ac:dyDescent="0.2"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  <c r="S1564" s="84"/>
      <c r="T1564" s="84"/>
      <c r="U1564" s="84"/>
      <c r="V1564" s="84"/>
      <c r="W1564" s="84"/>
      <c r="X1564" s="84"/>
    </row>
    <row r="1565" spans="5:24" x14ac:dyDescent="0.2"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  <c r="S1565" s="84"/>
      <c r="T1565" s="84"/>
      <c r="U1565" s="84"/>
      <c r="V1565" s="84"/>
      <c r="W1565" s="84"/>
      <c r="X1565" s="84"/>
    </row>
    <row r="1566" spans="5:24" x14ac:dyDescent="0.2"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  <c r="S1566" s="84"/>
      <c r="T1566" s="84"/>
      <c r="U1566" s="84"/>
      <c r="V1566" s="84"/>
      <c r="W1566" s="84"/>
      <c r="X1566" s="84"/>
    </row>
    <row r="1567" spans="5:24" x14ac:dyDescent="0.2"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  <c r="S1567" s="84"/>
      <c r="T1567" s="84"/>
      <c r="U1567" s="84"/>
      <c r="V1567" s="84"/>
      <c r="W1567" s="84"/>
      <c r="X1567" s="84"/>
    </row>
    <row r="1568" spans="5:24" x14ac:dyDescent="0.2"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  <c r="S1568" s="84"/>
      <c r="T1568" s="84"/>
      <c r="U1568" s="84"/>
      <c r="V1568" s="84"/>
      <c r="W1568" s="84"/>
      <c r="X1568" s="84"/>
    </row>
    <row r="1569" spans="5:24" x14ac:dyDescent="0.2"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  <c r="S1569" s="84"/>
      <c r="T1569" s="84"/>
      <c r="U1569" s="84"/>
      <c r="V1569" s="84"/>
      <c r="W1569" s="84"/>
      <c r="X1569" s="84"/>
    </row>
    <row r="1570" spans="5:24" x14ac:dyDescent="0.2"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  <c r="S1570" s="84"/>
      <c r="T1570" s="84"/>
      <c r="U1570" s="84"/>
      <c r="V1570" s="84"/>
      <c r="W1570" s="84"/>
      <c r="X1570" s="84"/>
    </row>
    <row r="1571" spans="5:24" x14ac:dyDescent="0.2"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  <c r="S1571" s="84"/>
      <c r="T1571" s="84"/>
      <c r="U1571" s="84"/>
      <c r="V1571" s="84"/>
      <c r="W1571" s="84"/>
      <c r="X1571" s="84"/>
    </row>
    <row r="1572" spans="5:24" x14ac:dyDescent="0.2"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  <c r="S1572" s="84"/>
      <c r="T1572" s="84"/>
      <c r="U1572" s="84"/>
      <c r="V1572" s="84"/>
      <c r="W1572" s="84"/>
      <c r="X1572" s="84"/>
    </row>
    <row r="1573" spans="5:24" x14ac:dyDescent="0.2"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  <c r="S1573" s="84"/>
      <c r="T1573" s="84"/>
      <c r="U1573" s="84"/>
      <c r="V1573" s="84"/>
      <c r="W1573" s="84"/>
      <c r="X1573" s="84"/>
    </row>
    <row r="1574" spans="5:24" x14ac:dyDescent="0.2"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  <c r="S1574" s="84"/>
      <c r="T1574" s="84"/>
      <c r="U1574" s="84"/>
      <c r="V1574" s="84"/>
      <c r="W1574" s="84"/>
      <c r="X1574" s="84"/>
    </row>
    <row r="1575" spans="5:24" x14ac:dyDescent="0.2"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  <c r="W1575" s="84"/>
      <c r="X1575" s="84"/>
    </row>
    <row r="1576" spans="5:24" x14ac:dyDescent="0.2"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  <c r="S1576" s="84"/>
      <c r="T1576" s="84"/>
      <c r="U1576" s="84"/>
      <c r="V1576" s="84"/>
      <c r="W1576" s="84"/>
      <c r="X1576" s="84"/>
    </row>
    <row r="1577" spans="5:24" x14ac:dyDescent="0.2"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  <c r="S1577" s="84"/>
      <c r="T1577" s="84"/>
      <c r="U1577" s="84"/>
      <c r="V1577" s="84"/>
      <c r="W1577" s="84"/>
      <c r="X1577" s="84"/>
    </row>
    <row r="1578" spans="5:24" x14ac:dyDescent="0.2"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  <c r="S1578" s="84"/>
      <c r="T1578" s="84"/>
      <c r="U1578" s="84"/>
      <c r="V1578" s="84"/>
      <c r="W1578" s="84"/>
      <c r="X1578" s="84"/>
    </row>
    <row r="1579" spans="5:24" x14ac:dyDescent="0.2"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  <c r="S1579" s="84"/>
      <c r="T1579" s="84"/>
      <c r="U1579" s="84"/>
      <c r="V1579" s="84"/>
      <c r="W1579" s="84"/>
      <c r="X1579" s="84"/>
    </row>
    <row r="1580" spans="5:24" x14ac:dyDescent="0.2"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  <c r="S1580" s="84"/>
      <c r="T1580" s="84"/>
      <c r="U1580" s="84"/>
      <c r="V1580" s="84"/>
      <c r="W1580" s="84"/>
      <c r="X1580" s="84"/>
    </row>
    <row r="1581" spans="5:24" x14ac:dyDescent="0.2"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  <c r="S1581" s="84"/>
      <c r="T1581" s="84"/>
      <c r="U1581" s="84"/>
      <c r="V1581" s="84"/>
      <c r="W1581" s="84"/>
      <c r="X1581" s="84"/>
    </row>
    <row r="1582" spans="5:24" x14ac:dyDescent="0.2"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  <c r="S1582" s="84"/>
      <c r="T1582" s="84"/>
      <c r="U1582" s="84"/>
      <c r="V1582" s="84"/>
      <c r="W1582" s="84"/>
      <c r="X1582" s="84"/>
    </row>
    <row r="1583" spans="5:24" x14ac:dyDescent="0.2"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  <c r="S1583" s="84"/>
      <c r="T1583" s="84"/>
      <c r="U1583" s="84"/>
      <c r="V1583" s="84"/>
      <c r="W1583" s="84"/>
      <c r="X1583" s="84"/>
    </row>
    <row r="1584" spans="5:24" x14ac:dyDescent="0.2"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  <c r="S1584" s="84"/>
      <c r="T1584" s="84"/>
      <c r="U1584" s="84"/>
      <c r="V1584" s="84"/>
      <c r="W1584" s="84"/>
      <c r="X1584" s="84"/>
    </row>
    <row r="1585" spans="5:24" x14ac:dyDescent="0.2"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  <c r="S1585" s="84"/>
      <c r="T1585" s="84"/>
      <c r="U1585" s="84"/>
      <c r="V1585" s="84"/>
      <c r="W1585" s="84"/>
      <c r="X1585" s="84"/>
    </row>
    <row r="1586" spans="5:24" x14ac:dyDescent="0.2"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  <c r="W1586" s="84"/>
      <c r="X1586" s="84"/>
    </row>
    <row r="1587" spans="5:24" x14ac:dyDescent="0.2"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  <c r="S1587" s="84"/>
      <c r="T1587" s="84"/>
      <c r="U1587" s="84"/>
      <c r="V1587" s="84"/>
      <c r="W1587" s="84"/>
      <c r="X1587" s="84"/>
    </row>
    <row r="1588" spans="5:24" x14ac:dyDescent="0.2"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  <c r="S1588" s="84"/>
      <c r="T1588" s="84"/>
      <c r="U1588" s="84"/>
      <c r="V1588" s="84"/>
      <c r="W1588" s="84"/>
      <c r="X1588" s="84"/>
    </row>
    <row r="1589" spans="5:24" x14ac:dyDescent="0.2"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  <c r="S1589" s="84"/>
      <c r="T1589" s="84"/>
      <c r="U1589" s="84"/>
      <c r="V1589" s="84"/>
      <c r="W1589" s="84"/>
      <c r="X1589" s="84"/>
    </row>
    <row r="1590" spans="5:24" x14ac:dyDescent="0.2"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  <c r="S1590" s="84"/>
      <c r="T1590" s="84"/>
      <c r="U1590" s="84"/>
      <c r="V1590" s="84"/>
      <c r="W1590" s="84"/>
      <c r="X1590" s="84"/>
    </row>
    <row r="1591" spans="5:24" x14ac:dyDescent="0.2"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  <c r="S1591" s="84"/>
      <c r="T1591" s="84"/>
      <c r="U1591" s="84"/>
      <c r="V1591" s="84"/>
      <c r="W1591" s="84"/>
      <c r="X1591" s="84"/>
    </row>
    <row r="1592" spans="5:24" x14ac:dyDescent="0.2"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  <c r="S1592" s="84"/>
      <c r="T1592" s="84"/>
      <c r="U1592" s="84"/>
      <c r="V1592" s="84"/>
      <c r="W1592" s="84"/>
      <c r="X1592" s="84"/>
    </row>
    <row r="1593" spans="5:24" x14ac:dyDescent="0.2"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  <c r="S1593" s="84"/>
      <c r="T1593" s="84"/>
      <c r="U1593" s="84"/>
      <c r="V1593" s="84"/>
      <c r="W1593" s="84"/>
      <c r="X1593" s="84"/>
    </row>
    <row r="1594" spans="5:24" x14ac:dyDescent="0.2"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  <c r="S1594" s="84"/>
      <c r="T1594" s="84"/>
      <c r="U1594" s="84"/>
      <c r="V1594" s="84"/>
      <c r="W1594" s="84"/>
      <c r="X1594" s="84"/>
    </row>
    <row r="1595" spans="5:24" x14ac:dyDescent="0.2"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  <c r="S1595" s="84"/>
      <c r="T1595" s="84"/>
      <c r="U1595" s="84"/>
      <c r="V1595" s="84"/>
      <c r="W1595" s="84"/>
      <c r="X1595" s="84"/>
    </row>
    <row r="1596" spans="5:24" x14ac:dyDescent="0.2"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  <c r="S1596" s="84"/>
      <c r="T1596" s="84"/>
      <c r="U1596" s="84"/>
      <c r="V1596" s="84"/>
      <c r="W1596" s="84"/>
      <c r="X1596" s="84"/>
    </row>
    <row r="1597" spans="5:24" x14ac:dyDescent="0.2"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  <c r="S1597" s="84"/>
      <c r="T1597" s="84"/>
      <c r="U1597" s="84"/>
      <c r="V1597" s="84"/>
      <c r="W1597" s="84"/>
      <c r="X1597" s="84"/>
    </row>
    <row r="1598" spans="5:24" x14ac:dyDescent="0.2"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  <c r="S1598" s="84"/>
      <c r="T1598" s="84"/>
      <c r="U1598" s="84"/>
      <c r="V1598" s="84"/>
      <c r="W1598" s="84"/>
      <c r="X1598" s="84"/>
    </row>
    <row r="1599" spans="5:24" x14ac:dyDescent="0.2"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  <c r="R1599" s="84"/>
      <c r="S1599" s="84"/>
      <c r="T1599" s="84"/>
      <c r="U1599" s="84"/>
      <c r="V1599" s="84"/>
      <c r="W1599" s="84"/>
      <c r="X1599" s="84"/>
    </row>
    <row r="1600" spans="5:24" x14ac:dyDescent="0.2"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  <c r="R1600" s="84"/>
      <c r="S1600" s="84"/>
      <c r="T1600" s="84"/>
      <c r="U1600" s="84"/>
      <c r="V1600" s="84"/>
      <c r="W1600" s="84"/>
      <c r="X1600" s="84"/>
    </row>
    <row r="1601" spans="5:24" x14ac:dyDescent="0.2"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  <c r="R1601" s="84"/>
      <c r="S1601" s="84"/>
      <c r="T1601" s="84"/>
      <c r="U1601" s="84"/>
      <c r="V1601" s="84"/>
      <c r="W1601" s="84"/>
      <c r="X1601" s="84"/>
    </row>
    <row r="1602" spans="5:24" x14ac:dyDescent="0.2"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  <c r="R1602" s="84"/>
      <c r="S1602" s="84"/>
      <c r="T1602" s="84"/>
      <c r="U1602" s="84"/>
      <c r="V1602" s="84"/>
      <c r="W1602" s="84"/>
      <c r="X1602" s="84"/>
    </row>
    <row r="1603" spans="5:24" x14ac:dyDescent="0.2"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  <c r="R1603" s="84"/>
      <c r="S1603" s="84"/>
      <c r="T1603" s="84"/>
      <c r="U1603" s="84"/>
      <c r="V1603" s="84"/>
      <c r="W1603" s="84"/>
      <c r="X1603" s="84"/>
    </row>
    <row r="1604" spans="5:24" x14ac:dyDescent="0.2"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  <c r="R1604" s="84"/>
      <c r="S1604" s="84"/>
      <c r="T1604" s="84"/>
      <c r="U1604" s="84"/>
      <c r="V1604" s="84"/>
      <c r="W1604" s="84"/>
      <c r="X1604" s="84"/>
    </row>
    <row r="1605" spans="5:24" x14ac:dyDescent="0.2"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  <c r="R1605" s="84"/>
      <c r="S1605" s="84"/>
      <c r="T1605" s="84"/>
      <c r="U1605" s="84"/>
      <c r="V1605" s="84"/>
      <c r="W1605" s="84"/>
      <c r="X1605" s="84"/>
    </row>
    <row r="1606" spans="5:24" x14ac:dyDescent="0.2"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  <c r="R1606" s="84"/>
      <c r="S1606" s="84"/>
      <c r="T1606" s="84"/>
      <c r="U1606" s="84"/>
      <c r="V1606" s="84"/>
      <c r="W1606" s="84"/>
      <c r="X1606" s="84"/>
    </row>
    <row r="1607" spans="5:24" x14ac:dyDescent="0.2"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  <c r="R1607" s="84"/>
      <c r="S1607" s="84"/>
      <c r="T1607" s="84"/>
      <c r="U1607" s="84"/>
      <c r="V1607" s="84"/>
      <c r="W1607" s="84"/>
      <c r="X1607" s="84"/>
    </row>
    <row r="1608" spans="5:24" x14ac:dyDescent="0.2">
      <c r="E1608" s="84"/>
      <c r="F1608" s="84"/>
      <c r="G1608" s="84"/>
      <c r="H1608" s="84"/>
      <c r="I1608" s="84"/>
      <c r="J1608" s="84"/>
      <c r="K1608" s="84"/>
      <c r="L1608" s="84"/>
      <c r="M1608" s="84"/>
      <c r="N1608" s="84"/>
      <c r="O1608" s="84"/>
      <c r="P1608" s="84"/>
      <c r="Q1608" s="84"/>
      <c r="R1608" s="84"/>
      <c r="S1608" s="84"/>
      <c r="T1608" s="84"/>
      <c r="U1608" s="84"/>
      <c r="V1608" s="84"/>
      <c r="W1608" s="84"/>
      <c r="X1608" s="84"/>
    </row>
    <row r="1609" spans="5:24" x14ac:dyDescent="0.2">
      <c r="E1609" s="84"/>
      <c r="F1609" s="84"/>
      <c r="G1609" s="84"/>
      <c r="H1609" s="84"/>
      <c r="I1609" s="84"/>
      <c r="J1609" s="84"/>
      <c r="K1609" s="84"/>
      <c r="L1609" s="84"/>
      <c r="M1609" s="84"/>
      <c r="N1609" s="84"/>
      <c r="O1609" s="84"/>
      <c r="P1609" s="84"/>
      <c r="Q1609" s="84"/>
      <c r="R1609" s="84"/>
      <c r="S1609" s="84"/>
      <c r="T1609" s="84"/>
      <c r="U1609" s="84"/>
      <c r="V1609" s="84"/>
      <c r="W1609" s="84"/>
      <c r="X1609" s="84"/>
    </row>
    <row r="1610" spans="5:24" x14ac:dyDescent="0.2">
      <c r="E1610" s="84"/>
      <c r="F1610" s="84"/>
      <c r="G1610" s="84"/>
      <c r="H1610" s="84"/>
      <c r="I1610" s="84"/>
      <c r="J1610" s="84"/>
      <c r="K1610" s="84"/>
      <c r="L1610" s="84"/>
      <c r="M1610" s="84"/>
      <c r="N1610" s="84"/>
      <c r="O1610" s="84"/>
      <c r="P1610" s="84"/>
      <c r="Q1610" s="84"/>
      <c r="R1610" s="84"/>
      <c r="S1610" s="84"/>
      <c r="T1610" s="84"/>
      <c r="U1610" s="84"/>
      <c r="V1610" s="84"/>
      <c r="W1610" s="84"/>
      <c r="X1610" s="84"/>
    </row>
    <row r="1611" spans="5:24" x14ac:dyDescent="0.2"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  <c r="S1611" s="84"/>
      <c r="T1611" s="84"/>
      <c r="U1611" s="84"/>
      <c r="V1611" s="84"/>
      <c r="W1611" s="84"/>
      <c r="X1611" s="84"/>
    </row>
    <row r="1612" spans="5:24" x14ac:dyDescent="0.2"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  <c r="S1612" s="84"/>
      <c r="T1612" s="84"/>
      <c r="U1612" s="84"/>
      <c r="V1612" s="84"/>
      <c r="W1612" s="84"/>
      <c r="X1612" s="84"/>
    </row>
    <row r="1613" spans="5:24" x14ac:dyDescent="0.2"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  <c r="S1613" s="84"/>
      <c r="T1613" s="84"/>
      <c r="U1613" s="84"/>
      <c r="V1613" s="84"/>
      <c r="W1613" s="84"/>
      <c r="X1613" s="84"/>
    </row>
    <row r="1614" spans="5:24" x14ac:dyDescent="0.2"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  <c r="S1614" s="84"/>
      <c r="T1614" s="84"/>
      <c r="U1614" s="84"/>
      <c r="V1614" s="84"/>
      <c r="W1614" s="84"/>
      <c r="X1614" s="84"/>
    </row>
    <row r="1615" spans="5:24" x14ac:dyDescent="0.2"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  <c r="S1615" s="84"/>
      <c r="T1615" s="84"/>
      <c r="U1615" s="84"/>
      <c r="V1615" s="84"/>
      <c r="W1615" s="84"/>
      <c r="X1615" s="84"/>
    </row>
    <row r="1616" spans="5:24" x14ac:dyDescent="0.2"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  <c r="S1616" s="84"/>
      <c r="T1616" s="84"/>
      <c r="U1616" s="84"/>
      <c r="V1616" s="84"/>
      <c r="W1616" s="84"/>
      <c r="X1616" s="84"/>
    </row>
    <row r="1617" spans="5:24" x14ac:dyDescent="0.2"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  <c r="S1617" s="84"/>
      <c r="T1617" s="84"/>
      <c r="U1617" s="84"/>
      <c r="V1617" s="84"/>
      <c r="W1617" s="84"/>
      <c r="X1617" s="84"/>
    </row>
    <row r="1618" spans="5:24" x14ac:dyDescent="0.2"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  <c r="S1618" s="84"/>
      <c r="T1618" s="84"/>
      <c r="U1618" s="84"/>
      <c r="V1618" s="84"/>
      <c r="W1618" s="84"/>
      <c r="X1618" s="84"/>
    </row>
    <row r="1619" spans="5:24" x14ac:dyDescent="0.2"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  <c r="S1619" s="84"/>
      <c r="T1619" s="84"/>
      <c r="U1619" s="84"/>
      <c r="V1619" s="84"/>
      <c r="W1619" s="84"/>
      <c r="X1619" s="84"/>
    </row>
    <row r="1620" spans="5:24" x14ac:dyDescent="0.2"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  <c r="S1620" s="84"/>
      <c r="T1620" s="84"/>
      <c r="U1620" s="84"/>
      <c r="V1620" s="84"/>
      <c r="W1620" s="84"/>
      <c r="X1620" s="84"/>
    </row>
    <row r="1621" spans="5:24" x14ac:dyDescent="0.2"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  <c r="S1621" s="84"/>
      <c r="T1621" s="84"/>
      <c r="U1621" s="84"/>
      <c r="V1621" s="84"/>
      <c r="W1621" s="84"/>
      <c r="X1621" s="84"/>
    </row>
    <row r="1622" spans="5:24" x14ac:dyDescent="0.2"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  <c r="S1622" s="84"/>
      <c r="T1622" s="84"/>
      <c r="U1622" s="84"/>
      <c r="V1622" s="84"/>
      <c r="W1622" s="84"/>
      <c r="X1622" s="84"/>
    </row>
    <row r="1623" spans="5:24" x14ac:dyDescent="0.2"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  <c r="S1623" s="84"/>
      <c r="T1623" s="84"/>
      <c r="U1623" s="84"/>
      <c r="V1623" s="84"/>
      <c r="W1623" s="84"/>
      <c r="X1623" s="84"/>
    </row>
    <row r="1624" spans="5:24" x14ac:dyDescent="0.2"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  <c r="S1624" s="84"/>
      <c r="T1624" s="84"/>
      <c r="U1624" s="84"/>
      <c r="V1624" s="84"/>
      <c r="W1624" s="84"/>
      <c r="X1624" s="84"/>
    </row>
    <row r="1625" spans="5:24" x14ac:dyDescent="0.2"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  <c r="S1625" s="84"/>
      <c r="T1625" s="84"/>
      <c r="U1625" s="84"/>
      <c r="V1625" s="84"/>
      <c r="W1625" s="84"/>
      <c r="X1625" s="84"/>
    </row>
    <row r="1626" spans="5:24" x14ac:dyDescent="0.2"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  <c r="S1626" s="84"/>
      <c r="T1626" s="84"/>
      <c r="U1626" s="84"/>
      <c r="V1626" s="84"/>
      <c r="W1626" s="84"/>
      <c r="X1626" s="84"/>
    </row>
    <row r="1627" spans="5:24" x14ac:dyDescent="0.2"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  <c r="S1627" s="84"/>
      <c r="T1627" s="84"/>
      <c r="U1627" s="84"/>
      <c r="V1627" s="84"/>
      <c r="W1627" s="84"/>
      <c r="X1627" s="84"/>
    </row>
    <row r="1628" spans="5:24" x14ac:dyDescent="0.2"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  <c r="S1628" s="84"/>
      <c r="T1628" s="84"/>
      <c r="U1628" s="84"/>
      <c r="V1628" s="84"/>
      <c r="W1628" s="84"/>
      <c r="X1628" s="84"/>
    </row>
    <row r="1629" spans="5:24" x14ac:dyDescent="0.2"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  <c r="S1629" s="84"/>
      <c r="T1629" s="84"/>
      <c r="U1629" s="84"/>
      <c r="V1629" s="84"/>
      <c r="W1629" s="84"/>
      <c r="X1629" s="84"/>
    </row>
    <row r="1630" spans="5:24" x14ac:dyDescent="0.2"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  <c r="S1630" s="84"/>
      <c r="T1630" s="84"/>
      <c r="U1630" s="84"/>
      <c r="V1630" s="84"/>
      <c r="W1630" s="84"/>
      <c r="X1630" s="84"/>
    </row>
    <row r="1631" spans="5:24" x14ac:dyDescent="0.2"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  <c r="S1631" s="84"/>
      <c r="T1631" s="84"/>
      <c r="U1631" s="84"/>
      <c r="V1631" s="84"/>
      <c r="W1631" s="84"/>
      <c r="X1631" s="84"/>
    </row>
    <row r="1632" spans="5:24" x14ac:dyDescent="0.2"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  <c r="S1632" s="84"/>
      <c r="T1632" s="84"/>
      <c r="U1632" s="84"/>
      <c r="V1632" s="84"/>
      <c r="W1632" s="84"/>
      <c r="X1632" s="84"/>
    </row>
    <row r="1633" spans="5:24" x14ac:dyDescent="0.2"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  <c r="S1633" s="84"/>
      <c r="T1633" s="84"/>
      <c r="U1633" s="84"/>
      <c r="V1633" s="84"/>
      <c r="W1633" s="84"/>
      <c r="X1633" s="84"/>
    </row>
    <row r="1634" spans="5:24" x14ac:dyDescent="0.2"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  <c r="S1634" s="84"/>
      <c r="T1634" s="84"/>
      <c r="U1634" s="84"/>
      <c r="V1634" s="84"/>
      <c r="W1634" s="84"/>
      <c r="X1634" s="84"/>
    </row>
    <row r="1635" spans="5:24" x14ac:dyDescent="0.2"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  <c r="S1635" s="84"/>
      <c r="T1635" s="84"/>
      <c r="U1635" s="84"/>
      <c r="V1635" s="84"/>
      <c r="W1635" s="84"/>
      <c r="X1635" s="84"/>
    </row>
    <row r="1636" spans="5:24" x14ac:dyDescent="0.2"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  <c r="W1636" s="84"/>
      <c r="X1636" s="84"/>
    </row>
    <row r="1637" spans="5:24" x14ac:dyDescent="0.2"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  <c r="S1637" s="84"/>
      <c r="T1637" s="84"/>
      <c r="U1637" s="84"/>
      <c r="V1637" s="84"/>
      <c r="W1637" s="84"/>
      <c r="X1637" s="84"/>
    </row>
    <row r="1638" spans="5:24" x14ac:dyDescent="0.2"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  <c r="S1638" s="84"/>
      <c r="T1638" s="84"/>
      <c r="U1638" s="84"/>
      <c r="V1638" s="84"/>
      <c r="W1638" s="84"/>
      <c r="X1638" s="84"/>
    </row>
    <row r="1639" spans="5:24" x14ac:dyDescent="0.2"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  <c r="S1639" s="84"/>
      <c r="T1639" s="84"/>
      <c r="U1639" s="84"/>
      <c r="V1639" s="84"/>
      <c r="W1639" s="84"/>
      <c r="X1639" s="84"/>
    </row>
    <row r="1640" spans="5:24" x14ac:dyDescent="0.2"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  <c r="S1640" s="84"/>
      <c r="T1640" s="84"/>
      <c r="U1640" s="84"/>
      <c r="V1640" s="84"/>
      <c r="W1640" s="84"/>
      <c r="X1640" s="84"/>
    </row>
    <row r="1641" spans="5:24" x14ac:dyDescent="0.2"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  <c r="S1641" s="84"/>
      <c r="T1641" s="84"/>
      <c r="U1641" s="84"/>
      <c r="V1641" s="84"/>
      <c r="W1641" s="84"/>
      <c r="X1641" s="84"/>
    </row>
    <row r="1642" spans="5:24" x14ac:dyDescent="0.2"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  <c r="S1642" s="84"/>
      <c r="T1642" s="84"/>
      <c r="U1642" s="84"/>
      <c r="V1642" s="84"/>
      <c r="W1642" s="84"/>
      <c r="X1642" s="84"/>
    </row>
    <row r="1643" spans="5:24" x14ac:dyDescent="0.2"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  <c r="S1643" s="84"/>
      <c r="T1643" s="84"/>
      <c r="U1643" s="84"/>
      <c r="V1643" s="84"/>
      <c r="W1643" s="84"/>
      <c r="X1643" s="84"/>
    </row>
    <row r="1644" spans="5:24" x14ac:dyDescent="0.2"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  <c r="S1644" s="84"/>
      <c r="T1644" s="84"/>
      <c r="U1644" s="84"/>
      <c r="V1644" s="84"/>
      <c r="W1644" s="84"/>
      <c r="X1644" s="84"/>
    </row>
    <row r="1645" spans="5:24" x14ac:dyDescent="0.2"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  <c r="S1645" s="84"/>
      <c r="T1645" s="84"/>
      <c r="U1645" s="84"/>
      <c r="V1645" s="84"/>
      <c r="W1645" s="84"/>
      <c r="X1645" s="84"/>
    </row>
    <row r="1646" spans="5:24" x14ac:dyDescent="0.2"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  <c r="S1646" s="84"/>
      <c r="T1646" s="84"/>
      <c r="U1646" s="84"/>
      <c r="V1646" s="84"/>
      <c r="W1646" s="84"/>
      <c r="X1646" s="84"/>
    </row>
    <row r="1647" spans="5:24" x14ac:dyDescent="0.2">
      <c r="E1647" s="84"/>
      <c r="F1647" s="84"/>
      <c r="G1647" s="84"/>
      <c r="H1647" s="84"/>
      <c r="I1647" s="84"/>
      <c r="J1647" s="84"/>
      <c r="K1647" s="84"/>
      <c r="L1647" s="84"/>
      <c r="M1647" s="84"/>
      <c r="N1647" s="84"/>
      <c r="O1647" s="84"/>
      <c r="P1647" s="84"/>
      <c r="Q1647" s="84"/>
      <c r="R1647" s="84"/>
      <c r="S1647" s="84"/>
      <c r="T1647" s="84"/>
      <c r="U1647" s="84"/>
      <c r="V1647" s="84"/>
      <c r="W1647" s="84"/>
      <c r="X1647" s="84"/>
    </row>
    <row r="1648" spans="5:24" x14ac:dyDescent="0.2">
      <c r="E1648" s="84"/>
      <c r="F1648" s="84"/>
      <c r="G1648" s="84"/>
      <c r="H1648" s="84"/>
      <c r="I1648" s="84"/>
      <c r="J1648" s="84"/>
      <c r="K1648" s="84"/>
      <c r="L1648" s="84"/>
      <c r="M1648" s="84"/>
      <c r="N1648" s="84"/>
      <c r="O1648" s="84"/>
      <c r="P1648" s="84"/>
      <c r="Q1648" s="84"/>
      <c r="R1648" s="84"/>
      <c r="S1648" s="84"/>
      <c r="T1648" s="84"/>
      <c r="U1648" s="84"/>
      <c r="V1648" s="84"/>
      <c r="W1648" s="84"/>
      <c r="X1648" s="84"/>
    </row>
    <row r="1649" spans="5:24" x14ac:dyDescent="0.2">
      <c r="E1649" s="84"/>
      <c r="F1649" s="84"/>
      <c r="G1649" s="84"/>
      <c r="H1649" s="84"/>
      <c r="I1649" s="84"/>
      <c r="J1649" s="84"/>
      <c r="K1649" s="84"/>
      <c r="L1649" s="84"/>
      <c r="M1649" s="84"/>
      <c r="N1649" s="84"/>
      <c r="O1649" s="84"/>
      <c r="P1649" s="84"/>
      <c r="Q1649" s="84"/>
      <c r="R1649" s="84"/>
      <c r="S1649" s="84"/>
      <c r="T1649" s="84"/>
      <c r="U1649" s="84"/>
      <c r="V1649" s="84"/>
      <c r="W1649" s="84"/>
      <c r="X1649" s="84"/>
    </row>
    <row r="1650" spans="5:24" x14ac:dyDescent="0.2">
      <c r="E1650" s="84"/>
      <c r="F1650" s="84"/>
      <c r="G1650" s="84"/>
      <c r="H1650" s="84"/>
      <c r="I1650" s="84"/>
      <c r="J1650" s="84"/>
      <c r="K1650" s="84"/>
      <c r="L1650" s="84"/>
      <c r="M1650" s="84"/>
      <c r="N1650" s="84"/>
      <c r="O1650" s="84"/>
      <c r="P1650" s="84"/>
      <c r="Q1650" s="84"/>
      <c r="R1650" s="84"/>
      <c r="S1650" s="84"/>
      <c r="T1650" s="84"/>
      <c r="U1650" s="84"/>
      <c r="V1650" s="84"/>
      <c r="W1650" s="84"/>
      <c r="X1650" s="84"/>
    </row>
    <row r="1651" spans="5:24" x14ac:dyDescent="0.2">
      <c r="E1651" s="84"/>
      <c r="F1651" s="84"/>
      <c r="G1651" s="84"/>
      <c r="H1651" s="84"/>
      <c r="I1651" s="84"/>
      <c r="J1651" s="84"/>
      <c r="K1651" s="84"/>
      <c r="L1651" s="84"/>
      <c r="M1651" s="84"/>
      <c r="N1651" s="84"/>
      <c r="O1651" s="84"/>
      <c r="P1651" s="84"/>
      <c r="Q1651" s="84"/>
      <c r="R1651" s="84"/>
      <c r="S1651" s="84"/>
      <c r="T1651" s="84"/>
      <c r="U1651" s="84"/>
      <c r="V1651" s="84"/>
      <c r="W1651" s="84"/>
      <c r="X1651" s="84"/>
    </row>
    <row r="1652" spans="5:24" x14ac:dyDescent="0.2">
      <c r="E1652" s="84"/>
      <c r="F1652" s="84"/>
      <c r="G1652" s="84"/>
      <c r="H1652" s="84"/>
      <c r="I1652" s="84"/>
      <c r="J1652" s="84"/>
      <c r="K1652" s="84"/>
      <c r="L1652" s="84"/>
      <c r="M1652" s="84"/>
      <c r="N1652" s="84"/>
      <c r="O1652" s="84"/>
      <c r="P1652" s="84"/>
      <c r="Q1652" s="84"/>
      <c r="R1652" s="84"/>
      <c r="S1652" s="84"/>
      <c r="T1652" s="84"/>
      <c r="U1652" s="84"/>
      <c r="V1652" s="84"/>
      <c r="W1652" s="84"/>
      <c r="X1652" s="84"/>
    </row>
    <row r="1653" spans="5:24" x14ac:dyDescent="0.2"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  <c r="R1653" s="84"/>
      <c r="S1653" s="84"/>
      <c r="T1653" s="84"/>
      <c r="U1653" s="84"/>
      <c r="V1653" s="84"/>
      <c r="W1653" s="84"/>
      <c r="X1653" s="84"/>
    </row>
    <row r="1654" spans="5:24" x14ac:dyDescent="0.2"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  <c r="R1654" s="84"/>
      <c r="S1654" s="84"/>
      <c r="T1654" s="84"/>
      <c r="U1654" s="84"/>
      <c r="V1654" s="84"/>
      <c r="W1654" s="84"/>
      <c r="X1654" s="84"/>
    </row>
    <row r="1655" spans="5:24" x14ac:dyDescent="0.2"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  <c r="R1655" s="84"/>
      <c r="S1655" s="84"/>
      <c r="T1655" s="84"/>
      <c r="U1655" s="84"/>
      <c r="V1655" s="84"/>
      <c r="W1655" s="84"/>
      <c r="X1655" s="84"/>
    </row>
    <row r="1656" spans="5:24" x14ac:dyDescent="0.2"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  <c r="R1656" s="84"/>
      <c r="S1656" s="84"/>
      <c r="T1656" s="84"/>
      <c r="U1656" s="84"/>
      <c r="V1656" s="84"/>
      <c r="W1656" s="84"/>
      <c r="X1656" s="84"/>
    </row>
    <row r="1657" spans="5:24" x14ac:dyDescent="0.2"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  <c r="R1657" s="84"/>
      <c r="S1657" s="84"/>
      <c r="T1657" s="84"/>
      <c r="U1657" s="84"/>
      <c r="V1657" s="84"/>
      <c r="W1657" s="84"/>
      <c r="X1657" s="84"/>
    </row>
    <row r="1658" spans="5:24" x14ac:dyDescent="0.2"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  <c r="R1658" s="84"/>
      <c r="S1658" s="84"/>
      <c r="T1658" s="84"/>
      <c r="U1658" s="84"/>
      <c r="V1658" s="84"/>
      <c r="W1658" s="84"/>
      <c r="X1658" s="84"/>
    </row>
    <row r="1659" spans="5:24" x14ac:dyDescent="0.2"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  <c r="S1659" s="84"/>
      <c r="T1659" s="84"/>
      <c r="U1659" s="84"/>
      <c r="V1659" s="84"/>
      <c r="W1659" s="84"/>
      <c r="X1659" s="84"/>
    </row>
    <row r="1660" spans="5:24" x14ac:dyDescent="0.2"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  <c r="W1660" s="84"/>
      <c r="X1660" s="84"/>
    </row>
    <row r="1661" spans="5:24" x14ac:dyDescent="0.2"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  <c r="S1661" s="84"/>
      <c r="T1661" s="84"/>
      <c r="U1661" s="84"/>
      <c r="V1661" s="84"/>
      <c r="W1661" s="84"/>
      <c r="X1661" s="84"/>
    </row>
    <row r="1662" spans="5:24" x14ac:dyDescent="0.2"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  <c r="S1662" s="84"/>
      <c r="T1662" s="84"/>
      <c r="U1662" s="84"/>
      <c r="V1662" s="84"/>
      <c r="W1662" s="84"/>
      <c r="X1662" s="84"/>
    </row>
    <row r="1663" spans="5:24" x14ac:dyDescent="0.2"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  <c r="S1663" s="84"/>
      <c r="T1663" s="84"/>
      <c r="U1663" s="84"/>
      <c r="V1663" s="84"/>
      <c r="W1663" s="84"/>
      <c r="X1663" s="84"/>
    </row>
    <row r="1664" spans="5:24" x14ac:dyDescent="0.2"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  <c r="S1664" s="84"/>
      <c r="T1664" s="84"/>
      <c r="U1664" s="84"/>
      <c r="V1664" s="84"/>
      <c r="W1664" s="84"/>
      <c r="X1664" s="84"/>
    </row>
    <row r="1665" spans="5:24" x14ac:dyDescent="0.2"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  <c r="S1665" s="84"/>
      <c r="T1665" s="84"/>
      <c r="U1665" s="84"/>
      <c r="V1665" s="84"/>
      <c r="W1665" s="84"/>
      <c r="X1665" s="84"/>
    </row>
    <row r="1666" spans="5:24" x14ac:dyDescent="0.2"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  <c r="S1666" s="84"/>
      <c r="T1666" s="84"/>
      <c r="U1666" s="84"/>
      <c r="V1666" s="84"/>
      <c r="W1666" s="84"/>
      <c r="X1666" s="84"/>
    </row>
    <row r="1667" spans="5:24" x14ac:dyDescent="0.2"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  <c r="S1667" s="84"/>
      <c r="T1667" s="84"/>
      <c r="U1667" s="84"/>
      <c r="V1667" s="84"/>
      <c r="W1667" s="84"/>
      <c r="X1667" s="84"/>
    </row>
    <row r="1668" spans="5:24" x14ac:dyDescent="0.2"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  <c r="S1668" s="84"/>
      <c r="T1668" s="84"/>
      <c r="U1668" s="84"/>
      <c r="V1668" s="84"/>
      <c r="W1668" s="84"/>
      <c r="X1668" s="84"/>
    </row>
    <row r="1669" spans="5:24" x14ac:dyDescent="0.2"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  <c r="S1669" s="84"/>
      <c r="T1669" s="84"/>
      <c r="U1669" s="84"/>
      <c r="V1669" s="84"/>
      <c r="W1669" s="84"/>
      <c r="X1669" s="84"/>
    </row>
    <row r="1670" spans="5:24" x14ac:dyDescent="0.2"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  <c r="W1670" s="84"/>
      <c r="X1670" s="84"/>
    </row>
    <row r="1671" spans="5:24" x14ac:dyDescent="0.2"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  <c r="S1671" s="84"/>
      <c r="T1671" s="84"/>
      <c r="U1671" s="84"/>
      <c r="V1671" s="84"/>
      <c r="W1671" s="84"/>
      <c r="X1671" s="84"/>
    </row>
    <row r="1672" spans="5:24" x14ac:dyDescent="0.2"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  <c r="S1672" s="84"/>
      <c r="T1672" s="84"/>
      <c r="U1672" s="84"/>
      <c r="V1672" s="84"/>
      <c r="W1672" s="84"/>
      <c r="X1672" s="84"/>
    </row>
    <row r="1673" spans="5:24" x14ac:dyDescent="0.2"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  <c r="S1673" s="84"/>
      <c r="T1673" s="84"/>
      <c r="U1673" s="84"/>
      <c r="V1673" s="84"/>
      <c r="W1673" s="84"/>
      <c r="X1673" s="84"/>
    </row>
    <row r="1674" spans="5:24" x14ac:dyDescent="0.2"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  <c r="S1674" s="84"/>
      <c r="T1674" s="84"/>
      <c r="U1674" s="84"/>
      <c r="V1674" s="84"/>
      <c r="W1674" s="84"/>
      <c r="X1674" s="84"/>
    </row>
    <row r="1675" spans="5:24" x14ac:dyDescent="0.2"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T1675" s="84"/>
      <c r="U1675" s="84"/>
      <c r="V1675" s="84"/>
      <c r="W1675" s="84"/>
      <c r="X1675" s="84"/>
    </row>
    <row r="1676" spans="5:24" x14ac:dyDescent="0.2"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  <c r="S1676" s="84"/>
      <c r="T1676" s="84"/>
      <c r="U1676" s="84"/>
      <c r="V1676" s="84"/>
      <c r="W1676" s="84"/>
      <c r="X1676" s="84"/>
    </row>
    <row r="1677" spans="5:24" x14ac:dyDescent="0.2"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  <c r="S1677" s="84"/>
      <c r="T1677" s="84"/>
      <c r="U1677" s="84"/>
      <c r="V1677" s="84"/>
      <c r="W1677" s="84"/>
      <c r="X1677" s="84"/>
    </row>
    <row r="1678" spans="5:24" x14ac:dyDescent="0.2"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  <c r="S1678" s="84"/>
      <c r="T1678" s="84"/>
      <c r="U1678" s="84"/>
      <c r="V1678" s="84"/>
      <c r="W1678" s="84"/>
      <c r="X1678" s="84"/>
    </row>
    <row r="1679" spans="5:24" x14ac:dyDescent="0.2"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  <c r="S1679" s="84"/>
      <c r="T1679" s="84"/>
      <c r="U1679" s="84"/>
      <c r="V1679" s="84"/>
      <c r="W1679" s="84"/>
      <c r="X1679" s="84"/>
    </row>
    <row r="1680" spans="5:24" x14ac:dyDescent="0.2"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  <c r="S1680" s="84"/>
      <c r="T1680" s="84"/>
      <c r="U1680" s="84"/>
      <c r="V1680" s="84"/>
      <c r="W1680" s="84"/>
      <c r="X1680" s="84"/>
    </row>
    <row r="1681" spans="5:24" x14ac:dyDescent="0.2"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  <c r="S1681" s="84"/>
      <c r="T1681" s="84"/>
      <c r="U1681" s="84"/>
      <c r="V1681" s="84"/>
      <c r="W1681" s="84"/>
      <c r="X1681" s="84"/>
    </row>
    <row r="1682" spans="5:24" x14ac:dyDescent="0.2">
      <c r="E1682" s="84"/>
      <c r="F1682" s="84"/>
      <c r="G1682" s="84"/>
      <c r="H1682" s="84"/>
      <c r="I1682" s="84"/>
      <c r="J1682" s="84"/>
      <c r="K1682" s="84"/>
      <c r="L1682" s="84"/>
      <c r="M1682" s="84"/>
      <c r="N1682" s="84"/>
      <c r="O1682" s="84"/>
      <c r="P1682" s="84"/>
      <c r="Q1682" s="84"/>
      <c r="R1682" s="84"/>
      <c r="S1682" s="84"/>
      <c r="T1682" s="84"/>
      <c r="U1682" s="84"/>
      <c r="V1682" s="84"/>
      <c r="W1682" s="84"/>
      <c r="X1682" s="84"/>
    </row>
    <row r="1683" spans="5:24" x14ac:dyDescent="0.2"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  <c r="S1683" s="84"/>
      <c r="T1683" s="84"/>
      <c r="U1683" s="84"/>
      <c r="V1683" s="84"/>
      <c r="W1683" s="84"/>
      <c r="X1683" s="84"/>
    </row>
    <row r="1684" spans="5:24" x14ac:dyDescent="0.2"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  <c r="S1684" s="84"/>
      <c r="T1684" s="84"/>
      <c r="U1684" s="84"/>
      <c r="V1684" s="84"/>
      <c r="W1684" s="84"/>
      <c r="X1684" s="84"/>
    </row>
    <row r="1685" spans="5:24" x14ac:dyDescent="0.2"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  <c r="S1685" s="84"/>
      <c r="T1685" s="84"/>
      <c r="U1685" s="84"/>
      <c r="V1685" s="84"/>
      <c r="W1685" s="84"/>
      <c r="X1685" s="84"/>
    </row>
    <row r="1686" spans="5:24" x14ac:dyDescent="0.2"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  <c r="S1686" s="84"/>
      <c r="T1686" s="84"/>
      <c r="U1686" s="84"/>
      <c r="V1686" s="84"/>
      <c r="W1686" s="84"/>
      <c r="X1686" s="84"/>
    </row>
    <row r="1687" spans="5:24" x14ac:dyDescent="0.2"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  <c r="S1687" s="84"/>
      <c r="T1687" s="84"/>
      <c r="U1687" s="84"/>
      <c r="V1687" s="84"/>
      <c r="W1687" s="84"/>
      <c r="X1687" s="84"/>
    </row>
    <row r="1688" spans="5:24" x14ac:dyDescent="0.2"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  <c r="S1688" s="84"/>
      <c r="T1688" s="84"/>
      <c r="U1688" s="84"/>
      <c r="V1688" s="84"/>
      <c r="W1688" s="84"/>
      <c r="X1688" s="84"/>
    </row>
    <row r="1689" spans="5:24" x14ac:dyDescent="0.2"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  <c r="W1689" s="84"/>
      <c r="X1689" s="84"/>
    </row>
    <row r="1690" spans="5:24" x14ac:dyDescent="0.2"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  <c r="S1690" s="84"/>
      <c r="T1690" s="84"/>
      <c r="U1690" s="84"/>
      <c r="V1690" s="84"/>
      <c r="W1690" s="84"/>
      <c r="X1690" s="84"/>
    </row>
    <row r="1691" spans="5:24" x14ac:dyDescent="0.2"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  <c r="S1691" s="84"/>
      <c r="T1691" s="84"/>
      <c r="U1691" s="84"/>
      <c r="V1691" s="84"/>
      <c r="W1691" s="84"/>
      <c r="X1691" s="84"/>
    </row>
    <row r="1692" spans="5:24" x14ac:dyDescent="0.2"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  <c r="W1692" s="84"/>
      <c r="X1692" s="84"/>
    </row>
    <row r="1693" spans="5:24" x14ac:dyDescent="0.2"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  <c r="S1693" s="84"/>
      <c r="T1693" s="84"/>
      <c r="U1693" s="84"/>
      <c r="V1693" s="84"/>
      <c r="W1693" s="84"/>
      <c r="X1693" s="84"/>
    </row>
    <row r="1694" spans="5:24" x14ac:dyDescent="0.2"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  <c r="S1694" s="84"/>
      <c r="T1694" s="84"/>
      <c r="U1694" s="84"/>
      <c r="V1694" s="84"/>
      <c r="W1694" s="84"/>
      <c r="X1694" s="84"/>
    </row>
    <row r="1695" spans="5:24" x14ac:dyDescent="0.2"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  <c r="R1695" s="84"/>
      <c r="S1695" s="84"/>
      <c r="T1695" s="84"/>
      <c r="U1695" s="84"/>
      <c r="V1695" s="84"/>
      <c r="W1695" s="84"/>
      <c r="X1695" s="84"/>
    </row>
    <row r="1696" spans="5:24" x14ac:dyDescent="0.2"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  <c r="R1696" s="84"/>
      <c r="S1696" s="84"/>
      <c r="T1696" s="84"/>
      <c r="U1696" s="84"/>
      <c r="V1696" s="84"/>
      <c r="W1696" s="84"/>
      <c r="X1696" s="84"/>
    </row>
    <row r="1697" spans="5:24" x14ac:dyDescent="0.2"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  <c r="R1697" s="84"/>
      <c r="S1697" s="84"/>
      <c r="T1697" s="84"/>
      <c r="U1697" s="84"/>
      <c r="V1697" s="84"/>
      <c r="W1697" s="84"/>
      <c r="X1697" s="84"/>
    </row>
    <row r="1698" spans="5:24" x14ac:dyDescent="0.2">
      <c r="E1698" s="84"/>
      <c r="F1698" s="84"/>
      <c r="G1698" s="84"/>
      <c r="H1698" s="84"/>
      <c r="I1698" s="84"/>
      <c r="J1698" s="84"/>
      <c r="K1698" s="84"/>
      <c r="L1698" s="84"/>
      <c r="M1698" s="84"/>
      <c r="N1698" s="84"/>
      <c r="O1698" s="84"/>
      <c r="P1698" s="84"/>
      <c r="Q1698" s="84"/>
      <c r="R1698" s="84"/>
      <c r="S1698" s="84"/>
      <c r="T1698" s="84"/>
      <c r="U1698" s="84"/>
      <c r="V1698" s="84"/>
      <c r="W1698" s="84"/>
      <c r="X1698" s="84"/>
    </row>
    <row r="1699" spans="5:24" x14ac:dyDescent="0.2">
      <c r="E1699" s="84"/>
      <c r="F1699" s="84"/>
      <c r="G1699" s="84"/>
      <c r="H1699" s="84"/>
      <c r="I1699" s="84"/>
      <c r="J1699" s="84"/>
      <c r="K1699" s="84"/>
      <c r="L1699" s="84"/>
      <c r="M1699" s="84"/>
      <c r="N1699" s="84"/>
      <c r="O1699" s="84"/>
      <c r="P1699" s="84"/>
      <c r="Q1699" s="84"/>
      <c r="R1699" s="84"/>
      <c r="S1699" s="84"/>
      <c r="T1699" s="84"/>
      <c r="U1699" s="84"/>
      <c r="V1699" s="84"/>
      <c r="W1699" s="84"/>
      <c r="X1699" s="84"/>
    </row>
    <row r="1700" spans="5:24" x14ac:dyDescent="0.2">
      <c r="E1700" s="84"/>
      <c r="F1700" s="84"/>
      <c r="G1700" s="84"/>
      <c r="H1700" s="84"/>
      <c r="I1700" s="84"/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  <c r="W1700" s="84"/>
      <c r="X1700" s="84"/>
    </row>
    <row r="1701" spans="5:24" x14ac:dyDescent="0.2">
      <c r="E1701" s="84"/>
      <c r="F1701" s="84"/>
      <c r="G1701" s="84"/>
      <c r="H1701" s="84"/>
      <c r="I1701" s="84"/>
      <c r="J1701" s="84"/>
      <c r="K1701" s="84"/>
      <c r="L1701" s="84"/>
      <c r="M1701" s="84"/>
      <c r="N1701" s="84"/>
      <c r="O1701" s="84"/>
      <c r="P1701" s="84"/>
      <c r="Q1701" s="84"/>
      <c r="R1701" s="84"/>
      <c r="S1701" s="84"/>
      <c r="T1701" s="84"/>
      <c r="U1701" s="84"/>
      <c r="V1701" s="84"/>
      <c r="W1701" s="84"/>
      <c r="X1701" s="84"/>
    </row>
    <row r="1702" spans="5:24" x14ac:dyDescent="0.2">
      <c r="E1702" s="84"/>
      <c r="F1702" s="84"/>
      <c r="G1702" s="84"/>
      <c r="H1702" s="84"/>
      <c r="I1702" s="84"/>
      <c r="J1702" s="84"/>
      <c r="K1702" s="84"/>
      <c r="L1702" s="84"/>
      <c r="M1702" s="84"/>
      <c r="N1702" s="84"/>
      <c r="O1702" s="84"/>
      <c r="P1702" s="84"/>
      <c r="Q1702" s="84"/>
      <c r="R1702" s="84"/>
      <c r="S1702" s="84"/>
      <c r="T1702" s="84"/>
      <c r="U1702" s="84"/>
      <c r="V1702" s="84"/>
      <c r="W1702" s="84"/>
      <c r="X1702" s="84"/>
    </row>
    <row r="1703" spans="5:24" x14ac:dyDescent="0.2">
      <c r="E1703" s="84"/>
      <c r="F1703" s="84"/>
      <c r="G1703" s="84"/>
      <c r="H1703" s="84"/>
      <c r="I1703" s="84"/>
      <c r="J1703" s="84"/>
      <c r="K1703" s="84"/>
      <c r="L1703" s="84"/>
      <c r="M1703" s="84"/>
      <c r="N1703" s="84"/>
      <c r="O1703" s="84"/>
      <c r="P1703" s="84"/>
      <c r="Q1703" s="84"/>
      <c r="R1703" s="84"/>
      <c r="S1703" s="84"/>
      <c r="T1703" s="84"/>
      <c r="U1703" s="84"/>
      <c r="V1703" s="84"/>
      <c r="W1703" s="84"/>
      <c r="X1703" s="84"/>
    </row>
    <row r="1704" spans="5:24" x14ac:dyDescent="0.2">
      <c r="E1704" s="84"/>
      <c r="F1704" s="84"/>
      <c r="G1704" s="84"/>
      <c r="H1704" s="84"/>
      <c r="I1704" s="84"/>
      <c r="J1704" s="84"/>
      <c r="K1704" s="84"/>
      <c r="L1704" s="84"/>
      <c r="M1704" s="84"/>
      <c r="N1704" s="84"/>
      <c r="O1704" s="84"/>
      <c r="P1704" s="84"/>
      <c r="Q1704" s="84"/>
      <c r="R1704" s="84"/>
      <c r="S1704" s="84"/>
      <c r="T1704" s="84"/>
      <c r="U1704" s="84"/>
      <c r="V1704" s="84"/>
      <c r="W1704" s="84"/>
      <c r="X1704" s="84"/>
    </row>
    <row r="1705" spans="5:24" x14ac:dyDescent="0.2"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  <c r="S1705" s="84"/>
      <c r="T1705" s="84"/>
      <c r="U1705" s="84"/>
      <c r="V1705" s="84"/>
      <c r="W1705" s="84"/>
      <c r="X1705" s="84"/>
    </row>
    <row r="1706" spans="5:24" x14ac:dyDescent="0.2"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  <c r="S1706" s="84"/>
      <c r="T1706" s="84"/>
      <c r="U1706" s="84"/>
      <c r="V1706" s="84"/>
      <c r="W1706" s="84"/>
      <c r="X1706" s="84"/>
    </row>
    <row r="1707" spans="5:24" x14ac:dyDescent="0.2"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  <c r="S1707" s="84"/>
      <c r="T1707" s="84"/>
      <c r="U1707" s="84"/>
      <c r="V1707" s="84"/>
      <c r="W1707" s="84"/>
      <c r="X1707" s="84"/>
    </row>
    <row r="1708" spans="5:24" x14ac:dyDescent="0.2"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  <c r="S1708" s="84"/>
      <c r="T1708" s="84"/>
      <c r="U1708" s="84"/>
      <c r="V1708" s="84"/>
      <c r="W1708" s="84"/>
      <c r="X1708" s="84"/>
    </row>
    <row r="1709" spans="5:24" x14ac:dyDescent="0.2"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  <c r="S1709" s="84"/>
      <c r="T1709" s="84"/>
      <c r="U1709" s="84"/>
      <c r="V1709" s="84"/>
      <c r="W1709" s="84"/>
      <c r="X1709" s="84"/>
    </row>
    <row r="1710" spans="5:24" x14ac:dyDescent="0.2"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  <c r="S1710" s="84"/>
      <c r="T1710" s="84"/>
      <c r="U1710" s="84"/>
      <c r="V1710" s="84"/>
      <c r="W1710" s="84"/>
      <c r="X1710" s="84"/>
    </row>
    <row r="1711" spans="5:24" x14ac:dyDescent="0.2"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  <c r="S1711" s="84"/>
      <c r="T1711" s="84"/>
      <c r="U1711" s="84"/>
      <c r="V1711" s="84"/>
      <c r="W1711" s="84"/>
      <c r="X1711" s="84"/>
    </row>
    <row r="1712" spans="5:24" x14ac:dyDescent="0.2"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  <c r="S1712" s="84"/>
      <c r="T1712" s="84"/>
      <c r="U1712" s="84"/>
      <c r="V1712" s="84"/>
      <c r="W1712" s="84"/>
      <c r="X1712" s="84"/>
    </row>
    <row r="1713" spans="5:24" x14ac:dyDescent="0.2"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  <c r="S1713" s="84"/>
      <c r="T1713" s="84"/>
      <c r="U1713" s="84"/>
      <c r="V1713" s="84"/>
      <c r="W1713" s="84"/>
      <c r="X1713" s="84"/>
    </row>
    <row r="1714" spans="5:24" x14ac:dyDescent="0.2"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  <c r="S1714" s="84"/>
      <c r="T1714" s="84"/>
      <c r="U1714" s="84"/>
      <c r="V1714" s="84"/>
      <c r="W1714" s="84"/>
      <c r="X1714" s="84"/>
    </row>
    <row r="1715" spans="5:24" x14ac:dyDescent="0.2"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  <c r="S1715" s="84"/>
      <c r="T1715" s="84"/>
      <c r="U1715" s="84"/>
      <c r="V1715" s="84"/>
      <c r="W1715" s="84"/>
      <c r="X1715" s="84"/>
    </row>
    <row r="1716" spans="5:24" x14ac:dyDescent="0.2"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  <c r="S1716" s="84"/>
      <c r="T1716" s="84"/>
      <c r="U1716" s="84"/>
      <c r="V1716" s="84"/>
      <c r="W1716" s="84"/>
      <c r="X1716" s="84"/>
    </row>
    <row r="1717" spans="5:24" x14ac:dyDescent="0.2"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  <c r="S1717" s="84"/>
      <c r="T1717" s="84"/>
      <c r="U1717" s="84"/>
      <c r="V1717" s="84"/>
      <c r="W1717" s="84"/>
      <c r="X1717" s="84"/>
    </row>
    <row r="1718" spans="5:24" x14ac:dyDescent="0.2"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  <c r="S1718" s="84"/>
      <c r="T1718" s="84"/>
      <c r="U1718" s="84"/>
      <c r="V1718" s="84"/>
      <c r="W1718" s="84"/>
      <c r="X1718" s="84"/>
    </row>
    <row r="1719" spans="5:24" x14ac:dyDescent="0.2"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  <c r="S1719" s="84"/>
      <c r="T1719" s="84"/>
      <c r="U1719" s="84"/>
      <c r="V1719" s="84"/>
      <c r="W1719" s="84"/>
      <c r="X1719" s="84"/>
    </row>
    <row r="1720" spans="5:24" x14ac:dyDescent="0.2"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  <c r="S1720" s="84"/>
      <c r="T1720" s="84"/>
      <c r="U1720" s="84"/>
      <c r="V1720" s="84"/>
      <c r="W1720" s="84"/>
      <c r="X1720" s="84"/>
    </row>
    <row r="1721" spans="5:24" x14ac:dyDescent="0.2"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  <c r="S1721" s="84"/>
      <c r="T1721" s="84"/>
      <c r="U1721" s="84"/>
      <c r="V1721" s="84"/>
      <c r="W1721" s="84"/>
      <c r="X1721" s="84"/>
    </row>
    <row r="1722" spans="5:24" x14ac:dyDescent="0.2"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  <c r="S1722" s="84"/>
      <c r="T1722" s="84"/>
      <c r="U1722" s="84"/>
      <c r="V1722" s="84"/>
      <c r="W1722" s="84"/>
      <c r="X1722" s="84"/>
    </row>
    <row r="1723" spans="5:24" x14ac:dyDescent="0.2"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  <c r="S1723" s="84"/>
      <c r="T1723" s="84"/>
      <c r="U1723" s="84"/>
      <c r="V1723" s="84"/>
      <c r="W1723" s="84"/>
      <c r="X1723" s="84"/>
    </row>
    <row r="1724" spans="5:24" x14ac:dyDescent="0.2"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  <c r="S1724" s="84"/>
      <c r="T1724" s="84"/>
      <c r="U1724" s="84"/>
      <c r="V1724" s="84"/>
      <c r="W1724" s="84"/>
      <c r="X1724" s="84"/>
    </row>
    <row r="1725" spans="5:24" x14ac:dyDescent="0.2"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  <c r="S1725" s="84"/>
      <c r="T1725" s="84"/>
      <c r="U1725" s="84"/>
      <c r="V1725" s="84"/>
      <c r="W1725" s="84"/>
      <c r="X1725" s="84"/>
    </row>
    <row r="1726" spans="5:24" x14ac:dyDescent="0.2"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  <c r="S1726" s="84"/>
      <c r="T1726" s="84"/>
      <c r="U1726" s="84"/>
      <c r="V1726" s="84"/>
      <c r="W1726" s="84"/>
      <c r="X1726" s="84"/>
    </row>
    <row r="1727" spans="5:24" x14ac:dyDescent="0.2"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  <c r="S1727" s="84"/>
      <c r="T1727" s="84"/>
      <c r="U1727" s="84"/>
      <c r="V1727" s="84"/>
      <c r="W1727" s="84"/>
      <c r="X1727" s="84"/>
    </row>
    <row r="1728" spans="5:24" x14ac:dyDescent="0.2">
      <c r="E1728" s="84"/>
      <c r="F1728" s="84"/>
      <c r="G1728" s="84"/>
      <c r="H1728" s="84"/>
      <c r="I1728" s="84"/>
      <c r="J1728" s="84"/>
      <c r="K1728" s="84"/>
      <c r="L1728" s="84"/>
      <c r="M1728" s="84"/>
      <c r="N1728" s="84"/>
      <c r="O1728" s="84"/>
      <c r="P1728" s="84"/>
      <c r="Q1728" s="84"/>
      <c r="R1728" s="84"/>
      <c r="S1728" s="84"/>
      <c r="T1728" s="84"/>
      <c r="U1728" s="84"/>
      <c r="V1728" s="84"/>
      <c r="W1728" s="84"/>
      <c r="X1728" s="84"/>
    </row>
    <row r="1729" spans="5:24" x14ac:dyDescent="0.2">
      <c r="E1729" s="84"/>
      <c r="F1729" s="84"/>
      <c r="G1729" s="84"/>
      <c r="H1729" s="84"/>
      <c r="I1729" s="84"/>
      <c r="J1729" s="84"/>
      <c r="K1729" s="84"/>
      <c r="L1729" s="84"/>
      <c r="M1729" s="84"/>
      <c r="N1729" s="84"/>
      <c r="O1729" s="84"/>
      <c r="P1729" s="84"/>
      <c r="Q1729" s="84"/>
      <c r="R1729" s="84"/>
      <c r="S1729" s="84"/>
      <c r="T1729" s="84"/>
      <c r="U1729" s="84"/>
      <c r="V1729" s="84"/>
      <c r="W1729" s="84"/>
      <c r="X1729" s="84"/>
    </row>
    <row r="1730" spans="5:24" x14ac:dyDescent="0.2">
      <c r="E1730" s="84"/>
      <c r="F1730" s="84"/>
      <c r="G1730" s="84"/>
      <c r="H1730" s="84"/>
      <c r="I1730" s="84"/>
      <c r="J1730" s="84"/>
      <c r="K1730" s="84"/>
      <c r="L1730" s="84"/>
      <c r="M1730" s="84"/>
      <c r="N1730" s="84"/>
      <c r="O1730" s="84"/>
      <c r="P1730" s="84"/>
      <c r="Q1730" s="84"/>
      <c r="R1730" s="84"/>
      <c r="S1730" s="84"/>
      <c r="T1730" s="84"/>
      <c r="U1730" s="84"/>
      <c r="V1730" s="84"/>
      <c r="W1730" s="84"/>
      <c r="X1730" s="84"/>
    </row>
    <row r="1731" spans="5:24" x14ac:dyDescent="0.2"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  <c r="S1731" s="84"/>
      <c r="T1731" s="84"/>
      <c r="U1731" s="84"/>
      <c r="V1731" s="84"/>
      <c r="W1731" s="84"/>
      <c r="X1731" s="84"/>
    </row>
    <row r="1732" spans="5:24" x14ac:dyDescent="0.2"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  <c r="S1732" s="84"/>
      <c r="T1732" s="84"/>
      <c r="U1732" s="84"/>
      <c r="V1732" s="84"/>
      <c r="W1732" s="84"/>
      <c r="X1732" s="84"/>
    </row>
    <row r="1733" spans="5:24" x14ac:dyDescent="0.2"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  <c r="S1733" s="84"/>
      <c r="T1733" s="84"/>
      <c r="U1733" s="84"/>
      <c r="V1733" s="84"/>
      <c r="W1733" s="84"/>
      <c r="X1733" s="84"/>
    </row>
    <row r="1734" spans="5:24" x14ac:dyDescent="0.2"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  <c r="S1734" s="84"/>
      <c r="T1734" s="84"/>
      <c r="U1734" s="84"/>
      <c r="V1734" s="84"/>
      <c r="W1734" s="84"/>
      <c r="X1734" s="84"/>
    </row>
    <row r="1735" spans="5:24" x14ac:dyDescent="0.2"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  <c r="S1735" s="84"/>
      <c r="T1735" s="84"/>
      <c r="U1735" s="84"/>
      <c r="V1735" s="84"/>
      <c r="W1735" s="84"/>
      <c r="X1735" s="84"/>
    </row>
    <row r="1736" spans="5:24" x14ac:dyDescent="0.2"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  <c r="W1736" s="84"/>
      <c r="X1736" s="84"/>
    </row>
    <row r="1737" spans="5:24" x14ac:dyDescent="0.2"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  <c r="S1737" s="84"/>
      <c r="T1737" s="84"/>
      <c r="U1737" s="84"/>
      <c r="V1737" s="84"/>
      <c r="W1737" s="84"/>
      <c r="X1737" s="84"/>
    </row>
    <row r="1738" spans="5:24" x14ac:dyDescent="0.2"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  <c r="S1738" s="84"/>
      <c r="T1738" s="84"/>
      <c r="U1738" s="84"/>
      <c r="V1738" s="84"/>
      <c r="W1738" s="84"/>
      <c r="X1738" s="84"/>
    </row>
    <row r="1739" spans="5:24" x14ac:dyDescent="0.2"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  <c r="S1739" s="84"/>
      <c r="T1739" s="84"/>
      <c r="U1739" s="84"/>
      <c r="V1739" s="84"/>
      <c r="W1739" s="84"/>
      <c r="X1739" s="84"/>
    </row>
    <row r="1740" spans="5:24" x14ac:dyDescent="0.2"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  <c r="S1740" s="84"/>
      <c r="T1740" s="84"/>
      <c r="U1740" s="84"/>
      <c r="V1740" s="84"/>
      <c r="W1740" s="84"/>
      <c r="X1740" s="84"/>
    </row>
    <row r="1741" spans="5:24" x14ac:dyDescent="0.2"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  <c r="S1741" s="84"/>
      <c r="T1741" s="84"/>
      <c r="U1741" s="84"/>
      <c r="V1741" s="84"/>
      <c r="W1741" s="84"/>
      <c r="X1741" s="84"/>
    </row>
    <row r="1742" spans="5:24" x14ac:dyDescent="0.2"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  <c r="S1742" s="84"/>
      <c r="T1742" s="84"/>
      <c r="U1742" s="84"/>
      <c r="V1742" s="84"/>
      <c r="W1742" s="84"/>
      <c r="X1742" s="84"/>
    </row>
    <row r="1743" spans="5:24" x14ac:dyDescent="0.2"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  <c r="R1743" s="84"/>
      <c r="S1743" s="84"/>
      <c r="T1743" s="84"/>
      <c r="U1743" s="84"/>
      <c r="V1743" s="84"/>
      <c r="W1743" s="84"/>
      <c r="X1743" s="84"/>
    </row>
    <row r="1744" spans="5:24" x14ac:dyDescent="0.2"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  <c r="R1744" s="84"/>
      <c r="S1744" s="84"/>
      <c r="T1744" s="84"/>
      <c r="U1744" s="84"/>
      <c r="V1744" s="84"/>
      <c r="W1744" s="84"/>
      <c r="X1744" s="84"/>
    </row>
    <row r="1745" spans="5:24" x14ac:dyDescent="0.2"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  <c r="R1745" s="84"/>
      <c r="S1745" s="84"/>
      <c r="T1745" s="84"/>
      <c r="U1745" s="84"/>
      <c r="V1745" s="84"/>
      <c r="W1745" s="84"/>
      <c r="X1745" s="84"/>
    </row>
    <row r="1746" spans="5:24" x14ac:dyDescent="0.2"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  <c r="R1746" s="84"/>
      <c r="S1746" s="84"/>
      <c r="T1746" s="84"/>
      <c r="U1746" s="84"/>
      <c r="V1746" s="84"/>
      <c r="W1746" s="84"/>
      <c r="X1746" s="84"/>
    </row>
    <row r="1747" spans="5:24" x14ac:dyDescent="0.2"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  <c r="R1747" s="84"/>
      <c r="S1747" s="84"/>
      <c r="T1747" s="84"/>
      <c r="U1747" s="84"/>
      <c r="V1747" s="84"/>
      <c r="W1747" s="84"/>
      <c r="X1747" s="84"/>
    </row>
    <row r="1748" spans="5:24" x14ac:dyDescent="0.2"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  <c r="R1748" s="84"/>
      <c r="S1748" s="84"/>
      <c r="T1748" s="84"/>
      <c r="U1748" s="84"/>
      <c r="V1748" s="84"/>
      <c r="W1748" s="84"/>
      <c r="X1748" s="84"/>
    </row>
    <row r="1749" spans="5:24" x14ac:dyDescent="0.2"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  <c r="R1749" s="84"/>
      <c r="S1749" s="84"/>
      <c r="T1749" s="84"/>
      <c r="U1749" s="84"/>
      <c r="V1749" s="84"/>
      <c r="W1749" s="84"/>
      <c r="X1749" s="84"/>
    </row>
    <row r="1750" spans="5:24" x14ac:dyDescent="0.2"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  <c r="R1750" s="84"/>
      <c r="S1750" s="84"/>
      <c r="T1750" s="84"/>
      <c r="U1750" s="84"/>
      <c r="V1750" s="84"/>
      <c r="W1750" s="84"/>
      <c r="X1750" s="84"/>
    </row>
    <row r="1751" spans="5:24" x14ac:dyDescent="0.2"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  <c r="S1751" s="84"/>
      <c r="T1751" s="84"/>
      <c r="U1751" s="84"/>
      <c r="V1751" s="84"/>
      <c r="W1751" s="84"/>
      <c r="X1751" s="84"/>
    </row>
    <row r="1752" spans="5:24" x14ac:dyDescent="0.2"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  <c r="S1752" s="84"/>
      <c r="T1752" s="84"/>
      <c r="U1752" s="84"/>
      <c r="V1752" s="84"/>
      <c r="W1752" s="84"/>
      <c r="X1752" s="84"/>
    </row>
    <row r="1753" spans="5:24" x14ac:dyDescent="0.2"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  <c r="S1753" s="84"/>
      <c r="T1753" s="84"/>
      <c r="U1753" s="84"/>
      <c r="V1753" s="84"/>
      <c r="W1753" s="84"/>
      <c r="X1753" s="84"/>
    </row>
    <row r="1754" spans="5:24" x14ac:dyDescent="0.2"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  <c r="S1754" s="84"/>
      <c r="T1754" s="84"/>
      <c r="U1754" s="84"/>
      <c r="V1754" s="84"/>
      <c r="W1754" s="84"/>
      <c r="X1754" s="84"/>
    </row>
    <row r="1755" spans="5:24" x14ac:dyDescent="0.2"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  <c r="S1755" s="84"/>
      <c r="T1755" s="84"/>
      <c r="U1755" s="84"/>
      <c r="V1755" s="84"/>
      <c r="W1755" s="84"/>
      <c r="X1755" s="84"/>
    </row>
    <row r="1756" spans="5:24" x14ac:dyDescent="0.2"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  <c r="S1756" s="84"/>
      <c r="T1756" s="84"/>
      <c r="U1756" s="84"/>
      <c r="V1756" s="84"/>
      <c r="W1756" s="84"/>
      <c r="X1756" s="84"/>
    </row>
    <row r="1757" spans="5:24" x14ac:dyDescent="0.2"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  <c r="S1757" s="84"/>
      <c r="T1757" s="84"/>
      <c r="U1757" s="84"/>
      <c r="V1757" s="84"/>
      <c r="W1757" s="84"/>
      <c r="X1757" s="84"/>
    </row>
    <row r="1758" spans="5:24" x14ac:dyDescent="0.2"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  <c r="S1758" s="84"/>
      <c r="T1758" s="84"/>
      <c r="U1758" s="84"/>
      <c r="V1758" s="84"/>
      <c r="W1758" s="84"/>
      <c r="X1758" s="84"/>
    </row>
    <row r="1759" spans="5:24" x14ac:dyDescent="0.2"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  <c r="S1759" s="84"/>
      <c r="T1759" s="84"/>
      <c r="U1759" s="84"/>
      <c r="V1759" s="84"/>
      <c r="W1759" s="84"/>
      <c r="X1759" s="84"/>
    </row>
    <row r="1760" spans="5:24" x14ac:dyDescent="0.2"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  <c r="S1760" s="84"/>
      <c r="T1760" s="84"/>
      <c r="U1760" s="84"/>
      <c r="V1760" s="84"/>
      <c r="W1760" s="84"/>
      <c r="X1760" s="84"/>
    </row>
    <row r="1761" spans="5:24" x14ac:dyDescent="0.2"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  <c r="S1761" s="84"/>
      <c r="T1761" s="84"/>
      <c r="U1761" s="84"/>
      <c r="V1761" s="84"/>
      <c r="W1761" s="84"/>
      <c r="X1761" s="84"/>
    </row>
    <row r="1762" spans="5:24" x14ac:dyDescent="0.2"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  <c r="S1762" s="84"/>
      <c r="T1762" s="84"/>
      <c r="U1762" s="84"/>
      <c r="V1762" s="84"/>
      <c r="W1762" s="84"/>
      <c r="X1762" s="84"/>
    </row>
    <row r="1763" spans="5:24" x14ac:dyDescent="0.2"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  <c r="S1763" s="84"/>
      <c r="T1763" s="84"/>
      <c r="U1763" s="84"/>
      <c r="V1763" s="84"/>
      <c r="W1763" s="84"/>
      <c r="X1763" s="84"/>
    </row>
    <row r="1764" spans="5:24" x14ac:dyDescent="0.2"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  <c r="S1764" s="84"/>
      <c r="T1764" s="84"/>
      <c r="U1764" s="84"/>
      <c r="V1764" s="84"/>
      <c r="W1764" s="84"/>
      <c r="X1764" s="84"/>
    </row>
    <row r="1765" spans="5:24" x14ac:dyDescent="0.2"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  <c r="S1765" s="84"/>
      <c r="T1765" s="84"/>
      <c r="U1765" s="84"/>
      <c r="V1765" s="84"/>
      <c r="W1765" s="84"/>
      <c r="X1765" s="84"/>
    </row>
    <row r="1766" spans="5:24" x14ac:dyDescent="0.2"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  <c r="S1766" s="84"/>
      <c r="T1766" s="84"/>
      <c r="U1766" s="84"/>
      <c r="V1766" s="84"/>
      <c r="W1766" s="84"/>
      <c r="X1766" s="84"/>
    </row>
    <row r="1767" spans="5:24" x14ac:dyDescent="0.2"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  <c r="S1767" s="84"/>
      <c r="T1767" s="84"/>
      <c r="U1767" s="84"/>
      <c r="V1767" s="84"/>
      <c r="W1767" s="84"/>
      <c r="X1767" s="84"/>
    </row>
    <row r="1768" spans="5:24" x14ac:dyDescent="0.2"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  <c r="S1768" s="84"/>
      <c r="T1768" s="84"/>
      <c r="U1768" s="84"/>
      <c r="V1768" s="84"/>
      <c r="W1768" s="84"/>
      <c r="X1768" s="84"/>
    </row>
    <row r="1769" spans="5:24" x14ac:dyDescent="0.2"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  <c r="S1769" s="84"/>
      <c r="T1769" s="84"/>
      <c r="U1769" s="84"/>
      <c r="V1769" s="84"/>
      <c r="W1769" s="84"/>
      <c r="X1769" s="84"/>
    </row>
    <row r="1770" spans="5:24" x14ac:dyDescent="0.2"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  <c r="S1770" s="84"/>
      <c r="T1770" s="84"/>
      <c r="U1770" s="84"/>
      <c r="V1770" s="84"/>
      <c r="W1770" s="84"/>
      <c r="X1770" s="84"/>
    </row>
    <row r="1771" spans="5:24" x14ac:dyDescent="0.2"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  <c r="S1771" s="84"/>
      <c r="T1771" s="84"/>
      <c r="U1771" s="84"/>
      <c r="V1771" s="84"/>
      <c r="W1771" s="84"/>
      <c r="X1771" s="84"/>
    </row>
    <row r="1772" spans="5:24" x14ac:dyDescent="0.2"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  <c r="S1772" s="84"/>
      <c r="T1772" s="84"/>
      <c r="U1772" s="84"/>
      <c r="V1772" s="84"/>
      <c r="W1772" s="84"/>
      <c r="X1772" s="84"/>
    </row>
    <row r="1773" spans="5:24" x14ac:dyDescent="0.2"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  <c r="S1773" s="84"/>
      <c r="T1773" s="84"/>
      <c r="U1773" s="84"/>
      <c r="V1773" s="84"/>
      <c r="W1773" s="84"/>
      <c r="X1773" s="84"/>
    </row>
    <row r="1774" spans="5:24" x14ac:dyDescent="0.2"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  <c r="R1774" s="84"/>
      <c r="S1774" s="84"/>
      <c r="T1774" s="84"/>
      <c r="U1774" s="84"/>
      <c r="V1774" s="84"/>
      <c r="W1774" s="84"/>
      <c r="X1774" s="84"/>
    </row>
    <row r="1775" spans="5:24" x14ac:dyDescent="0.2"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  <c r="R1775" s="84"/>
      <c r="S1775" s="84"/>
      <c r="T1775" s="84"/>
      <c r="U1775" s="84"/>
      <c r="V1775" s="84"/>
      <c r="W1775" s="84"/>
      <c r="X1775" s="84"/>
    </row>
    <row r="1776" spans="5:24" x14ac:dyDescent="0.2"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  <c r="R1776" s="84"/>
      <c r="S1776" s="84"/>
      <c r="T1776" s="84"/>
      <c r="U1776" s="84"/>
      <c r="V1776" s="84"/>
      <c r="W1776" s="84"/>
      <c r="X1776" s="84"/>
    </row>
    <row r="1777" spans="5:24" x14ac:dyDescent="0.2"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  <c r="R1777" s="84"/>
      <c r="S1777" s="84"/>
      <c r="T1777" s="84"/>
      <c r="U1777" s="84"/>
      <c r="V1777" s="84"/>
      <c r="W1777" s="84"/>
      <c r="X1777" s="84"/>
    </row>
    <row r="1778" spans="5:24" x14ac:dyDescent="0.2"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  <c r="R1778" s="84"/>
      <c r="S1778" s="84"/>
      <c r="T1778" s="84"/>
      <c r="U1778" s="84"/>
      <c r="V1778" s="84"/>
      <c r="W1778" s="84"/>
      <c r="X1778" s="84"/>
    </row>
    <row r="1779" spans="5:24" x14ac:dyDescent="0.2"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  <c r="S1779" s="84"/>
      <c r="T1779" s="84"/>
      <c r="U1779" s="84"/>
      <c r="V1779" s="84"/>
      <c r="W1779" s="84"/>
      <c r="X1779" s="84"/>
    </row>
    <row r="1780" spans="5:24" x14ac:dyDescent="0.2"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  <c r="S1780" s="84"/>
      <c r="T1780" s="84"/>
      <c r="U1780" s="84"/>
      <c r="V1780" s="84"/>
      <c r="W1780" s="84"/>
      <c r="X1780" s="84"/>
    </row>
    <row r="1781" spans="5:24" x14ac:dyDescent="0.2"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  <c r="S1781" s="84"/>
      <c r="T1781" s="84"/>
      <c r="U1781" s="84"/>
      <c r="V1781" s="84"/>
      <c r="W1781" s="84"/>
      <c r="X1781" s="84"/>
    </row>
    <row r="1782" spans="5:24" x14ac:dyDescent="0.2"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  <c r="S1782" s="84"/>
      <c r="T1782" s="84"/>
      <c r="U1782" s="84"/>
      <c r="V1782" s="84"/>
      <c r="W1782" s="84"/>
      <c r="X1782" s="84"/>
    </row>
    <row r="1783" spans="5:24" x14ac:dyDescent="0.2"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  <c r="S1783" s="84"/>
      <c r="T1783" s="84"/>
      <c r="U1783" s="84"/>
      <c r="V1783" s="84"/>
      <c r="W1783" s="84"/>
      <c r="X1783" s="84"/>
    </row>
    <row r="1784" spans="5:24" x14ac:dyDescent="0.2"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  <c r="S1784" s="84"/>
      <c r="T1784" s="84"/>
      <c r="U1784" s="84"/>
      <c r="V1784" s="84"/>
      <c r="W1784" s="84"/>
      <c r="X1784" s="84"/>
    </row>
    <row r="1785" spans="5:24" x14ac:dyDescent="0.2"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  <c r="S1785" s="84"/>
      <c r="T1785" s="84"/>
      <c r="U1785" s="84"/>
      <c r="V1785" s="84"/>
      <c r="W1785" s="84"/>
      <c r="X1785" s="84"/>
    </row>
    <row r="1786" spans="5:24" x14ac:dyDescent="0.2"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  <c r="S1786" s="84"/>
      <c r="T1786" s="84"/>
      <c r="U1786" s="84"/>
      <c r="V1786" s="84"/>
      <c r="W1786" s="84"/>
      <c r="X1786" s="84"/>
    </row>
    <row r="1787" spans="5:24" x14ac:dyDescent="0.2"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  <c r="S1787" s="84"/>
      <c r="T1787" s="84"/>
      <c r="U1787" s="84"/>
      <c r="V1787" s="84"/>
      <c r="W1787" s="84"/>
      <c r="X1787" s="84"/>
    </row>
    <row r="1788" spans="5:24" x14ac:dyDescent="0.2"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  <c r="S1788" s="84"/>
      <c r="T1788" s="84"/>
      <c r="U1788" s="84"/>
      <c r="V1788" s="84"/>
      <c r="W1788" s="84"/>
      <c r="X1788" s="84"/>
    </row>
    <row r="1789" spans="5:24" x14ac:dyDescent="0.2"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  <c r="S1789" s="84"/>
      <c r="T1789" s="84"/>
      <c r="U1789" s="84"/>
      <c r="V1789" s="84"/>
      <c r="W1789" s="84"/>
      <c r="X1789" s="84"/>
    </row>
    <row r="1790" spans="5:24" x14ac:dyDescent="0.2"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  <c r="S1790" s="84"/>
      <c r="T1790" s="84"/>
      <c r="U1790" s="84"/>
      <c r="V1790" s="84"/>
      <c r="W1790" s="84"/>
      <c r="X1790" s="84"/>
    </row>
    <row r="1791" spans="5:24" x14ac:dyDescent="0.2">
      <c r="E1791" s="84"/>
      <c r="F1791" s="84"/>
      <c r="G1791" s="84"/>
      <c r="H1791" s="84"/>
      <c r="I1791" s="84"/>
      <c r="J1791" s="84"/>
      <c r="K1791" s="84"/>
      <c r="L1791" s="84"/>
      <c r="M1791" s="84"/>
      <c r="N1791" s="84"/>
      <c r="O1791" s="84"/>
      <c r="P1791" s="84"/>
      <c r="Q1791" s="84"/>
      <c r="R1791" s="84"/>
      <c r="S1791" s="84"/>
      <c r="T1791" s="84"/>
      <c r="U1791" s="84"/>
      <c r="V1791" s="84"/>
      <c r="W1791" s="84"/>
      <c r="X1791" s="84"/>
    </row>
    <row r="1792" spans="5:24" x14ac:dyDescent="0.2">
      <c r="E1792" s="84"/>
      <c r="F1792" s="84"/>
      <c r="G1792" s="84"/>
      <c r="H1792" s="84"/>
      <c r="I1792" s="84"/>
      <c r="J1792" s="84"/>
      <c r="K1792" s="84"/>
      <c r="L1792" s="84"/>
      <c r="M1792" s="84"/>
      <c r="N1792" s="84"/>
      <c r="O1792" s="84"/>
      <c r="P1792" s="84"/>
      <c r="Q1792" s="84"/>
      <c r="R1792" s="84"/>
      <c r="S1792" s="84"/>
      <c r="T1792" s="84"/>
      <c r="U1792" s="84"/>
      <c r="V1792" s="84"/>
      <c r="W1792" s="84"/>
      <c r="X1792" s="84"/>
    </row>
    <row r="1793" spans="5:24" x14ac:dyDescent="0.2">
      <c r="E1793" s="84"/>
      <c r="F1793" s="84"/>
      <c r="G1793" s="84"/>
      <c r="H1793" s="84"/>
      <c r="I1793" s="84"/>
      <c r="J1793" s="84"/>
      <c r="K1793" s="84"/>
      <c r="L1793" s="84"/>
      <c r="M1793" s="84"/>
      <c r="N1793" s="84"/>
      <c r="O1793" s="84"/>
      <c r="P1793" s="84"/>
      <c r="Q1793" s="84"/>
      <c r="R1793" s="84"/>
      <c r="S1793" s="84"/>
      <c r="T1793" s="84"/>
      <c r="U1793" s="84"/>
      <c r="V1793" s="84"/>
      <c r="W1793" s="84"/>
      <c r="X1793" s="84"/>
    </row>
    <row r="1794" spans="5:24" x14ac:dyDescent="0.2">
      <c r="E1794" s="84"/>
      <c r="F1794" s="84"/>
      <c r="G1794" s="84"/>
      <c r="H1794" s="84"/>
      <c r="I1794" s="84"/>
      <c r="J1794" s="84"/>
      <c r="K1794" s="84"/>
      <c r="L1794" s="84"/>
      <c r="M1794" s="84"/>
      <c r="N1794" s="84"/>
      <c r="O1794" s="84"/>
      <c r="P1794" s="84"/>
      <c r="Q1794" s="84"/>
      <c r="R1794" s="84"/>
      <c r="S1794" s="84"/>
      <c r="T1794" s="84"/>
      <c r="U1794" s="84"/>
      <c r="V1794" s="84"/>
      <c r="W1794" s="84"/>
      <c r="X1794" s="84"/>
    </row>
    <row r="1795" spans="5:24" x14ac:dyDescent="0.2">
      <c r="E1795" s="84"/>
      <c r="F1795" s="84"/>
      <c r="G1795" s="84"/>
      <c r="H1795" s="84"/>
      <c r="I1795" s="84"/>
      <c r="J1795" s="84"/>
      <c r="K1795" s="84"/>
      <c r="L1795" s="84"/>
      <c r="M1795" s="84"/>
      <c r="N1795" s="84"/>
      <c r="O1795" s="84"/>
      <c r="P1795" s="84"/>
      <c r="Q1795" s="84"/>
      <c r="R1795" s="84"/>
      <c r="S1795" s="84"/>
      <c r="T1795" s="84"/>
      <c r="U1795" s="84"/>
      <c r="V1795" s="84"/>
      <c r="W1795" s="84"/>
      <c r="X1795" s="84"/>
    </row>
    <row r="1796" spans="5:24" x14ac:dyDescent="0.2">
      <c r="E1796" s="84"/>
      <c r="F1796" s="84"/>
      <c r="G1796" s="84"/>
      <c r="H1796" s="84"/>
      <c r="I1796" s="84"/>
      <c r="J1796" s="84"/>
      <c r="K1796" s="84"/>
      <c r="L1796" s="84"/>
      <c r="M1796" s="84"/>
      <c r="N1796" s="84"/>
      <c r="O1796" s="84"/>
      <c r="P1796" s="84"/>
      <c r="Q1796" s="84"/>
      <c r="R1796" s="84"/>
      <c r="S1796" s="84"/>
      <c r="T1796" s="84"/>
      <c r="U1796" s="84"/>
      <c r="V1796" s="84"/>
      <c r="W1796" s="84"/>
      <c r="X1796" s="84"/>
    </row>
    <row r="1797" spans="5:24" x14ac:dyDescent="0.2"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  <c r="S1797" s="84"/>
      <c r="T1797" s="84"/>
      <c r="U1797" s="84"/>
      <c r="V1797" s="84"/>
      <c r="W1797" s="84"/>
      <c r="X1797" s="84"/>
    </row>
    <row r="1798" spans="5:24" x14ac:dyDescent="0.2"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  <c r="S1798" s="84"/>
      <c r="T1798" s="84"/>
      <c r="U1798" s="84"/>
      <c r="V1798" s="84"/>
      <c r="W1798" s="84"/>
      <c r="X1798" s="84"/>
    </row>
    <row r="1799" spans="5:24" x14ac:dyDescent="0.2"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  <c r="S1799" s="84"/>
      <c r="T1799" s="84"/>
      <c r="U1799" s="84"/>
      <c r="V1799" s="84"/>
      <c r="W1799" s="84"/>
      <c r="X1799" s="84"/>
    </row>
    <row r="1800" spans="5:24" x14ac:dyDescent="0.2"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  <c r="S1800" s="84"/>
      <c r="T1800" s="84"/>
      <c r="U1800" s="84"/>
      <c r="V1800" s="84"/>
      <c r="W1800" s="84"/>
      <c r="X1800" s="84"/>
    </row>
    <row r="1801" spans="5:24" x14ac:dyDescent="0.2"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  <c r="S1801" s="84"/>
      <c r="T1801" s="84"/>
      <c r="U1801" s="84"/>
      <c r="V1801" s="84"/>
      <c r="W1801" s="84"/>
      <c r="X1801" s="84"/>
    </row>
    <row r="1802" spans="5:24" x14ac:dyDescent="0.2"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  <c r="S1802" s="84"/>
      <c r="T1802" s="84"/>
      <c r="U1802" s="84"/>
      <c r="V1802" s="84"/>
      <c r="W1802" s="84"/>
      <c r="X1802" s="84"/>
    </row>
    <row r="1803" spans="5:24" x14ac:dyDescent="0.2"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  <c r="S1803" s="84"/>
      <c r="T1803" s="84"/>
      <c r="U1803" s="84"/>
      <c r="V1803" s="84"/>
      <c r="W1803" s="84"/>
      <c r="X1803" s="84"/>
    </row>
    <row r="1804" spans="5:24" x14ac:dyDescent="0.2"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  <c r="S1804" s="84"/>
      <c r="T1804" s="84"/>
      <c r="U1804" s="84"/>
      <c r="V1804" s="84"/>
      <c r="W1804" s="84"/>
      <c r="X1804" s="84"/>
    </row>
    <row r="1805" spans="5:24" x14ac:dyDescent="0.2"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  <c r="S1805" s="84"/>
      <c r="T1805" s="84"/>
      <c r="U1805" s="84"/>
      <c r="V1805" s="84"/>
      <c r="W1805" s="84"/>
      <c r="X1805" s="84"/>
    </row>
    <row r="1806" spans="5:24" x14ac:dyDescent="0.2"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  <c r="S1806" s="84"/>
      <c r="T1806" s="84"/>
      <c r="U1806" s="84"/>
      <c r="V1806" s="84"/>
      <c r="W1806" s="84"/>
      <c r="X1806" s="84"/>
    </row>
    <row r="1807" spans="5:24" x14ac:dyDescent="0.2"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  <c r="S1807" s="84"/>
      <c r="T1807" s="84"/>
      <c r="U1807" s="84"/>
      <c r="V1807" s="84"/>
      <c r="W1807" s="84"/>
      <c r="X1807" s="84"/>
    </row>
    <row r="1808" spans="5:24" x14ac:dyDescent="0.2"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  <c r="S1808" s="84"/>
      <c r="T1808" s="84"/>
      <c r="U1808" s="84"/>
      <c r="V1808" s="84"/>
      <c r="W1808" s="84"/>
      <c r="X1808" s="84"/>
    </row>
    <row r="1809" spans="5:24" x14ac:dyDescent="0.2"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  <c r="S1809" s="84"/>
      <c r="T1809" s="84"/>
      <c r="U1809" s="84"/>
      <c r="V1809" s="84"/>
      <c r="W1809" s="84"/>
      <c r="X1809" s="84"/>
    </row>
    <row r="1810" spans="5:24" x14ac:dyDescent="0.2"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  <c r="S1810" s="84"/>
      <c r="T1810" s="84"/>
      <c r="U1810" s="84"/>
      <c r="V1810" s="84"/>
      <c r="W1810" s="84"/>
      <c r="X1810" s="84"/>
    </row>
    <row r="1811" spans="5:24" x14ac:dyDescent="0.2"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  <c r="S1811" s="84"/>
      <c r="T1811" s="84"/>
      <c r="U1811" s="84"/>
      <c r="V1811" s="84"/>
      <c r="W1811" s="84"/>
      <c r="X1811" s="84"/>
    </row>
    <row r="1812" spans="5:24" x14ac:dyDescent="0.2"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  <c r="S1812" s="84"/>
      <c r="T1812" s="84"/>
      <c r="U1812" s="84"/>
      <c r="V1812" s="84"/>
      <c r="W1812" s="84"/>
      <c r="X1812" s="84"/>
    </row>
    <row r="1813" spans="5:24" x14ac:dyDescent="0.2"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  <c r="S1813" s="84"/>
      <c r="T1813" s="84"/>
      <c r="U1813" s="84"/>
      <c r="V1813" s="84"/>
      <c r="W1813" s="84"/>
      <c r="X1813" s="84"/>
    </row>
    <row r="1814" spans="5:24" x14ac:dyDescent="0.2"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  <c r="S1814" s="84"/>
      <c r="T1814" s="84"/>
      <c r="U1814" s="84"/>
      <c r="V1814" s="84"/>
      <c r="W1814" s="84"/>
      <c r="X1814" s="84"/>
    </row>
    <row r="1815" spans="5:24" x14ac:dyDescent="0.2"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  <c r="S1815" s="84"/>
      <c r="T1815" s="84"/>
      <c r="U1815" s="84"/>
      <c r="V1815" s="84"/>
      <c r="W1815" s="84"/>
      <c r="X1815" s="84"/>
    </row>
    <row r="1816" spans="5:24" x14ac:dyDescent="0.2"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  <c r="S1816" s="84"/>
      <c r="T1816" s="84"/>
      <c r="U1816" s="84"/>
      <c r="V1816" s="84"/>
      <c r="W1816" s="84"/>
      <c r="X1816" s="84"/>
    </row>
    <row r="1817" spans="5:24" x14ac:dyDescent="0.2"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  <c r="S1817" s="84"/>
      <c r="T1817" s="84"/>
      <c r="U1817" s="84"/>
      <c r="V1817" s="84"/>
      <c r="W1817" s="84"/>
      <c r="X1817" s="84"/>
    </row>
    <row r="1818" spans="5:24" x14ac:dyDescent="0.2"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  <c r="S1818" s="84"/>
      <c r="T1818" s="84"/>
      <c r="U1818" s="84"/>
      <c r="V1818" s="84"/>
      <c r="W1818" s="84"/>
      <c r="X1818" s="84"/>
    </row>
    <row r="1819" spans="5:24" x14ac:dyDescent="0.2"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  <c r="S1819" s="84"/>
      <c r="T1819" s="84"/>
      <c r="U1819" s="84"/>
      <c r="V1819" s="84"/>
      <c r="W1819" s="84"/>
      <c r="X1819" s="84"/>
    </row>
    <row r="1820" spans="5:24" x14ac:dyDescent="0.2">
      <c r="E1820" s="84"/>
      <c r="F1820" s="84"/>
      <c r="G1820" s="84"/>
      <c r="H1820" s="84"/>
      <c r="I1820" s="84"/>
      <c r="J1820" s="84"/>
      <c r="K1820" s="84"/>
      <c r="L1820" s="84"/>
      <c r="M1820" s="84"/>
      <c r="N1820" s="84"/>
      <c r="O1820" s="84"/>
      <c r="P1820" s="84"/>
      <c r="Q1820" s="84"/>
      <c r="R1820" s="84"/>
      <c r="S1820" s="84"/>
      <c r="T1820" s="84"/>
      <c r="U1820" s="84"/>
      <c r="V1820" s="84"/>
      <c r="W1820" s="84"/>
      <c r="X1820" s="84"/>
    </row>
    <row r="1821" spans="5:24" x14ac:dyDescent="0.2">
      <c r="E1821" s="84"/>
      <c r="F1821" s="84"/>
      <c r="G1821" s="84"/>
      <c r="H1821" s="84"/>
      <c r="I1821" s="84"/>
      <c r="J1821" s="84"/>
      <c r="K1821" s="84"/>
      <c r="L1821" s="84"/>
      <c r="M1821" s="84"/>
      <c r="N1821" s="84"/>
      <c r="O1821" s="84"/>
      <c r="P1821" s="84"/>
      <c r="Q1821" s="84"/>
      <c r="R1821" s="84"/>
      <c r="S1821" s="84"/>
      <c r="T1821" s="84"/>
      <c r="U1821" s="84"/>
      <c r="V1821" s="84"/>
      <c r="W1821" s="84"/>
      <c r="X1821" s="84"/>
    </row>
    <row r="1822" spans="5:24" x14ac:dyDescent="0.2">
      <c r="E1822" s="84"/>
      <c r="F1822" s="84"/>
      <c r="G1822" s="84"/>
      <c r="H1822" s="84"/>
      <c r="I1822" s="84"/>
      <c r="J1822" s="84"/>
      <c r="K1822" s="84"/>
      <c r="L1822" s="84"/>
      <c r="M1822" s="84"/>
      <c r="N1822" s="84"/>
      <c r="O1822" s="84"/>
      <c r="P1822" s="84"/>
      <c r="Q1822" s="84"/>
      <c r="R1822" s="84"/>
      <c r="S1822" s="84"/>
      <c r="T1822" s="84"/>
      <c r="U1822" s="84"/>
      <c r="V1822" s="84"/>
      <c r="W1822" s="84"/>
      <c r="X1822" s="84"/>
    </row>
    <row r="1823" spans="5:24" x14ac:dyDescent="0.2">
      <c r="E1823" s="84"/>
      <c r="F1823" s="84"/>
      <c r="G1823" s="84"/>
      <c r="H1823" s="84"/>
      <c r="I1823" s="84"/>
      <c r="J1823" s="84"/>
      <c r="K1823" s="84"/>
      <c r="L1823" s="84"/>
      <c r="M1823" s="84"/>
      <c r="N1823" s="84"/>
      <c r="O1823" s="84"/>
      <c r="P1823" s="84"/>
      <c r="Q1823" s="84"/>
      <c r="R1823" s="84"/>
      <c r="S1823" s="84"/>
      <c r="T1823" s="84"/>
      <c r="U1823" s="84"/>
      <c r="V1823" s="84"/>
      <c r="W1823" s="84"/>
      <c r="X1823" s="84"/>
    </row>
    <row r="1824" spans="5:24" x14ac:dyDescent="0.2">
      <c r="E1824" s="84"/>
      <c r="F1824" s="84"/>
      <c r="G1824" s="84"/>
      <c r="H1824" s="84"/>
      <c r="I1824" s="84"/>
      <c r="J1824" s="84"/>
      <c r="K1824" s="84"/>
      <c r="L1824" s="84"/>
      <c r="M1824" s="84"/>
      <c r="N1824" s="84"/>
      <c r="O1824" s="84"/>
      <c r="P1824" s="84"/>
      <c r="Q1824" s="84"/>
      <c r="R1824" s="84"/>
      <c r="S1824" s="84"/>
      <c r="T1824" s="84"/>
      <c r="U1824" s="84"/>
      <c r="V1824" s="84"/>
      <c r="W1824" s="84"/>
      <c r="X1824" s="84"/>
    </row>
    <row r="1825" spans="5:24" x14ac:dyDescent="0.2">
      <c r="E1825" s="84"/>
      <c r="F1825" s="84"/>
      <c r="G1825" s="84"/>
      <c r="H1825" s="84"/>
      <c r="I1825" s="84"/>
      <c r="J1825" s="84"/>
      <c r="K1825" s="84"/>
      <c r="L1825" s="84"/>
      <c r="M1825" s="84"/>
      <c r="N1825" s="84"/>
      <c r="O1825" s="84"/>
      <c r="P1825" s="84"/>
      <c r="Q1825" s="84"/>
      <c r="R1825" s="84"/>
      <c r="S1825" s="84"/>
      <c r="T1825" s="84"/>
      <c r="U1825" s="84"/>
      <c r="V1825" s="84"/>
      <c r="W1825" s="84"/>
      <c r="X1825" s="84"/>
    </row>
    <row r="1826" spans="5:24" x14ac:dyDescent="0.2">
      <c r="E1826" s="84"/>
      <c r="F1826" s="84"/>
      <c r="G1826" s="84"/>
      <c r="H1826" s="84"/>
      <c r="I1826" s="84"/>
      <c r="J1826" s="84"/>
      <c r="K1826" s="84"/>
      <c r="L1826" s="84"/>
      <c r="M1826" s="84"/>
      <c r="N1826" s="84"/>
      <c r="O1826" s="84"/>
      <c r="P1826" s="84"/>
      <c r="Q1826" s="84"/>
      <c r="R1826" s="84"/>
      <c r="S1826" s="84"/>
      <c r="T1826" s="84"/>
      <c r="U1826" s="84"/>
      <c r="V1826" s="84"/>
      <c r="W1826" s="84"/>
      <c r="X1826" s="84"/>
    </row>
    <row r="1827" spans="5:24" x14ac:dyDescent="0.2"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  <c r="S1827" s="84"/>
      <c r="T1827" s="84"/>
      <c r="U1827" s="84"/>
      <c r="V1827" s="84"/>
      <c r="W1827" s="84"/>
      <c r="X1827" s="84"/>
    </row>
    <row r="1828" spans="5:24" x14ac:dyDescent="0.2"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  <c r="S1828" s="84"/>
      <c r="T1828" s="84"/>
      <c r="U1828" s="84"/>
      <c r="V1828" s="84"/>
      <c r="W1828" s="84"/>
      <c r="X1828" s="84"/>
    </row>
    <row r="1829" spans="5:24" x14ac:dyDescent="0.2"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  <c r="S1829" s="84"/>
      <c r="T1829" s="84"/>
      <c r="U1829" s="84"/>
      <c r="V1829" s="84"/>
      <c r="W1829" s="84"/>
      <c r="X1829" s="84"/>
    </row>
    <row r="1830" spans="5:24" x14ac:dyDescent="0.2"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  <c r="S1830" s="84"/>
      <c r="T1830" s="84"/>
      <c r="U1830" s="84"/>
      <c r="V1830" s="84"/>
      <c r="W1830" s="84"/>
      <c r="X1830" s="84"/>
    </row>
    <row r="1831" spans="5:24" x14ac:dyDescent="0.2"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  <c r="S1831" s="84"/>
      <c r="T1831" s="84"/>
      <c r="U1831" s="84"/>
      <c r="V1831" s="84"/>
      <c r="W1831" s="84"/>
      <c r="X1831" s="84"/>
    </row>
    <row r="1832" spans="5:24" x14ac:dyDescent="0.2"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  <c r="S1832" s="84"/>
      <c r="T1832" s="84"/>
      <c r="U1832" s="84"/>
      <c r="V1832" s="84"/>
      <c r="W1832" s="84"/>
      <c r="X1832" s="84"/>
    </row>
    <row r="1833" spans="5:24" x14ac:dyDescent="0.2"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  <c r="S1833" s="84"/>
      <c r="T1833" s="84"/>
      <c r="U1833" s="84"/>
      <c r="V1833" s="84"/>
      <c r="W1833" s="84"/>
      <c r="X1833" s="84"/>
    </row>
    <row r="1834" spans="5:24" x14ac:dyDescent="0.2"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  <c r="S1834" s="84"/>
      <c r="T1834" s="84"/>
      <c r="U1834" s="84"/>
      <c r="V1834" s="84"/>
      <c r="W1834" s="84"/>
      <c r="X1834" s="84"/>
    </row>
    <row r="1835" spans="5:24" x14ac:dyDescent="0.2"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  <c r="S1835" s="84"/>
      <c r="T1835" s="84"/>
      <c r="U1835" s="84"/>
      <c r="V1835" s="84"/>
      <c r="W1835" s="84"/>
      <c r="X1835" s="84"/>
    </row>
    <row r="1836" spans="5:24" x14ac:dyDescent="0.2"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  <c r="S1836" s="84"/>
      <c r="T1836" s="84"/>
      <c r="U1836" s="84"/>
      <c r="V1836" s="84"/>
      <c r="W1836" s="84"/>
      <c r="X1836" s="84"/>
    </row>
    <row r="1837" spans="5:24" x14ac:dyDescent="0.2"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  <c r="S1837" s="84"/>
      <c r="T1837" s="84"/>
      <c r="U1837" s="84"/>
      <c r="V1837" s="84"/>
      <c r="W1837" s="84"/>
      <c r="X1837" s="84"/>
    </row>
    <row r="1838" spans="5:24" x14ac:dyDescent="0.2"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  <c r="S1838" s="84"/>
      <c r="T1838" s="84"/>
      <c r="U1838" s="84"/>
      <c r="V1838" s="84"/>
      <c r="W1838" s="84"/>
      <c r="X1838" s="84"/>
    </row>
    <row r="1839" spans="5:24" x14ac:dyDescent="0.2"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  <c r="R1839" s="84"/>
      <c r="S1839" s="84"/>
      <c r="T1839" s="84"/>
      <c r="U1839" s="84"/>
      <c r="V1839" s="84"/>
      <c r="W1839" s="84"/>
      <c r="X1839" s="84"/>
    </row>
    <row r="1840" spans="5:24" x14ac:dyDescent="0.2"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  <c r="R1840" s="84"/>
      <c r="S1840" s="84"/>
      <c r="T1840" s="84"/>
      <c r="U1840" s="84"/>
      <c r="V1840" s="84"/>
      <c r="W1840" s="84"/>
      <c r="X1840" s="84"/>
    </row>
    <row r="1841" spans="5:24" x14ac:dyDescent="0.2"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  <c r="R1841" s="84"/>
      <c r="S1841" s="84"/>
      <c r="T1841" s="84"/>
      <c r="U1841" s="84"/>
      <c r="V1841" s="84"/>
      <c r="W1841" s="84"/>
      <c r="X1841" s="84"/>
    </row>
    <row r="1842" spans="5:24" x14ac:dyDescent="0.2"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  <c r="R1842" s="84"/>
      <c r="S1842" s="84"/>
      <c r="T1842" s="84"/>
      <c r="U1842" s="84"/>
      <c r="V1842" s="84"/>
      <c r="W1842" s="84"/>
      <c r="X1842" s="84"/>
    </row>
    <row r="1843" spans="5:24" x14ac:dyDescent="0.2"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  <c r="S1843" s="84"/>
      <c r="T1843" s="84"/>
      <c r="U1843" s="84"/>
      <c r="V1843" s="84"/>
      <c r="W1843" s="84"/>
      <c r="X1843" s="84"/>
    </row>
    <row r="1844" spans="5:24" x14ac:dyDescent="0.2"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  <c r="S1844" s="84"/>
      <c r="T1844" s="84"/>
      <c r="U1844" s="84"/>
      <c r="V1844" s="84"/>
      <c r="W1844" s="84"/>
      <c r="X1844" s="84"/>
    </row>
    <row r="1845" spans="5:24" x14ac:dyDescent="0.2"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  <c r="S1845" s="84"/>
      <c r="T1845" s="84"/>
      <c r="U1845" s="84"/>
      <c r="V1845" s="84"/>
      <c r="W1845" s="84"/>
      <c r="X1845" s="84"/>
    </row>
    <row r="1846" spans="5:24" x14ac:dyDescent="0.2"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  <c r="S1846" s="84"/>
      <c r="T1846" s="84"/>
      <c r="U1846" s="84"/>
      <c r="V1846" s="84"/>
      <c r="W1846" s="84"/>
      <c r="X1846" s="84"/>
    </row>
    <row r="1847" spans="5:24" x14ac:dyDescent="0.2"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  <c r="S1847" s="84"/>
      <c r="T1847" s="84"/>
      <c r="U1847" s="84"/>
      <c r="V1847" s="84"/>
      <c r="W1847" s="84"/>
      <c r="X1847" s="84"/>
    </row>
    <row r="1848" spans="5:24" x14ac:dyDescent="0.2"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  <c r="S1848" s="84"/>
      <c r="T1848" s="84"/>
      <c r="U1848" s="84"/>
      <c r="V1848" s="84"/>
      <c r="W1848" s="84"/>
      <c r="X1848" s="84"/>
    </row>
    <row r="1849" spans="5:24" x14ac:dyDescent="0.2"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  <c r="S1849" s="84"/>
      <c r="T1849" s="84"/>
      <c r="U1849" s="84"/>
      <c r="V1849" s="84"/>
      <c r="W1849" s="84"/>
      <c r="X1849" s="84"/>
    </row>
    <row r="1850" spans="5:24" x14ac:dyDescent="0.2"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  <c r="S1850" s="84"/>
      <c r="T1850" s="84"/>
      <c r="U1850" s="84"/>
      <c r="V1850" s="84"/>
      <c r="W1850" s="84"/>
      <c r="X1850" s="84"/>
    </row>
    <row r="1851" spans="5:24" x14ac:dyDescent="0.2"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  <c r="S1851" s="84"/>
      <c r="T1851" s="84"/>
      <c r="U1851" s="84"/>
      <c r="V1851" s="84"/>
      <c r="W1851" s="84"/>
      <c r="X1851" s="84"/>
    </row>
    <row r="1852" spans="5:24" x14ac:dyDescent="0.2"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  <c r="S1852" s="84"/>
      <c r="T1852" s="84"/>
      <c r="U1852" s="84"/>
      <c r="V1852" s="84"/>
      <c r="W1852" s="84"/>
      <c r="X1852" s="84"/>
    </row>
    <row r="1853" spans="5:24" x14ac:dyDescent="0.2"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  <c r="S1853" s="84"/>
      <c r="T1853" s="84"/>
      <c r="U1853" s="84"/>
      <c r="V1853" s="84"/>
      <c r="W1853" s="84"/>
      <c r="X1853" s="84"/>
    </row>
    <row r="1854" spans="5:24" x14ac:dyDescent="0.2"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  <c r="S1854" s="84"/>
      <c r="T1854" s="84"/>
      <c r="U1854" s="84"/>
      <c r="V1854" s="84"/>
      <c r="W1854" s="84"/>
      <c r="X1854" s="84"/>
    </row>
    <row r="1855" spans="5:24" x14ac:dyDescent="0.2"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  <c r="S1855" s="84"/>
      <c r="T1855" s="84"/>
      <c r="U1855" s="84"/>
      <c r="V1855" s="84"/>
      <c r="W1855" s="84"/>
      <c r="X1855" s="84"/>
    </row>
    <row r="1856" spans="5:24" x14ac:dyDescent="0.2"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  <c r="S1856" s="84"/>
      <c r="T1856" s="84"/>
      <c r="U1856" s="84"/>
      <c r="V1856" s="84"/>
      <c r="W1856" s="84"/>
      <c r="X1856" s="84"/>
    </row>
    <row r="1857" spans="5:24" x14ac:dyDescent="0.2"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  <c r="S1857" s="84"/>
      <c r="T1857" s="84"/>
      <c r="U1857" s="84"/>
      <c r="V1857" s="84"/>
      <c r="W1857" s="84"/>
      <c r="X1857" s="84"/>
    </row>
    <row r="1858" spans="5:24" x14ac:dyDescent="0.2"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  <c r="S1858" s="84"/>
      <c r="T1858" s="84"/>
      <c r="U1858" s="84"/>
      <c r="V1858" s="84"/>
      <c r="W1858" s="84"/>
      <c r="X1858" s="84"/>
    </row>
    <row r="1859" spans="5:24" x14ac:dyDescent="0.2"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  <c r="S1859" s="84"/>
      <c r="T1859" s="84"/>
      <c r="U1859" s="84"/>
      <c r="V1859" s="84"/>
      <c r="W1859" s="84"/>
      <c r="X1859" s="84"/>
    </row>
    <row r="1860" spans="5:24" x14ac:dyDescent="0.2"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  <c r="S1860" s="84"/>
      <c r="T1860" s="84"/>
      <c r="U1860" s="84"/>
      <c r="V1860" s="84"/>
      <c r="W1860" s="84"/>
      <c r="X1860" s="84"/>
    </row>
    <row r="1861" spans="5:24" x14ac:dyDescent="0.2"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  <c r="S1861" s="84"/>
      <c r="T1861" s="84"/>
      <c r="U1861" s="84"/>
      <c r="V1861" s="84"/>
      <c r="W1861" s="84"/>
      <c r="X1861" s="84"/>
    </row>
    <row r="1862" spans="5:24" x14ac:dyDescent="0.2"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  <c r="S1862" s="84"/>
      <c r="T1862" s="84"/>
      <c r="U1862" s="84"/>
      <c r="V1862" s="84"/>
      <c r="W1862" s="84"/>
      <c r="X1862" s="84"/>
    </row>
    <row r="1863" spans="5:24" x14ac:dyDescent="0.2"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  <c r="S1863" s="84"/>
      <c r="T1863" s="84"/>
      <c r="U1863" s="84"/>
      <c r="V1863" s="84"/>
      <c r="W1863" s="84"/>
      <c r="X1863" s="84"/>
    </row>
    <row r="1864" spans="5:24" x14ac:dyDescent="0.2"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  <c r="S1864" s="84"/>
      <c r="T1864" s="84"/>
      <c r="U1864" s="84"/>
      <c r="V1864" s="84"/>
      <c r="W1864" s="84"/>
      <c r="X1864" s="84"/>
    </row>
    <row r="1865" spans="5:24" x14ac:dyDescent="0.2"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  <c r="S1865" s="84"/>
      <c r="T1865" s="84"/>
      <c r="U1865" s="84"/>
      <c r="V1865" s="84"/>
      <c r="W1865" s="84"/>
      <c r="X1865" s="84"/>
    </row>
    <row r="1866" spans="5:24" x14ac:dyDescent="0.2"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  <c r="R1866" s="84"/>
      <c r="S1866" s="84"/>
      <c r="T1866" s="84"/>
      <c r="U1866" s="84"/>
      <c r="V1866" s="84"/>
      <c r="W1866" s="84"/>
      <c r="X1866" s="84"/>
    </row>
    <row r="1867" spans="5:24" x14ac:dyDescent="0.2"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  <c r="R1867" s="84"/>
      <c r="S1867" s="84"/>
      <c r="T1867" s="84"/>
      <c r="U1867" s="84"/>
      <c r="V1867" s="84"/>
      <c r="W1867" s="84"/>
      <c r="X1867" s="84"/>
    </row>
    <row r="1868" spans="5:24" x14ac:dyDescent="0.2"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  <c r="R1868" s="84"/>
      <c r="S1868" s="84"/>
      <c r="T1868" s="84"/>
      <c r="U1868" s="84"/>
      <c r="V1868" s="84"/>
      <c r="W1868" s="84"/>
      <c r="X1868" s="84"/>
    </row>
    <row r="1869" spans="5:24" x14ac:dyDescent="0.2"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  <c r="R1869" s="84"/>
      <c r="S1869" s="84"/>
      <c r="T1869" s="84"/>
      <c r="U1869" s="84"/>
      <c r="V1869" s="84"/>
      <c r="W1869" s="84"/>
      <c r="X1869" s="84"/>
    </row>
    <row r="1870" spans="5:24" x14ac:dyDescent="0.2"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  <c r="R1870" s="84"/>
      <c r="S1870" s="84"/>
      <c r="T1870" s="84"/>
      <c r="U1870" s="84"/>
      <c r="V1870" s="84"/>
      <c r="W1870" s="84"/>
      <c r="X1870" s="84"/>
    </row>
    <row r="1871" spans="5:24" x14ac:dyDescent="0.2"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  <c r="R1871" s="84"/>
      <c r="S1871" s="84"/>
      <c r="T1871" s="84"/>
      <c r="U1871" s="84"/>
      <c r="V1871" s="84"/>
      <c r="W1871" s="84"/>
      <c r="X1871" s="84"/>
    </row>
    <row r="1872" spans="5:24" x14ac:dyDescent="0.2"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  <c r="R1872" s="84"/>
      <c r="S1872" s="84"/>
      <c r="T1872" s="84"/>
      <c r="U1872" s="84"/>
      <c r="V1872" s="84"/>
      <c r="W1872" s="84"/>
      <c r="X1872" s="84"/>
    </row>
    <row r="1873" spans="5:24" x14ac:dyDescent="0.2"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  <c r="R1873" s="84"/>
      <c r="S1873" s="84"/>
      <c r="T1873" s="84"/>
      <c r="U1873" s="84"/>
      <c r="V1873" s="84"/>
      <c r="W1873" s="84"/>
      <c r="X1873" s="84"/>
    </row>
    <row r="1874" spans="5:24" x14ac:dyDescent="0.2"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  <c r="R1874" s="84"/>
      <c r="S1874" s="84"/>
      <c r="T1874" s="84"/>
      <c r="U1874" s="84"/>
      <c r="V1874" s="84"/>
      <c r="W1874" s="84"/>
      <c r="X1874" s="84"/>
    </row>
    <row r="1875" spans="5:24" x14ac:dyDescent="0.2"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  <c r="S1875" s="84"/>
      <c r="T1875" s="84"/>
      <c r="U1875" s="84"/>
      <c r="V1875" s="84"/>
      <c r="W1875" s="84"/>
      <c r="X1875" s="84"/>
    </row>
    <row r="1876" spans="5:24" x14ac:dyDescent="0.2"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  <c r="S1876" s="84"/>
      <c r="T1876" s="84"/>
      <c r="U1876" s="84"/>
      <c r="V1876" s="84"/>
      <c r="W1876" s="84"/>
      <c r="X1876" s="84"/>
    </row>
    <row r="1877" spans="5:24" x14ac:dyDescent="0.2"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  <c r="S1877" s="84"/>
      <c r="T1877" s="84"/>
      <c r="U1877" s="84"/>
      <c r="V1877" s="84"/>
      <c r="W1877" s="84"/>
      <c r="X1877" s="84"/>
    </row>
    <row r="1878" spans="5:24" x14ac:dyDescent="0.2"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  <c r="S1878" s="84"/>
      <c r="T1878" s="84"/>
      <c r="U1878" s="84"/>
      <c r="V1878" s="84"/>
      <c r="W1878" s="84"/>
      <c r="X1878" s="84"/>
    </row>
    <row r="1879" spans="5:24" x14ac:dyDescent="0.2"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  <c r="S1879" s="84"/>
      <c r="T1879" s="84"/>
      <c r="U1879" s="84"/>
      <c r="V1879" s="84"/>
      <c r="W1879" s="84"/>
      <c r="X1879" s="84"/>
    </row>
    <row r="1880" spans="5:24" x14ac:dyDescent="0.2"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  <c r="S1880" s="84"/>
      <c r="T1880" s="84"/>
      <c r="U1880" s="84"/>
      <c r="V1880" s="84"/>
      <c r="W1880" s="84"/>
      <c r="X1880" s="84"/>
    </row>
    <row r="1881" spans="5:24" x14ac:dyDescent="0.2"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  <c r="S1881" s="84"/>
      <c r="T1881" s="84"/>
      <c r="U1881" s="84"/>
      <c r="V1881" s="84"/>
      <c r="W1881" s="84"/>
      <c r="X1881" s="84"/>
    </row>
    <row r="1882" spans="5:24" x14ac:dyDescent="0.2"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  <c r="S1882" s="84"/>
      <c r="T1882" s="84"/>
      <c r="U1882" s="84"/>
      <c r="V1882" s="84"/>
      <c r="W1882" s="84"/>
      <c r="X1882" s="84"/>
    </row>
    <row r="1883" spans="5:24" x14ac:dyDescent="0.2"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  <c r="S1883" s="84"/>
      <c r="T1883" s="84"/>
      <c r="U1883" s="84"/>
      <c r="V1883" s="84"/>
      <c r="W1883" s="84"/>
      <c r="X1883" s="84"/>
    </row>
    <row r="1884" spans="5:24" x14ac:dyDescent="0.2"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  <c r="S1884" s="84"/>
      <c r="T1884" s="84"/>
      <c r="U1884" s="84"/>
      <c r="V1884" s="84"/>
      <c r="W1884" s="84"/>
      <c r="X1884" s="84"/>
    </row>
    <row r="1885" spans="5:24" x14ac:dyDescent="0.2"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  <c r="S1885" s="84"/>
      <c r="T1885" s="84"/>
      <c r="U1885" s="84"/>
      <c r="V1885" s="84"/>
      <c r="W1885" s="84"/>
      <c r="X1885" s="84"/>
    </row>
    <row r="1886" spans="5:24" x14ac:dyDescent="0.2"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  <c r="S1886" s="84"/>
      <c r="T1886" s="84"/>
      <c r="U1886" s="84"/>
      <c r="V1886" s="84"/>
      <c r="W1886" s="84"/>
      <c r="X1886" s="84"/>
    </row>
    <row r="1887" spans="5:24" x14ac:dyDescent="0.2">
      <c r="E1887" s="84"/>
      <c r="F1887" s="84"/>
      <c r="G1887" s="84"/>
      <c r="H1887" s="84"/>
      <c r="I1887" s="84"/>
      <c r="J1887" s="84"/>
      <c r="K1887" s="84"/>
      <c r="L1887" s="84"/>
      <c r="M1887" s="84"/>
      <c r="N1887" s="84"/>
      <c r="O1887" s="84"/>
      <c r="P1887" s="84"/>
      <c r="Q1887" s="84"/>
      <c r="R1887" s="84"/>
      <c r="S1887" s="84"/>
      <c r="T1887" s="84"/>
      <c r="U1887" s="84"/>
      <c r="V1887" s="84"/>
      <c r="W1887" s="84"/>
      <c r="X1887" s="84"/>
    </row>
    <row r="1888" spans="5:24" x14ac:dyDescent="0.2">
      <c r="E1888" s="84"/>
      <c r="F1888" s="84"/>
      <c r="G1888" s="84"/>
      <c r="H1888" s="84"/>
      <c r="I1888" s="84"/>
      <c r="J1888" s="84"/>
      <c r="K1888" s="84"/>
      <c r="L1888" s="84"/>
      <c r="M1888" s="84"/>
      <c r="N1888" s="84"/>
      <c r="O1888" s="84"/>
      <c r="P1888" s="84"/>
      <c r="Q1888" s="84"/>
      <c r="R1888" s="84"/>
      <c r="S1888" s="84"/>
      <c r="T1888" s="84"/>
      <c r="U1888" s="84"/>
      <c r="V1888" s="84"/>
      <c r="W1888" s="84"/>
      <c r="X1888" s="84"/>
    </row>
    <row r="1889" spans="5:24" x14ac:dyDescent="0.2"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  <c r="S1889" s="84"/>
      <c r="T1889" s="84"/>
      <c r="U1889" s="84"/>
      <c r="V1889" s="84"/>
      <c r="W1889" s="84"/>
      <c r="X1889" s="84"/>
    </row>
    <row r="1890" spans="5:24" x14ac:dyDescent="0.2"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  <c r="S1890" s="84"/>
      <c r="T1890" s="84"/>
      <c r="U1890" s="84"/>
      <c r="V1890" s="84"/>
      <c r="W1890" s="84"/>
      <c r="X1890" s="84"/>
    </row>
    <row r="1891" spans="5:24" x14ac:dyDescent="0.2"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  <c r="S1891" s="84"/>
      <c r="T1891" s="84"/>
      <c r="U1891" s="84"/>
      <c r="V1891" s="84"/>
      <c r="W1891" s="84"/>
      <c r="X1891" s="84"/>
    </row>
    <row r="1892" spans="5:24" x14ac:dyDescent="0.2"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  <c r="S1892" s="84"/>
      <c r="T1892" s="84"/>
      <c r="U1892" s="84"/>
      <c r="V1892" s="84"/>
      <c r="W1892" s="84"/>
      <c r="X1892" s="84"/>
    </row>
    <row r="1893" spans="5:24" x14ac:dyDescent="0.2"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  <c r="S1893" s="84"/>
      <c r="T1893" s="84"/>
      <c r="U1893" s="84"/>
      <c r="V1893" s="84"/>
      <c r="W1893" s="84"/>
      <c r="X1893" s="84"/>
    </row>
    <row r="1894" spans="5:24" x14ac:dyDescent="0.2"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  <c r="S1894" s="84"/>
      <c r="T1894" s="84"/>
      <c r="U1894" s="84"/>
      <c r="V1894" s="84"/>
      <c r="W1894" s="84"/>
      <c r="X1894" s="84"/>
    </row>
    <row r="1895" spans="5:24" x14ac:dyDescent="0.2"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  <c r="S1895" s="84"/>
      <c r="T1895" s="84"/>
      <c r="U1895" s="84"/>
      <c r="V1895" s="84"/>
      <c r="W1895" s="84"/>
      <c r="X1895" s="84"/>
    </row>
    <row r="1896" spans="5:24" x14ac:dyDescent="0.2"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  <c r="S1896" s="84"/>
      <c r="T1896" s="84"/>
      <c r="U1896" s="84"/>
      <c r="V1896" s="84"/>
      <c r="W1896" s="84"/>
      <c r="X1896" s="84"/>
    </row>
    <row r="1897" spans="5:24" x14ac:dyDescent="0.2"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  <c r="S1897" s="84"/>
      <c r="T1897" s="84"/>
      <c r="U1897" s="84"/>
      <c r="V1897" s="84"/>
      <c r="W1897" s="84"/>
      <c r="X1897" s="84"/>
    </row>
    <row r="1898" spans="5:24" x14ac:dyDescent="0.2"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  <c r="S1898" s="84"/>
      <c r="T1898" s="84"/>
      <c r="U1898" s="84"/>
      <c r="V1898" s="84"/>
      <c r="W1898" s="84"/>
      <c r="X1898" s="84"/>
    </row>
    <row r="1899" spans="5:24" x14ac:dyDescent="0.2"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  <c r="S1899" s="84"/>
      <c r="T1899" s="84"/>
      <c r="U1899" s="84"/>
      <c r="V1899" s="84"/>
      <c r="W1899" s="84"/>
      <c r="X1899" s="84"/>
    </row>
    <row r="1900" spans="5:24" x14ac:dyDescent="0.2"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  <c r="S1900" s="84"/>
      <c r="T1900" s="84"/>
      <c r="U1900" s="84"/>
      <c r="V1900" s="84"/>
      <c r="W1900" s="84"/>
      <c r="X1900" s="84"/>
    </row>
    <row r="1901" spans="5:24" x14ac:dyDescent="0.2"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  <c r="S1901" s="84"/>
      <c r="T1901" s="84"/>
      <c r="U1901" s="84"/>
      <c r="V1901" s="84"/>
      <c r="W1901" s="84"/>
      <c r="X1901" s="84"/>
    </row>
    <row r="1902" spans="5:24" x14ac:dyDescent="0.2"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  <c r="S1902" s="84"/>
      <c r="T1902" s="84"/>
      <c r="U1902" s="84"/>
      <c r="V1902" s="84"/>
      <c r="W1902" s="84"/>
      <c r="X1902" s="84"/>
    </row>
    <row r="1903" spans="5:24" x14ac:dyDescent="0.2"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  <c r="S1903" s="84"/>
      <c r="T1903" s="84"/>
      <c r="U1903" s="84"/>
      <c r="V1903" s="84"/>
      <c r="W1903" s="84"/>
      <c r="X1903" s="84"/>
    </row>
    <row r="1904" spans="5:24" x14ac:dyDescent="0.2"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  <c r="S1904" s="84"/>
      <c r="T1904" s="84"/>
      <c r="U1904" s="84"/>
      <c r="V1904" s="84"/>
      <c r="W1904" s="84"/>
      <c r="X1904" s="84"/>
    </row>
    <row r="1905" spans="5:24" x14ac:dyDescent="0.2"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  <c r="S1905" s="84"/>
      <c r="T1905" s="84"/>
      <c r="U1905" s="84"/>
      <c r="V1905" s="84"/>
      <c r="W1905" s="84"/>
      <c r="X1905" s="84"/>
    </row>
    <row r="1906" spans="5:24" x14ac:dyDescent="0.2"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  <c r="S1906" s="84"/>
      <c r="T1906" s="84"/>
      <c r="U1906" s="84"/>
      <c r="V1906" s="84"/>
      <c r="W1906" s="84"/>
      <c r="X1906" s="84"/>
    </row>
    <row r="1907" spans="5:24" x14ac:dyDescent="0.2"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  <c r="S1907" s="84"/>
      <c r="T1907" s="84"/>
      <c r="U1907" s="84"/>
      <c r="V1907" s="84"/>
      <c r="W1907" s="84"/>
      <c r="X1907" s="84"/>
    </row>
    <row r="1908" spans="5:24" x14ac:dyDescent="0.2"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  <c r="S1908" s="84"/>
      <c r="T1908" s="84"/>
      <c r="U1908" s="84"/>
      <c r="V1908" s="84"/>
      <c r="W1908" s="84"/>
      <c r="X1908" s="84"/>
    </row>
    <row r="1909" spans="5:24" x14ac:dyDescent="0.2"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  <c r="S1909" s="84"/>
      <c r="T1909" s="84"/>
      <c r="U1909" s="84"/>
      <c r="V1909" s="84"/>
      <c r="W1909" s="84"/>
      <c r="X1909" s="84"/>
    </row>
    <row r="1910" spans="5:24" x14ac:dyDescent="0.2"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  <c r="S1910" s="84"/>
      <c r="T1910" s="84"/>
      <c r="U1910" s="84"/>
      <c r="V1910" s="84"/>
      <c r="W1910" s="84"/>
      <c r="X1910" s="84"/>
    </row>
    <row r="1911" spans="5:24" x14ac:dyDescent="0.2"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  <c r="S1911" s="84"/>
      <c r="T1911" s="84"/>
      <c r="U1911" s="84"/>
      <c r="V1911" s="84"/>
      <c r="W1911" s="84"/>
      <c r="X1911" s="84"/>
    </row>
    <row r="1912" spans="5:24" x14ac:dyDescent="0.2">
      <c r="E1912" s="84"/>
      <c r="F1912" s="84"/>
      <c r="G1912" s="84"/>
      <c r="H1912" s="84"/>
      <c r="I1912" s="84"/>
      <c r="J1912" s="84"/>
      <c r="K1912" s="84"/>
      <c r="L1912" s="84"/>
      <c r="M1912" s="84"/>
      <c r="N1912" s="84"/>
      <c r="O1912" s="84"/>
      <c r="P1912" s="84"/>
      <c r="Q1912" s="84"/>
      <c r="R1912" s="84"/>
      <c r="S1912" s="84"/>
      <c r="T1912" s="84"/>
      <c r="U1912" s="84"/>
      <c r="V1912" s="84"/>
      <c r="W1912" s="84"/>
      <c r="X1912" s="84"/>
    </row>
    <row r="1913" spans="5:24" x14ac:dyDescent="0.2">
      <c r="E1913" s="84"/>
      <c r="F1913" s="84"/>
      <c r="G1913" s="84"/>
      <c r="H1913" s="84"/>
      <c r="I1913" s="84"/>
      <c r="J1913" s="84"/>
      <c r="K1913" s="84"/>
      <c r="L1913" s="84"/>
      <c r="M1913" s="84"/>
      <c r="N1913" s="84"/>
      <c r="O1913" s="84"/>
      <c r="P1913" s="84"/>
      <c r="Q1913" s="84"/>
      <c r="R1913" s="84"/>
      <c r="S1913" s="84"/>
      <c r="T1913" s="84"/>
      <c r="U1913" s="84"/>
      <c r="V1913" s="84"/>
      <c r="W1913" s="84"/>
      <c r="X1913" s="84"/>
    </row>
    <row r="1914" spans="5:24" x14ac:dyDescent="0.2">
      <c r="E1914" s="84"/>
      <c r="F1914" s="84"/>
      <c r="G1914" s="84"/>
      <c r="H1914" s="84"/>
      <c r="I1914" s="84"/>
      <c r="J1914" s="84"/>
      <c r="K1914" s="84"/>
      <c r="L1914" s="84"/>
      <c r="M1914" s="84"/>
      <c r="N1914" s="84"/>
      <c r="O1914" s="84"/>
      <c r="P1914" s="84"/>
      <c r="Q1914" s="84"/>
      <c r="R1914" s="84"/>
      <c r="S1914" s="84"/>
      <c r="T1914" s="84"/>
      <c r="U1914" s="84"/>
      <c r="V1914" s="84"/>
      <c r="W1914" s="84"/>
      <c r="X1914" s="84"/>
    </row>
    <row r="1915" spans="5:24" x14ac:dyDescent="0.2">
      <c r="E1915" s="84"/>
      <c r="F1915" s="84"/>
      <c r="G1915" s="84"/>
      <c r="H1915" s="84"/>
      <c r="I1915" s="84"/>
      <c r="J1915" s="84"/>
      <c r="K1915" s="84"/>
      <c r="L1915" s="84"/>
      <c r="M1915" s="84"/>
      <c r="N1915" s="84"/>
      <c r="O1915" s="84"/>
      <c r="P1915" s="84"/>
      <c r="Q1915" s="84"/>
      <c r="R1915" s="84"/>
      <c r="S1915" s="84"/>
      <c r="T1915" s="84"/>
      <c r="U1915" s="84"/>
      <c r="V1915" s="84"/>
      <c r="W1915" s="84"/>
      <c r="X1915" s="84"/>
    </row>
    <row r="1916" spans="5:24" x14ac:dyDescent="0.2">
      <c r="E1916" s="84"/>
      <c r="F1916" s="84"/>
      <c r="G1916" s="84"/>
      <c r="H1916" s="84"/>
      <c r="I1916" s="84"/>
      <c r="J1916" s="84"/>
      <c r="K1916" s="84"/>
      <c r="L1916" s="84"/>
      <c r="M1916" s="84"/>
      <c r="N1916" s="84"/>
      <c r="O1916" s="84"/>
      <c r="P1916" s="84"/>
      <c r="Q1916" s="84"/>
      <c r="R1916" s="84"/>
      <c r="S1916" s="84"/>
      <c r="T1916" s="84"/>
      <c r="U1916" s="84"/>
      <c r="V1916" s="84"/>
      <c r="W1916" s="84"/>
      <c r="X1916" s="84"/>
    </row>
    <row r="1917" spans="5:24" x14ac:dyDescent="0.2">
      <c r="E1917" s="84"/>
      <c r="F1917" s="84"/>
      <c r="G1917" s="84"/>
      <c r="H1917" s="84"/>
      <c r="I1917" s="84"/>
      <c r="J1917" s="84"/>
      <c r="K1917" s="84"/>
      <c r="L1917" s="84"/>
      <c r="M1917" s="84"/>
      <c r="N1917" s="84"/>
      <c r="O1917" s="84"/>
      <c r="P1917" s="84"/>
      <c r="Q1917" s="84"/>
      <c r="R1917" s="84"/>
      <c r="S1917" s="84"/>
      <c r="T1917" s="84"/>
      <c r="U1917" s="84"/>
      <c r="V1917" s="84"/>
      <c r="W1917" s="84"/>
      <c r="X1917" s="84"/>
    </row>
    <row r="1918" spans="5:24" x14ac:dyDescent="0.2">
      <c r="E1918" s="84"/>
      <c r="F1918" s="84"/>
      <c r="G1918" s="84"/>
      <c r="H1918" s="84"/>
      <c r="I1918" s="84"/>
      <c r="J1918" s="84"/>
      <c r="K1918" s="84"/>
      <c r="L1918" s="84"/>
      <c r="M1918" s="84"/>
      <c r="N1918" s="84"/>
      <c r="O1918" s="84"/>
      <c r="P1918" s="84"/>
      <c r="Q1918" s="84"/>
      <c r="R1918" s="84"/>
      <c r="S1918" s="84"/>
      <c r="T1918" s="84"/>
      <c r="U1918" s="84"/>
      <c r="V1918" s="84"/>
      <c r="W1918" s="84"/>
      <c r="X1918" s="84"/>
    </row>
    <row r="1919" spans="5:24" x14ac:dyDescent="0.2">
      <c r="E1919" s="84"/>
      <c r="F1919" s="84"/>
      <c r="G1919" s="84"/>
      <c r="H1919" s="84"/>
      <c r="I1919" s="84"/>
      <c r="J1919" s="84"/>
      <c r="K1919" s="84"/>
      <c r="L1919" s="84"/>
      <c r="M1919" s="84"/>
      <c r="N1919" s="84"/>
      <c r="O1919" s="84"/>
      <c r="P1919" s="84"/>
      <c r="Q1919" s="84"/>
      <c r="R1919" s="84"/>
      <c r="S1919" s="84"/>
      <c r="T1919" s="84"/>
      <c r="U1919" s="84"/>
      <c r="V1919" s="84"/>
      <c r="W1919" s="84"/>
      <c r="X1919" s="84"/>
    </row>
    <row r="1920" spans="5:24" x14ac:dyDescent="0.2">
      <c r="E1920" s="84"/>
      <c r="F1920" s="84"/>
      <c r="G1920" s="84"/>
      <c r="H1920" s="84"/>
      <c r="I1920" s="84"/>
      <c r="J1920" s="84"/>
      <c r="K1920" s="84"/>
      <c r="L1920" s="84"/>
      <c r="M1920" s="84"/>
      <c r="N1920" s="84"/>
      <c r="O1920" s="84"/>
      <c r="P1920" s="84"/>
      <c r="Q1920" s="84"/>
      <c r="R1920" s="84"/>
      <c r="S1920" s="84"/>
      <c r="T1920" s="84"/>
      <c r="U1920" s="84"/>
      <c r="V1920" s="84"/>
      <c r="W1920" s="84"/>
      <c r="X1920" s="84"/>
    </row>
    <row r="1921" spans="5:24" x14ac:dyDescent="0.2">
      <c r="E1921" s="84"/>
      <c r="F1921" s="84"/>
      <c r="G1921" s="84"/>
      <c r="H1921" s="84"/>
      <c r="I1921" s="84"/>
      <c r="J1921" s="84"/>
      <c r="K1921" s="84"/>
      <c r="L1921" s="84"/>
      <c r="M1921" s="84"/>
      <c r="N1921" s="84"/>
      <c r="O1921" s="84"/>
      <c r="P1921" s="84"/>
      <c r="Q1921" s="84"/>
      <c r="R1921" s="84"/>
      <c r="S1921" s="84"/>
      <c r="T1921" s="84"/>
      <c r="U1921" s="84"/>
      <c r="V1921" s="84"/>
      <c r="W1921" s="84"/>
      <c r="X1921" s="84"/>
    </row>
    <row r="1922" spans="5:24" x14ac:dyDescent="0.2">
      <c r="E1922" s="84"/>
      <c r="F1922" s="84"/>
      <c r="G1922" s="84"/>
      <c r="H1922" s="84"/>
      <c r="I1922" s="84"/>
      <c r="J1922" s="84"/>
      <c r="K1922" s="84"/>
      <c r="L1922" s="84"/>
      <c r="M1922" s="84"/>
      <c r="N1922" s="84"/>
      <c r="O1922" s="84"/>
      <c r="P1922" s="84"/>
      <c r="Q1922" s="84"/>
      <c r="R1922" s="84"/>
      <c r="S1922" s="84"/>
      <c r="T1922" s="84"/>
      <c r="U1922" s="84"/>
      <c r="V1922" s="84"/>
      <c r="W1922" s="84"/>
      <c r="X1922" s="84"/>
    </row>
    <row r="1923" spans="5:24" x14ac:dyDescent="0.2"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  <c r="S1923" s="84"/>
      <c r="T1923" s="84"/>
      <c r="U1923" s="84"/>
      <c r="V1923" s="84"/>
      <c r="W1923" s="84"/>
      <c r="X1923" s="84"/>
    </row>
    <row r="1924" spans="5:24" x14ac:dyDescent="0.2"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  <c r="S1924" s="84"/>
      <c r="T1924" s="84"/>
      <c r="U1924" s="84"/>
      <c r="V1924" s="84"/>
      <c r="W1924" s="84"/>
      <c r="X1924" s="84"/>
    </row>
    <row r="1925" spans="5:24" x14ac:dyDescent="0.2"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  <c r="S1925" s="84"/>
      <c r="T1925" s="84"/>
      <c r="U1925" s="84"/>
      <c r="V1925" s="84"/>
      <c r="W1925" s="84"/>
      <c r="X1925" s="84"/>
    </row>
    <row r="1926" spans="5:24" x14ac:dyDescent="0.2"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  <c r="S1926" s="84"/>
      <c r="T1926" s="84"/>
      <c r="U1926" s="84"/>
      <c r="V1926" s="84"/>
      <c r="W1926" s="84"/>
      <c r="X1926" s="84"/>
    </row>
    <row r="1927" spans="5:24" x14ac:dyDescent="0.2"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  <c r="S1927" s="84"/>
      <c r="T1927" s="84"/>
      <c r="U1927" s="84"/>
      <c r="V1927" s="84"/>
      <c r="W1927" s="84"/>
      <c r="X1927" s="84"/>
    </row>
    <row r="1928" spans="5:24" x14ac:dyDescent="0.2"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  <c r="S1928" s="84"/>
      <c r="T1928" s="84"/>
      <c r="U1928" s="84"/>
      <c r="V1928" s="84"/>
      <c r="W1928" s="84"/>
      <c r="X1928" s="84"/>
    </row>
    <row r="1929" spans="5:24" x14ac:dyDescent="0.2"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  <c r="S1929" s="84"/>
      <c r="T1929" s="84"/>
      <c r="U1929" s="84"/>
      <c r="V1929" s="84"/>
      <c r="W1929" s="84"/>
      <c r="X1929" s="84"/>
    </row>
    <row r="1930" spans="5:24" x14ac:dyDescent="0.2"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  <c r="S1930" s="84"/>
      <c r="T1930" s="84"/>
      <c r="U1930" s="84"/>
      <c r="V1930" s="84"/>
      <c r="W1930" s="84"/>
      <c r="X1930" s="84"/>
    </row>
    <row r="1931" spans="5:24" x14ac:dyDescent="0.2"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  <c r="S1931" s="84"/>
      <c r="T1931" s="84"/>
      <c r="U1931" s="84"/>
      <c r="V1931" s="84"/>
      <c r="W1931" s="84"/>
      <c r="X1931" s="84"/>
    </row>
    <row r="1932" spans="5:24" x14ac:dyDescent="0.2"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  <c r="S1932" s="84"/>
      <c r="T1932" s="84"/>
      <c r="U1932" s="84"/>
      <c r="V1932" s="84"/>
      <c r="W1932" s="84"/>
      <c r="X1932" s="84"/>
    </row>
    <row r="1933" spans="5:24" x14ac:dyDescent="0.2"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  <c r="S1933" s="84"/>
      <c r="T1933" s="84"/>
      <c r="U1933" s="84"/>
      <c r="V1933" s="84"/>
      <c r="W1933" s="84"/>
      <c r="X1933" s="84"/>
    </row>
    <row r="1934" spans="5:24" x14ac:dyDescent="0.2"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  <c r="S1934" s="84"/>
      <c r="T1934" s="84"/>
      <c r="U1934" s="84"/>
      <c r="V1934" s="84"/>
      <c r="W1934" s="84"/>
      <c r="X1934" s="84"/>
    </row>
    <row r="1935" spans="5:24" x14ac:dyDescent="0.2"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  <c r="S1935" s="84"/>
      <c r="T1935" s="84"/>
      <c r="U1935" s="84"/>
      <c r="V1935" s="84"/>
      <c r="W1935" s="84"/>
      <c r="X1935" s="84"/>
    </row>
    <row r="1936" spans="5:24" x14ac:dyDescent="0.2"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  <c r="S1936" s="84"/>
      <c r="T1936" s="84"/>
      <c r="U1936" s="84"/>
      <c r="V1936" s="84"/>
      <c r="W1936" s="84"/>
      <c r="X1936" s="84"/>
    </row>
    <row r="1937" spans="5:24" x14ac:dyDescent="0.2"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  <c r="S1937" s="84"/>
      <c r="T1937" s="84"/>
      <c r="U1937" s="84"/>
      <c r="V1937" s="84"/>
      <c r="W1937" s="84"/>
      <c r="X1937" s="84"/>
    </row>
    <row r="1938" spans="5:24" x14ac:dyDescent="0.2"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  <c r="S1938" s="84"/>
      <c r="T1938" s="84"/>
      <c r="U1938" s="84"/>
      <c r="V1938" s="84"/>
      <c r="W1938" s="84"/>
      <c r="X1938" s="84"/>
    </row>
    <row r="1939" spans="5:24" x14ac:dyDescent="0.2"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  <c r="S1939" s="84"/>
      <c r="T1939" s="84"/>
      <c r="U1939" s="84"/>
      <c r="V1939" s="84"/>
      <c r="W1939" s="84"/>
      <c r="X1939" s="84"/>
    </row>
    <row r="1940" spans="5:24" x14ac:dyDescent="0.2"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  <c r="S1940" s="84"/>
      <c r="T1940" s="84"/>
      <c r="U1940" s="84"/>
      <c r="V1940" s="84"/>
      <c r="W1940" s="84"/>
      <c r="X1940" s="84"/>
    </row>
    <row r="1941" spans="5:24" x14ac:dyDescent="0.2"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  <c r="S1941" s="84"/>
      <c r="T1941" s="84"/>
      <c r="U1941" s="84"/>
      <c r="V1941" s="84"/>
      <c r="W1941" s="84"/>
      <c r="X1941" s="84"/>
    </row>
    <row r="1942" spans="5:24" x14ac:dyDescent="0.2"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  <c r="S1942" s="84"/>
      <c r="T1942" s="84"/>
      <c r="U1942" s="84"/>
      <c r="V1942" s="84"/>
      <c r="W1942" s="84"/>
      <c r="X1942" s="84"/>
    </row>
    <row r="1943" spans="5:24" x14ac:dyDescent="0.2"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  <c r="S1943" s="84"/>
      <c r="T1943" s="84"/>
      <c r="U1943" s="84"/>
      <c r="V1943" s="84"/>
      <c r="W1943" s="84"/>
      <c r="X1943" s="84"/>
    </row>
    <row r="1944" spans="5:24" x14ac:dyDescent="0.2"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  <c r="S1944" s="84"/>
      <c r="T1944" s="84"/>
      <c r="U1944" s="84"/>
      <c r="V1944" s="84"/>
      <c r="W1944" s="84"/>
      <c r="X1944" s="84"/>
    </row>
    <row r="1945" spans="5:24" x14ac:dyDescent="0.2"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  <c r="S1945" s="84"/>
      <c r="T1945" s="84"/>
      <c r="U1945" s="84"/>
      <c r="V1945" s="84"/>
      <c r="W1945" s="84"/>
      <c r="X1945" s="84"/>
    </row>
    <row r="1946" spans="5:24" x14ac:dyDescent="0.2"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  <c r="S1946" s="84"/>
      <c r="T1946" s="84"/>
      <c r="U1946" s="84"/>
      <c r="V1946" s="84"/>
      <c r="W1946" s="84"/>
      <c r="X1946" s="84"/>
    </row>
    <row r="1947" spans="5:24" x14ac:dyDescent="0.2"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  <c r="S1947" s="84"/>
      <c r="T1947" s="84"/>
      <c r="U1947" s="84"/>
      <c r="V1947" s="84"/>
      <c r="W1947" s="84"/>
      <c r="X1947" s="84"/>
    </row>
    <row r="1948" spans="5:24" x14ac:dyDescent="0.2"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  <c r="S1948" s="84"/>
      <c r="T1948" s="84"/>
      <c r="U1948" s="84"/>
      <c r="V1948" s="84"/>
      <c r="W1948" s="84"/>
      <c r="X1948" s="84"/>
    </row>
    <row r="1949" spans="5:24" x14ac:dyDescent="0.2"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  <c r="S1949" s="84"/>
      <c r="T1949" s="84"/>
      <c r="U1949" s="84"/>
      <c r="V1949" s="84"/>
      <c r="W1949" s="84"/>
      <c r="X1949" s="84"/>
    </row>
    <row r="1950" spans="5:24" x14ac:dyDescent="0.2"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  <c r="S1950" s="84"/>
      <c r="T1950" s="84"/>
      <c r="U1950" s="84"/>
      <c r="V1950" s="84"/>
      <c r="W1950" s="84"/>
      <c r="X1950" s="84"/>
    </row>
    <row r="1951" spans="5:24" x14ac:dyDescent="0.2"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  <c r="W1951" s="84"/>
      <c r="X1951" s="84"/>
    </row>
    <row r="1952" spans="5:24" x14ac:dyDescent="0.2"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  <c r="S1952" s="84"/>
      <c r="T1952" s="84"/>
      <c r="U1952" s="84"/>
      <c r="V1952" s="84"/>
      <c r="W1952" s="84"/>
      <c r="X1952" s="84"/>
    </row>
    <row r="1953" spans="5:24" x14ac:dyDescent="0.2"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  <c r="S1953" s="84"/>
      <c r="T1953" s="84"/>
      <c r="U1953" s="84"/>
      <c r="V1953" s="84"/>
      <c r="W1953" s="84"/>
      <c r="X1953" s="84"/>
    </row>
    <row r="1954" spans="5:24" x14ac:dyDescent="0.2"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  <c r="S1954" s="84"/>
      <c r="T1954" s="84"/>
      <c r="U1954" s="84"/>
      <c r="V1954" s="84"/>
      <c r="W1954" s="84"/>
      <c r="X1954" s="84"/>
    </row>
    <row r="1955" spans="5:24" x14ac:dyDescent="0.2"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  <c r="S1955" s="84"/>
      <c r="T1955" s="84"/>
      <c r="U1955" s="84"/>
      <c r="V1955" s="84"/>
      <c r="W1955" s="84"/>
      <c r="X1955" s="84"/>
    </row>
    <row r="1956" spans="5:24" x14ac:dyDescent="0.2"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  <c r="S1956" s="84"/>
      <c r="T1956" s="84"/>
      <c r="U1956" s="84"/>
      <c r="V1956" s="84"/>
      <c r="W1956" s="84"/>
      <c r="X1956" s="84"/>
    </row>
    <row r="1957" spans="5:24" x14ac:dyDescent="0.2"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  <c r="S1957" s="84"/>
      <c r="T1957" s="84"/>
      <c r="U1957" s="84"/>
      <c r="V1957" s="84"/>
      <c r="W1957" s="84"/>
      <c r="X1957" s="84"/>
    </row>
    <row r="1958" spans="5:24" x14ac:dyDescent="0.2"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  <c r="S1958" s="84"/>
      <c r="T1958" s="84"/>
      <c r="U1958" s="84"/>
      <c r="V1958" s="84"/>
      <c r="W1958" s="84"/>
      <c r="X1958" s="84"/>
    </row>
    <row r="1959" spans="5:24" x14ac:dyDescent="0.2"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  <c r="R1959" s="84"/>
      <c r="S1959" s="84"/>
      <c r="T1959" s="84"/>
      <c r="U1959" s="84"/>
      <c r="V1959" s="84"/>
      <c r="W1959" s="84"/>
      <c r="X1959" s="84"/>
    </row>
    <row r="1960" spans="5:24" x14ac:dyDescent="0.2"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  <c r="R1960" s="84"/>
      <c r="S1960" s="84"/>
      <c r="T1960" s="84"/>
      <c r="U1960" s="84"/>
      <c r="V1960" s="84"/>
      <c r="W1960" s="84"/>
      <c r="X1960" s="84"/>
    </row>
    <row r="1961" spans="5:24" x14ac:dyDescent="0.2"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  <c r="R1961" s="84"/>
      <c r="S1961" s="84"/>
      <c r="T1961" s="84"/>
      <c r="U1961" s="84"/>
      <c r="V1961" s="84"/>
      <c r="W1961" s="84"/>
      <c r="X1961" s="84"/>
    </row>
    <row r="1962" spans="5:24" x14ac:dyDescent="0.2"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  <c r="R1962" s="84"/>
      <c r="S1962" s="84"/>
      <c r="T1962" s="84"/>
      <c r="U1962" s="84"/>
      <c r="V1962" s="84"/>
      <c r="W1962" s="84"/>
      <c r="X1962" s="84"/>
    </row>
    <row r="1963" spans="5:24" x14ac:dyDescent="0.2"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  <c r="R1963" s="84"/>
      <c r="S1963" s="84"/>
      <c r="T1963" s="84"/>
      <c r="U1963" s="84"/>
      <c r="V1963" s="84"/>
      <c r="W1963" s="84"/>
      <c r="X1963" s="84"/>
    </row>
    <row r="1964" spans="5:24" x14ac:dyDescent="0.2"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  <c r="R1964" s="84"/>
      <c r="S1964" s="84"/>
      <c r="T1964" s="84"/>
      <c r="U1964" s="84"/>
      <c r="V1964" s="84"/>
      <c r="W1964" s="84"/>
      <c r="X1964" s="84"/>
    </row>
    <row r="1965" spans="5:24" x14ac:dyDescent="0.2"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  <c r="R1965" s="84"/>
      <c r="S1965" s="84"/>
      <c r="T1965" s="84"/>
      <c r="U1965" s="84"/>
      <c r="V1965" s="84"/>
      <c r="W1965" s="84"/>
      <c r="X1965" s="84"/>
    </row>
    <row r="1966" spans="5:24" x14ac:dyDescent="0.2"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  <c r="R1966" s="84"/>
      <c r="S1966" s="84"/>
      <c r="T1966" s="84"/>
      <c r="U1966" s="84"/>
      <c r="V1966" s="84"/>
      <c r="W1966" s="84"/>
      <c r="X1966" s="84"/>
    </row>
    <row r="1967" spans="5:24" x14ac:dyDescent="0.2"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  <c r="R1967" s="84"/>
      <c r="S1967" s="84"/>
      <c r="T1967" s="84"/>
      <c r="U1967" s="84"/>
      <c r="V1967" s="84"/>
      <c r="W1967" s="84"/>
      <c r="X1967" s="84"/>
    </row>
    <row r="1968" spans="5:24" x14ac:dyDescent="0.2">
      <c r="E1968" s="84"/>
      <c r="F1968" s="84"/>
      <c r="G1968" s="84"/>
      <c r="H1968" s="84"/>
      <c r="I1968" s="84"/>
      <c r="J1968" s="84"/>
      <c r="K1968" s="84"/>
      <c r="L1968" s="84"/>
      <c r="M1968" s="84"/>
      <c r="N1968" s="84"/>
      <c r="O1968" s="84"/>
      <c r="P1968" s="84"/>
      <c r="Q1968" s="84"/>
      <c r="R1968" s="84"/>
      <c r="S1968" s="84"/>
      <c r="T1968" s="84"/>
      <c r="U1968" s="84"/>
      <c r="V1968" s="84"/>
      <c r="W1968" s="84"/>
      <c r="X1968" s="84"/>
    </row>
    <row r="1969" spans="5:24" x14ac:dyDescent="0.2">
      <c r="E1969" s="84"/>
      <c r="F1969" s="84"/>
      <c r="G1969" s="84"/>
      <c r="H1969" s="84"/>
      <c r="I1969" s="84"/>
      <c r="J1969" s="84"/>
      <c r="K1969" s="84"/>
      <c r="L1969" s="84"/>
      <c r="M1969" s="84"/>
      <c r="N1969" s="84"/>
      <c r="O1969" s="84"/>
      <c r="P1969" s="84"/>
      <c r="Q1969" s="84"/>
      <c r="R1969" s="84"/>
      <c r="S1969" s="84"/>
      <c r="T1969" s="84"/>
      <c r="U1969" s="84"/>
      <c r="V1969" s="84"/>
      <c r="W1969" s="84"/>
      <c r="X1969" s="84"/>
    </row>
    <row r="1970" spans="5:24" x14ac:dyDescent="0.2">
      <c r="E1970" s="84"/>
      <c r="F1970" s="84"/>
      <c r="G1970" s="84"/>
      <c r="H1970" s="84"/>
      <c r="I1970" s="84"/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</row>
    <row r="1971" spans="5:24" x14ac:dyDescent="0.2"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</row>
    <row r="1972" spans="5:24" x14ac:dyDescent="0.2"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</row>
    <row r="1973" spans="5:24" x14ac:dyDescent="0.2"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</row>
    <row r="1974" spans="5:24" x14ac:dyDescent="0.2"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</row>
    <row r="1975" spans="5:24" x14ac:dyDescent="0.2"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</row>
    <row r="1976" spans="5:24" x14ac:dyDescent="0.2"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</row>
    <row r="1977" spans="5:24" x14ac:dyDescent="0.2"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</row>
    <row r="1978" spans="5:24" x14ac:dyDescent="0.2"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</row>
    <row r="1979" spans="5:24" x14ac:dyDescent="0.2"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</row>
  </sheetData>
  <customSheetViews>
    <customSheetView guid="{C5BD3E9A-0945-47FE-8A56-1987B427C3E6}" scale="85" state="hidden">
      <pane xSplit="4" ySplit="8" topLeftCell="P18" activePane="bottomRight" state="frozen"/>
      <selection pane="bottomRight" activeCell="S22" sqref="S22"/>
      <pageMargins left="0.75" right="0.75" top="1" bottom="1" header="0.5" footer="0.5"/>
      <pageSetup orientation="portrait" horizontalDpi="300" verticalDpi="300" r:id="rId1"/>
      <headerFooter alignWithMargins="0"/>
    </customSheetView>
  </customSheetViews>
  <mergeCells count="11">
    <mergeCell ref="Y5:Z5"/>
    <mergeCell ref="W5:X5"/>
    <mergeCell ref="U5:V5"/>
    <mergeCell ref="E5:F5"/>
    <mergeCell ref="G5:H5"/>
    <mergeCell ref="I5:J5"/>
    <mergeCell ref="K5:L5"/>
    <mergeCell ref="M5:N5"/>
    <mergeCell ref="O5:P5"/>
    <mergeCell ref="S5:T5"/>
    <mergeCell ref="Q5:R5"/>
  </mergeCells>
  <phoneticPr fontId="0" type="noConversion"/>
  <pageMargins left="0.75" right="0.75" top="1" bottom="1" header="0.5" footer="0.5"/>
  <pageSetup orientation="portrait" horizontalDpi="300" verticalDpi="300" r:id="rId2"/>
  <headerFooter alignWithMargins="0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2:AB41"/>
  <sheetViews>
    <sheetView topLeftCell="E1" zoomScaleNormal="100" workbookViewId="0">
      <selection activeCell="S30" sqref="S30"/>
    </sheetView>
  </sheetViews>
  <sheetFormatPr defaultColWidth="9.140625" defaultRowHeight="12.75" x14ac:dyDescent="0.2"/>
  <cols>
    <col min="1" max="1" width="4.28515625" customWidth="1"/>
    <col min="2" max="2" width="15.5703125" bestFit="1" customWidth="1"/>
    <col min="3" max="3" width="21" customWidth="1"/>
    <col min="4" max="4" width="19.85546875" customWidth="1"/>
    <col min="5" max="5" width="8" bestFit="1" customWidth="1"/>
    <col min="6" max="10" width="9.42578125" bestFit="1" customWidth="1"/>
    <col min="11" max="14" width="9.42578125" customWidth="1"/>
    <col min="15" max="20" width="9.42578125" bestFit="1" customWidth="1"/>
    <col min="21" max="21" width="9.42578125" customWidth="1"/>
    <col min="22" max="22" width="9.85546875" bestFit="1" customWidth="1"/>
    <col min="23" max="23" width="9.28515625" bestFit="1" customWidth="1"/>
    <col min="24" max="24" width="9.7109375" bestFit="1" customWidth="1"/>
    <col min="25" max="26" width="9.85546875" bestFit="1" customWidth="1"/>
    <col min="27" max="27" width="12" customWidth="1"/>
  </cols>
  <sheetData>
    <row r="2" spans="1:28" ht="13.5" thickBot="1" x14ac:dyDescent="0.25"/>
    <row r="3" spans="1:28" ht="13.5" thickBot="1" x14ac:dyDescent="0.25">
      <c r="E3" s="19" t="s">
        <v>9</v>
      </c>
      <c r="F3" s="20"/>
      <c r="G3" s="20"/>
      <c r="H3" s="20"/>
      <c r="I3" s="20"/>
      <c r="J3" s="20"/>
      <c r="K3" s="20"/>
      <c r="L3" s="20"/>
      <c r="M3" s="20"/>
      <c r="N3" s="20"/>
      <c r="O3" s="23" t="s">
        <v>15</v>
      </c>
      <c r="P3" s="24"/>
      <c r="Q3" s="24"/>
      <c r="R3" s="24"/>
      <c r="S3" s="24"/>
      <c r="T3" s="24"/>
      <c r="U3" s="25" t="s">
        <v>5</v>
      </c>
      <c r="V3" s="26"/>
      <c r="W3" s="26"/>
      <c r="X3" s="26"/>
      <c r="Y3" s="26"/>
      <c r="Z3" s="26"/>
      <c r="AA3" s="26"/>
      <c r="AB3" s="26"/>
    </row>
    <row r="4" spans="1:28" x14ac:dyDescent="0.2">
      <c r="E4" s="21" t="s">
        <v>1</v>
      </c>
      <c r="F4" s="22"/>
      <c r="G4" s="21" t="s">
        <v>2</v>
      </c>
      <c r="H4" s="22"/>
      <c r="I4" s="21" t="s">
        <v>3</v>
      </c>
      <c r="J4" s="22"/>
      <c r="K4" s="21" t="s">
        <v>44</v>
      </c>
      <c r="L4" s="22"/>
      <c r="M4" s="21" t="s">
        <v>47</v>
      </c>
      <c r="N4" s="22"/>
      <c r="O4" s="21" t="s">
        <v>1</v>
      </c>
      <c r="P4" s="22"/>
      <c r="Q4" s="21" t="s">
        <v>2</v>
      </c>
      <c r="R4" s="22"/>
      <c r="S4" s="21" t="s">
        <v>3</v>
      </c>
      <c r="T4" s="22"/>
      <c r="U4" s="21" t="s">
        <v>1</v>
      </c>
      <c r="V4" s="22"/>
      <c r="W4" s="21" t="s">
        <v>2</v>
      </c>
      <c r="X4" s="22"/>
      <c r="Y4" s="21" t="s">
        <v>3</v>
      </c>
      <c r="Z4" s="22"/>
      <c r="AA4" s="21" t="s">
        <v>236</v>
      </c>
      <c r="AB4" s="22"/>
    </row>
    <row r="5" spans="1:28" s="27" customFormat="1" ht="13.5" thickBot="1" x14ac:dyDescent="0.25">
      <c r="E5" s="27" t="s">
        <v>111</v>
      </c>
      <c r="G5" t="s">
        <v>112</v>
      </c>
      <c r="I5" s="163" t="s">
        <v>113</v>
      </c>
      <c r="K5" t="s">
        <v>114</v>
      </c>
      <c r="O5" t="s">
        <v>115</v>
      </c>
      <c r="Q5" t="s">
        <v>116</v>
      </c>
      <c r="S5" t="s">
        <v>117</v>
      </c>
      <c r="U5" t="s">
        <v>118</v>
      </c>
      <c r="W5" t="s">
        <v>119</v>
      </c>
      <c r="Y5" t="s">
        <v>120</v>
      </c>
      <c r="AA5" s="235" t="s">
        <v>238</v>
      </c>
    </row>
    <row r="6" spans="1:28" ht="13.5" thickBot="1" x14ac:dyDescent="0.25">
      <c r="E6" s="18" t="s">
        <v>10</v>
      </c>
      <c r="F6" s="17" t="s">
        <v>11</v>
      </c>
      <c r="G6" s="18" t="s">
        <v>10</v>
      </c>
      <c r="H6" s="17" t="s">
        <v>11</v>
      </c>
      <c r="I6" s="18" t="s">
        <v>10</v>
      </c>
      <c r="J6" s="17" t="s">
        <v>11</v>
      </c>
      <c r="K6" s="18" t="s">
        <v>10</v>
      </c>
      <c r="L6" s="17" t="s">
        <v>11</v>
      </c>
      <c r="M6" s="18" t="s">
        <v>10</v>
      </c>
      <c r="N6" s="17" t="s">
        <v>11</v>
      </c>
      <c r="O6" s="18" t="s">
        <v>10</v>
      </c>
      <c r="P6" s="17" t="s">
        <v>11</v>
      </c>
      <c r="Q6" s="18" t="s">
        <v>10</v>
      </c>
      <c r="R6" s="17" t="s">
        <v>11</v>
      </c>
      <c r="S6" s="18" t="s">
        <v>10</v>
      </c>
      <c r="T6" s="17" t="s">
        <v>11</v>
      </c>
      <c r="U6" s="18" t="s">
        <v>10</v>
      </c>
      <c r="V6" s="17" t="s">
        <v>11</v>
      </c>
      <c r="W6" s="18" t="s">
        <v>10</v>
      </c>
      <c r="X6" s="17" t="s">
        <v>11</v>
      </c>
      <c r="Y6" s="18" t="s">
        <v>10</v>
      </c>
      <c r="Z6" s="17" t="s">
        <v>11</v>
      </c>
      <c r="AA6" s="18" t="s">
        <v>10</v>
      </c>
      <c r="AB6" s="17" t="s">
        <v>11</v>
      </c>
    </row>
    <row r="7" spans="1:28" ht="13.5" thickBot="1" x14ac:dyDescent="0.25">
      <c r="A7">
        <v>1</v>
      </c>
      <c r="B7" s="28">
        <f t="shared" ref="B7:B35" si="0">+B8-1</f>
        <v>46248</v>
      </c>
      <c r="C7" s="30">
        <f>+B7+7.5/24</f>
        <v>46248.3125</v>
      </c>
      <c r="D7" s="30">
        <f>+B7+19.5/24</f>
        <v>46248.8125</v>
      </c>
      <c r="E7" s="29">
        <f>IF(ISNUMBER(_xll.PIArcVal(E$5,$C7, 0,"TPI","exact time"))=TRUE,_xll.PIArcVal(E$5,$C7, 0,"TPI","exact time"),"")</f>
        <v>0.60799999999999998</v>
      </c>
      <c r="F7" s="9">
        <f>IF(ISNUMBER(_xll.PIArcVal(E$5,$D7, 0,"TPI","exact time"))=TRUE, _xll.PIArcVal(E$5,$D7, 0,"TPI","exact time"), "")</f>
        <v>0.44500000000000001</v>
      </c>
      <c r="G7" s="29">
        <f>IF(ISNUMBER(_xll.PIArcVal(G$5,$C7, 0,"TPI","exact time"))=TRUE,_xll.PIArcVal(G$5,$C7, 0,"TPI","exact time"),"")</f>
        <v>5.0999999999999997E-2</v>
      </c>
      <c r="H7" s="9">
        <f>IF(ISNUMBER(_xll.PIArcVal(G$5,$D7, 0,"TPI","exact time"))=TRUE, _xll.PIArcVal(G$5,$D7, 0,"TPI","exact time"), "")</f>
        <v>4.2999999999999997E-2</v>
      </c>
      <c r="I7" s="29">
        <f>IF(ISNUMBER(_xll.PIArcVal(I$5,$C7, 0,"TPI","exact time"))=TRUE,_xll.PIArcVal(I$5,$C7, 0,"TPI","exact time"),"")</f>
        <v>1.9990000000000001</v>
      </c>
      <c r="J7" s="9">
        <f>IF(ISNUMBER(_xll.PIArcVal(I$5,$D7, 0,"TPI","exact time"))=TRUE, _xll.PIArcVal(I$5,$D7, 0,"TPI","exact time"), "")</f>
        <v>2.149</v>
      </c>
      <c r="K7" s="29">
        <f>IF(ISNUMBER(_xll.PIArcVal(K$5,$C7, 0,"TPI","exact time"))=TRUE,_xll.PIArcVal(K$5,$C7, 0,"TPI","exact time"),"")</f>
        <v>5.0000000000000001E-3</v>
      </c>
      <c r="L7" s="9">
        <f>IF(ISNUMBER(_xll.PIArcVal(K$5,$D7, 0,"TPI","exact time"))=TRUE, _xll.PIArcVal(K$5,$D7, 0,"TPI","exact time"), "")</f>
        <v>5.0000000000000001E-3</v>
      </c>
      <c r="M7" s="29" t="str">
        <f>IF(ISNUMBER(_xll.PIArcVal(M$5,$C7, 0,"TPI","exact time"))=TRUE,_xll.PIArcVal(M$5,$C7, 0,"TPI","exact time"),"")</f>
        <v/>
      </c>
      <c r="N7" s="9" t="str">
        <f>IF(ISNUMBER(_xll.PIArcVal(M$5,$D7, 0,"TPI","exact time"))=TRUE, _xll.PIArcVal(M$5,$D7, 0,"TPI","exact time"), "")</f>
        <v/>
      </c>
      <c r="O7" s="29">
        <f>IF(ISNUMBER(_xll.PIArcVal(O$5,$C7, 0,"TPI","exact time"))=TRUE,_xll.PIArcVal(O$5,$C7, 0,"TPI","exact time"),"")</f>
        <v>4.4999999999999998E-2</v>
      </c>
      <c r="P7" s="9">
        <f>IF(ISNUMBER(_xll.PIArcVal(O$5,$D7, 0,"TPI","exact time"))=TRUE, _xll.PIArcVal(O$5,$D7, 0,"TPI","exact time"), "")</f>
        <v>4.2999999999999997E-2</v>
      </c>
      <c r="Q7" s="29">
        <f>IF(ISNUMBER(_xll.PIArcVal(Q$5,$C7, 0,"TPI","exact time"))=TRUE,_xll.PIArcVal(Q$5,$C7, 0,"TPI","exact time"),"")</f>
        <v>7.0000000000000001E-3</v>
      </c>
      <c r="R7" s="9">
        <f>IF(ISNUMBER(_xll.PIArcVal(Q$5,$D7, 0,"TPI","exact time"))=TRUE, _xll.PIArcVal(Q$5,$D7, 0,"TPI","exact time"), "")</f>
        <v>6.0000000000000001E-3</v>
      </c>
      <c r="S7" s="29">
        <f>IF(ISNUMBER(_xll.PIArcVal(S$5,$C7, 0,"TPI","exact time"))=TRUE,_xll.PIArcVal(S$5,$C7, 0,"TPI","exact time"),"")</f>
        <v>1.4379999999999999</v>
      </c>
      <c r="T7" s="9">
        <f>IF(ISNUMBER(_xll.PIArcVal(S$5,$D7, 0,"TPI","exact time"))=TRUE, _xll.PIArcVal(S$5,$D7, 0,"TPI","exact time"), "")</f>
        <v>1.8149999999999999</v>
      </c>
      <c r="U7" s="29">
        <f>IF(ISNUMBER(_xll.PIArcVal(U$5,$C7, 0,"TPI","exact time"))=TRUE,_xll.PIArcVal(U$5,$C7, 0,"TPI","exact time"),"")</f>
        <v>26.169</v>
      </c>
      <c r="V7" s="9">
        <f>IF(ISNUMBER(_xll.PIArcVal(U$5,$D7, 0,"TPI","exact time"))=TRUE, _xll.PIArcVal(U$5,$D7, 0,"TPI","exact time"), "")</f>
        <v>21.931999999999999</v>
      </c>
      <c r="W7" s="29">
        <f>IF(ISNUMBER(_xll.PIArcVal(W$5,$C7, 0,"TPI","exact time"))=TRUE,_xll.PIArcVal(W$5,$C7, 0,"TPI","exact time"),"")</f>
        <v>1.706</v>
      </c>
      <c r="X7" s="9">
        <f>IF(ISNUMBER(_xll.PIArcVal(W$5,$D7, 0,"TPI","exact time"))=TRUE, _xll.PIArcVal(W$5,$D7, 0,"TPI","exact time"), "")</f>
        <v>1.631</v>
      </c>
      <c r="Y7" s="29">
        <f>IF(ISNUMBER(_xll.PIArcVal(Y$5,$C7, 0,"TPI","exact time"))=TRUE,_xll.PIArcVal(Y$5,$C7, 0,"TPI","exact time"),"")</f>
        <v>28.31</v>
      </c>
      <c r="Z7" s="9">
        <f>IF(ISNUMBER(_xll.PIArcVal(Y$5,$D7, 0,"TPI","exact time"))=TRUE, _xll.PIArcVal(Y$5,$D7, 0,"TPI","exact time"), "")</f>
        <v>27.82</v>
      </c>
      <c r="AA7" s="29">
        <f>IF(ISNUMBER(_xll.PIArcVal(AA$5,$C7, 0,"TPI","exact time"))=TRUE,_xll.PIArcVal(AA$5,$C7, 0,"TPI","exact time"),"")</f>
        <v>9.1999999999999993</v>
      </c>
      <c r="AB7" s="9">
        <f>IF(ISNUMBER(_xll.PIArcVal(AA$5,$D7, 0,"TPI","exact time"))=TRUE, _xll.PIArcVal(AA$5,$D7, 0,"TPI","exact time"), "")</f>
        <v>16.420000000000002</v>
      </c>
    </row>
    <row r="8" spans="1:28" ht="13.5" thickBot="1" x14ac:dyDescent="0.25">
      <c r="A8">
        <f>A7+1</f>
        <v>2</v>
      </c>
      <c r="B8" s="28">
        <f t="shared" si="0"/>
        <v>46249</v>
      </c>
      <c r="C8" s="30">
        <f t="shared" ref="C8:C37" si="1">+B8+7.5/24</f>
        <v>46249.3125</v>
      </c>
      <c r="D8" s="30">
        <f t="shared" ref="D8:D37" si="2">+B8+19.5/24</f>
        <v>46249.8125</v>
      </c>
      <c r="E8" s="29">
        <f>IF(ISNUMBER(_xll.PIArcVal(E$5,$C8, 0,"TPI","exact time"))=TRUE,_xll.PIArcVal(E$5,$C8, 0,"TPI","exact time"),"")</f>
        <v>0.50600000000000001</v>
      </c>
      <c r="F8" s="9">
        <f>IF(ISNUMBER(_xll.PIArcVal(E$5,$D8, 0,"TPI","exact time"))=TRUE, _xll.PIArcVal(E$5,$D8, 0,"TPI","exact time"), "")</f>
        <v>0.57799999999999996</v>
      </c>
      <c r="G8" s="29">
        <f>IF(ISNUMBER(_xll.PIArcVal(G$5,$C8, 0,"TPI","exact time"))=TRUE,_xll.PIArcVal(G$5,$C8, 0,"TPI","exact time"),"")</f>
        <v>0.06</v>
      </c>
      <c r="H8" s="9">
        <f>IF(ISNUMBER(_xll.PIArcVal(G$5,$D8, 0,"TPI","exact time"))=TRUE, _xll.PIArcVal(G$5,$D8, 0,"TPI","exact time"), "")</f>
        <v>6.9000000000000006E-2</v>
      </c>
      <c r="I8" s="29">
        <f>IF(ISNUMBER(_xll.PIArcVal(I$5,$C8, 0,"TPI","exact time"))=TRUE,_xll.PIArcVal(I$5,$C8, 0,"TPI","exact time"),"")</f>
        <v>2.1850000000000001</v>
      </c>
      <c r="J8" s="9">
        <f>IF(ISNUMBER(_xll.PIArcVal(I$5,$D8, 0,"TPI","exact time"))=TRUE, _xll.PIArcVal(I$5,$D8, 0,"TPI","exact time"), "")</f>
        <v>2.4500000000000002</v>
      </c>
      <c r="K8" s="29">
        <f>IF(ISNUMBER(_xll.PIArcVal(K$5,$C8, 0,"TPI","exact time"))=TRUE,_xll.PIArcVal(K$5,$C8, 0,"TPI","exact time"),"")</f>
        <v>5.0000000000000001E-3</v>
      </c>
      <c r="L8" s="9">
        <f>IF(ISNUMBER(_xll.PIArcVal(K$5,$D8, 0,"TPI","exact time"))=TRUE, _xll.PIArcVal(K$5,$D8, 0,"TPI","exact time"), "")</f>
        <v>6.0000000000000001E-3</v>
      </c>
      <c r="M8" s="29" t="str">
        <f>IF(ISNUMBER(_xll.PIArcVal(M$5,$C8, 0,"TPI","exact time"))=TRUE,_xll.PIArcVal(M$5,$C8, 0,"TPI","exact time"),"")</f>
        <v/>
      </c>
      <c r="N8" s="9" t="str">
        <f>IF(ISNUMBER(_xll.PIArcVal(M$5,$D8, 0,"TPI","exact time"))=TRUE, _xll.PIArcVal(M$5,$D8, 0,"TPI","exact time"), "")</f>
        <v/>
      </c>
      <c r="O8" s="29">
        <f>IF(ISNUMBER(_xll.PIArcVal(O$5,$C8, 0,"TPI","exact time"))=TRUE,_xll.PIArcVal(O$5,$C8, 0,"TPI","exact time"),"")</f>
        <v>3.2000000000000001E-2</v>
      </c>
      <c r="P8" s="9">
        <f>IF(ISNUMBER(_xll.PIArcVal(O$5,$D8, 0,"TPI","exact time"))=TRUE, _xll.PIArcVal(O$5,$D8, 0,"TPI","exact time"), "")</f>
        <v>6.4000000000000001E-2</v>
      </c>
      <c r="Q8" s="29">
        <f>IF(ISNUMBER(_xll.PIArcVal(Q$5,$C8, 0,"TPI","exact time"))=TRUE,_xll.PIArcVal(Q$5,$C8, 0,"TPI","exact time"),"")</f>
        <v>8.0000000000000002E-3</v>
      </c>
      <c r="R8" s="9">
        <f>IF(ISNUMBER(_xll.PIArcVal(Q$5,$D8, 0,"TPI","exact time"))=TRUE, _xll.PIArcVal(Q$5,$D8, 0,"TPI","exact time"), "")</f>
        <v>1.2E-2</v>
      </c>
      <c r="S8" s="29">
        <f>IF(ISNUMBER(_xll.PIArcVal(S$5,$C8, 0,"TPI","exact time"))=TRUE,_xll.PIArcVal(S$5,$C8, 0,"TPI","exact time"),"")</f>
        <v>1.8839999999999999</v>
      </c>
      <c r="T8" s="9">
        <f>IF(ISNUMBER(_xll.PIArcVal(S$5,$D8, 0,"TPI","exact time"))=TRUE, _xll.PIArcVal(S$5,$D8, 0,"TPI","exact time"), "")</f>
        <v>2.0950000000000002</v>
      </c>
      <c r="U8" s="29">
        <f>IF(ISNUMBER(_xll.PIArcVal(U$5,$C8, 0,"TPI","exact time"))=TRUE,_xll.PIArcVal(U$5,$C8, 0,"TPI","exact time"),"")</f>
        <v>25.474</v>
      </c>
      <c r="V8" s="9">
        <f>IF(ISNUMBER(_xll.PIArcVal(U$5,$D8, 0,"TPI","exact time"))=TRUE, _xll.PIArcVal(U$5,$D8, 0,"TPI","exact time"), "")</f>
        <v>24.879000000000001</v>
      </c>
      <c r="W8" s="29">
        <f>IF(ISNUMBER(_xll.PIArcVal(W$5,$C8, 0,"TPI","exact time"))=TRUE,_xll.PIArcVal(W$5,$C8, 0,"TPI","exact time"),"")</f>
        <v>2.851</v>
      </c>
      <c r="X8" s="9">
        <f>IF(ISNUMBER(_xll.PIArcVal(W$5,$D8, 0,"TPI","exact time"))=TRUE, _xll.PIArcVal(W$5,$D8, 0,"TPI","exact time"), "")</f>
        <v>2.198</v>
      </c>
      <c r="Y8" s="29">
        <f>IF(ISNUMBER(_xll.PIArcVal(Y$5,$C8, 0,"TPI","exact time"))=TRUE,_xll.PIArcVal(Y$5,$C8, 0,"TPI","exact time"),"")</f>
        <v>26.09</v>
      </c>
      <c r="Z8" s="9">
        <f>IF(ISNUMBER(_xll.PIArcVal(Y$5,$D8, 0,"TPI","exact time"))=TRUE, _xll.PIArcVal(Y$5,$D8, 0,"TPI","exact time"), "")</f>
        <v>27.86</v>
      </c>
      <c r="AA8" s="29">
        <f>IF(ISNUMBER(_xll.PIArcVal(AA$5,$C8, 0,"TPI","exact time"))=TRUE,_xll.PIArcVal(AA$5,$C8, 0,"TPI","exact time"),"")</f>
        <v>9.64</v>
      </c>
      <c r="AB8" s="9">
        <f>IF(ISNUMBER(_xll.PIArcVal(AA$5,$D8, 0,"TPI","exact time"))=TRUE, _xll.PIArcVal(AA$5,$D8, 0,"TPI","exact time"), "")</f>
        <v>10.76</v>
      </c>
    </row>
    <row r="9" spans="1:28" ht="13.5" thickBot="1" x14ac:dyDescent="0.25">
      <c r="A9">
        <f t="shared" ref="A9:A37" si="3">A8+1</f>
        <v>3</v>
      </c>
      <c r="B9" s="28">
        <f t="shared" si="0"/>
        <v>46250</v>
      </c>
      <c r="C9" s="30">
        <f t="shared" si="1"/>
        <v>46250.3125</v>
      </c>
      <c r="D9" s="30">
        <f t="shared" si="2"/>
        <v>46250.8125</v>
      </c>
      <c r="E9" s="29">
        <f>IF(ISNUMBER(_xll.PIArcVal(E$5,$C9, 0,"TPI","exact time"))=TRUE,_xll.PIArcVal(E$5,$C9, 0,"TPI","exact time"),"")</f>
        <v>0.53600000000000003</v>
      </c>
      <c r="F9" s="9">
        <f>IF(ISNUMBER(_xll.PIArcVal(E$5,$D9, 0,"TPI","exact time"))=TRUE, _xll.PIArcVal(E$5,$D9, 0,"TPI","exact time"), "")</f>
        <v>0.56499999999999995</v>
      </c>
      <c r="G9" s="29">
        <f>IF(ISNUMBER(_xll.PIArcVal(G$5,$C9, 0,"TPI","exact time"))=TRUE,_xll.PIArcVal(G$5,$C9, 0,"TPI","exact time"),"")</f>
        <v>8.2000000000000003E-2</v>
      </c>
      <c r="H9" s="9">
        <f>IF(ISNUMBER(_xll.PIArcVal(G$5,$D9, 0,"TPI","exact time"))=TRUE, _xll.PIArcVal(G$5,$D9, 0,"TPI","exact time"), "")</f>
        <v>7.6999999999999999E-2</v>
      </c>
      <c r="I9" s="29">
        <f>IF(ISNUMBER(_xll.PIArcVal(I$5,$C9, 0,"TPI","exact time"))=TRUE,_xll.PIArcVal(I$5,$C9, 0,"TPI","exact time"),"")</f>
        <v>2.6240000000000001</v>
      </c>
      <c r="J9" s="9">
        <f>IF(ISNUMBER(_xll.PIArcVal(I$5,$D9, 0,"TPI","exact time"))=TRUE, _xll.PIArcVal(I$5,$D9, 0,"TPI","exact time"), "")</f>
        <v>2.044</v>
      </c>
      <c r="K9" s="29">
        <f>IF(ISNUMBER(_xll.PIArcVal(K$5,$C9, 0,"TPI","exact time"))=TRUE,_xll.PIArcVal(K$5,$C9, 0,"TPI","exact time"),"")</f>
        <v>5.0000000000000001E-3</v>
      </c>
      <c r="L9" s="9">
        <f>IF(ISNUMBER(_xll.PIArcVal(K$5,$D9, 0,"TPI","exact time"))=TRUE, _xll.PIArcVal(K$5,$D9, 0,"TPI","exact time"), "")</f>
        <v>5.0000000000000001E-3</v>
      </c>
      <c r="M9" s="29" t="str">
        <f>IF(ISNUMBER(_xll.PIArcVal(M$5,$C9, 0,"TPI","exact time"))=TRUE,_xll.PIArcVal(M$5,$C9, 0,"TPI","exact time"),"")</f>
        <v/>
      </c>
      <c r="N9" s="9" t="str">
        <f>IF(ISNUMBER(_xll.PIArcVal(M$5,$D9, 0,"TPI","exact time"))=TRUE, _xll.PIArcVal(M$5,$D9, 0,"TPI","exact time"), "")</f>
        <v/>
      </c>
      <c r="O9" s="29">
        <f>IF(ISNUMBER(_xll.PIArcVal(O$5,$C9, 0,"TPI","exact time"))=TRUE,_xll.PIArcVal(O$5,$C9, 0,"TPI","exact time"),"")</f>
        <v>6.4000000000000001E-2</v>
      </c>
      <c r="P9" s="9">
        <f>IF(ISNUMBER(_xll.PIArcVal(O$5,$D9, 0,"TPI","exact time"))=TRUE, _xll.PIArcVal(O$5,$D9, 0,"TPI","exact time"), "")</f>
        <v>4.1000000000000002E-2</v>
      </c>
      <c r="Q9" s="29">
        <f>IF(ISNUMBER(_xll.PIArcVal(Q$5,$C9, 0,"TPI","exact time"))=TRUE,_xll.PIArcVal(Q$5,$C9, 0,"TPI","exact time"),"")</f>
        <v>1.2999999999999999E-2</v>
      </c>
      <c r="R9" s="9">
        <f>IF(ISNUMBER(_xll.PIArcVal(Q$5,$D9, 0,"TPI","exact time"))=TRUE, _xll.PIArcVal(Q$5,$D9, 0,"TPI","exact time"), "")</f>
        <v>1.2E-2</v>
      </c>
      <c r="S9" s="29">
        <f>IF(ISNUMBER(_xll.PIArcVal(S$5,$C9, 0,"TPI","exact time"))=TRUE,_xll.PIArcVal(S$5,$C9, 0,"TPI","exact time"),"")</f>
        <v>1.651</v>
      </c>
      <c r="T9" s="9">
        <f>IF(ISNUMBER(_xll.PIArcVal(S$5,$D9, 0,"TPI","exact time"))=TRUE, _xll.PIArcVal(S$5,$D9, 0,"TPI","exact time"), "")</f>
        <v>1.327</v>
      </c>
      <c r="U9" s="29">
        <f>IF(ISNUMBER(_xll.PIArcVal(U$5,$C9, 0,"TPI","exact time"))=TRUE,_xll.PIArcVal(U$5,$C9, 0,"TPI","exact time"),"")</f>
        <v>21.806000000000001</v>
      </c>
      <c r="V9" s="9">
        <f>IF(ISNUMBER(_xll.PIArcVal(U$5,$D9, 0,"TPI","exact time"))=TRUE, _xll.PIArcVal(U$5,$D9, 0,"TPI","exact time"), "")</f>
        <v>22.686</v>
      </c>
      <c r="W9" s="29">
        <f>IF(ISNUMBER(_xll.PIArcVal(W$5,$C9, 0,"TPI","exact time"))=TRUE,_xll.PIArcVal(W$5,$C9, 0,"TPI","exact time"),"")</f>
        <v>3.4420000000000002</v>
      </c>
      <c r="X9" s="9">
        <f>IF(ISNUMBER(_xll.PIArcVal(W$5,$D9, 0,"TPI","exact time"))=TRUE, _xll.PIArcVal(W$5,$D9, 0,"TPI","exact time"), "")</f>
        <v>3.9129999999999998</v>
      </c>
      <c r="Y9" s="29">
        <f>IF(ISNUMBER(_xll.PIArcVal(Y$5,$C9, 0,"TPI","exact time"))=TRUE,_xll.PIArcVal(Y$5,$C9, 0,"TPI","exact time"),"")</f>
        <v>27.11</v>
      </c>
      <c r="Z9" s="9">
        <f>IF(ISNUMBER(_xll.PIArcVal(Y$5,$D9, 0,"TPI","exact time"))=TRUE, _xll.PIArcVal(Y$5,$D9, 0,"TPI","exact time"), "")</f>
        <v>27.72</v>
      </c>
      <c r="AA9" s="29">
        <f>IF(ISNUMBER(_xll.PIArcVal(AA$5,$C9, 0,"TPI","exact time"))=TRUE,_xll.PIArcVal(AA$5,$C9, 0,"TPI","exact time"),"")</f>
        <v>13.62</v>
      </c>
      <c r="AB9" s="9">
        <f>IF(ISNUMBER(_xll.PIArcVal(AA$5,$D9, 0,"TPI","exact time"))=TRUE, _xll.PIArcVal(AA$5,$D9, 0,"TPI","exact time"), "")</f>
        <v>12.76</v>
      </c>
    </row>
    <row r="10" spans="1:28" ht="13.5" thickBot="1" x14ac:dyDescent="0.25">
      <c r="A10">
        <f t="shared" si="3"/>
        <v>4</v>
      </c>
      <c r="B10" s="28">
        <f t="shared" si="0"/>
        <v>46251</v>
      </c>
      <c r="C10" s="30">
        <f t="shared" si="1"/>
        <v>46251.3125</v>
      </c>
      <c r="D10" s="30">
        <f t="shared" si="2"/>
        <v>46251.8125</v>
      </c>
      <c r="E10" s="29">
        <f>IF(ISNUMBER(_xll.PIArcVal(E$5,$C10, 0,"TPI","exact time"))=TRUE,_xll.PIArcVal(E$5,$C10, 0,"TPI","exact time"),"")</f>
        <v>0.52200000000000002</v>
      </c>
      <c r="F10" s="9">
        <f>IF(ISNUMBER(_xll.PIArcVal(E$5,$D10, 0,"TPI","exact time"))=TRUE, _xll.PIArcVal(E$5,$D10, 0,"TPI","exact time"), "")</f>
        <v>0.56799999999999995</v>
      </c>
      <c r="G10" s="29">
        <f>IF(ISNUMBER(_xll.PIArcVal(G$5,$C10, 0,"TPI","exact time"))=TRUE,_xll.PIArcVal(G$5,$C10, 0,"TPI","exact time"),"")</f>
        <v>4.5999999999999999E-2</v>
      </c>
      <c r="H10" s="9">
        <f>IF(ISNUMBER(_xll.PIArcVal(G$5,$D10, 0,"TPI","exact time"))=TRUE, _xll.PIArcVal(G$5,$D10, 0,"TPI","exact time"), "")</f>
        <v>5.7000000000000002E-2</v>
      </c>
      <c r="I10" s="29">
        <f>IF(ISNUMBER(_xll.PIArcVal(I$5,$C10, 0,"TPI","exact time"))=TRUE,_xll.PIArcVal(I$5,$C10, 0,"TPI","exact time"),"")</f>
        <v>2.15</v>
      </c>
      <c r="J10" s="9">
        <f>IF(ISNUMBER(_xll.PIArcVal(I$5,$D10, 0,"TPI","exact time"))=TRUE, _xll.PIArcVal(I$5,$D10, 0,"TPI","exact time"), "")</f>
        <v>2.5590000000000002</v>
      </c>
      <c r="K10" s="29">
        <f>IF(ISNUMBER(_xll.PIArcVal(K$5,$C10, 0,"TPI","exact time"))=TRUE,_xll.PIArcVal(K$5,$C10, 0,"TPI","exact time"),"")</f>
        <v>4.0000000000000001E-3</v>
      </c>
      <c r="L10" s="9">
        <f>IF(ISNUMBER(_xll.PIArcVal(K$5,$D10, 0,"TPI","exact time"))=TRUE, _xll.PIArcVal(K$5,$D10, 0,"TPI","exact time"), "")</f>
        <v>5.0000000000000001E-3</v>
      </c>
      <c r="M10" s="29" t="str">
        <f>IF(ISNUMBER(_xll.PIArcVal(M$5,$C10, 0,"TPI","exact time"))=TRUE,_xll.PIArcVal(M$5,$C10, 0,"TPI","exact time"),"")</f>
        <v/>
      </c>
      <c r="N10" s="9" t="str">
        <f>IF(ISNUMBER(_xll.PIArcVal(M$5,$D10, 0,"TPI","exact time"))=TRUE, _xll.PIArcVal(M$5,$D10, 0,"TPI","exact time"), "")</f>
        <v/>
      </c>
      <c r="O10" s="29">
        <f>IF(ISNUMBER(_xll.PIArcVal(O$5,$C10, 0,"TPI","exact time"))=TRUE,_xll.PIArcVal(O$5,$C10, 0,"TPI","exact time"),"")</f>
        <v>4.2000000000000003E-2</v>
      </c>
      <c r="P10" s="9">
        <f>IF(ISNUMBER(_xll.PIArcVal(O$5,$D10, 0,"TPI","exact time"))=TRUE, _xll.PIArcVal(O$5,$D10, 0,"TPI","exact time"), "")</f>
        <v>4.9000000000000002E-2</v>
      </c>
      <c r="Q10" s="29">
        <f>IF(ISNUMBER(_xll.PIArcVal(Q$5,$C10, 0,"TPI","exact time"))=TRUE,_xll.PIArcVal(Q$5,$C10, 0,"TPI","exact time"),"")</f>
        <v>8.0000000000000002E-3</v>
      </c>
      <c r="R10" s="9">
        <f>IF(ISNUMBER(_xll.PIArcVal(Q$5,$D10, 0,"TPI","exact time"))=TRUE, _xll.PIArcVal(Q$5,$D10, 0,"TPI","exact time"), "")</f>
        <v>1.0999999999999999E-2</v>
      </c>
      <c r="S10" s="29">
        <f>IF(ISNUMBER(_xll.PIArcVal(S$5,$C10, 0,"TPI","exact time"))=TRUE,_xll.PIArcVal(S$5,$C10, 0,"TPI","exact time"),"")</f>
        <v>1.6910000000000001</v>
      </c>
      <c r="T10" s="9">
        <f>IF(ISNUMBER(_xll.PIArcVal(S$5,$D10, 0,"TPI","exact time"))=TRUE, _xll.PIArcVal(S$5,$D10, 0,"TPI","exact time"), "")</f>
        <v>1.77</v>
      </c>
      <c r="U10" s="29">
        <f>IF(ISNUMBER(_xll.PIArcVal(U$5,$C10, 0,"TPI","exact time"))=TRUE,_xll.PIArcVal(U$5,$C10, 0,"TPI","exact time"),"")</f>
        <v>23.88</v>
      </c>
      <c r="V10" s="9">
        <f>IF(ISNUMBER(_xll.PIArcVal(U$5,$D10, 0,"TPI","exact time"))=TRUE, _xll.PIArcVal(U$5,$D10, 0,"TPI","exact time"), "")</f>
        <v>25.175999999999998</v>
      </c>
      <c r="W10" s="29">
        <f>IF(ISNUMBER(_xll.PIArcVal(W$5,$C10, 0,"TPI","exact time"))=TRUE,_xll.PIArcVal(W$5,$C10, 0,"TPI","exact time"),"")</f>
        <v>2.1230000000000002</v>
      </c>
      <c r="X10" s="9">
        <f>IF(ISNUMBER(_xll.PIArcVal(W$5,$D10, 0,"TPI","exact time"))=TRUE, _xll.PIArcVal(W$5,$D10, 0,"TPI","exact time"), "")</f>
        <v>2.1680000000000001</v>
      </c>
      <c r="Y10" s="29">
        <f>IF(ISNUMBER(_xll.PIArcVal(Y$5,$C10, 0,"TPI","exact time"))=TRUE,_xll.PIArcVal(Y$5,$C10, 0,"TPI","exact time"),"")</f>
        <v>27.15</v>
      </c>
      <c r="Z10" s="9">
        <f>IF(ISNUMBER(_xll.PIArcVal(Y$5,$D10, 0,"TPI","exact time"))=TRUE, _xll.PIArcVal(Y$5,$D10, 0,"TPI","exact time"), "")</f>
        <v>28.61</v>
      </c>
      <c r="AA10" s="29">
        <f>IF(ISNUMBER(_xll.PIArcVal(AA$5,$C10, 0,"TPI","exact time"))=TRUE,_xll.PIArcVal(AA$5,$C10, 0,"TPI","exact time"),"")</f>
        <v>11.92</v>
      </c>
      <c r="AB10" s="9">
        <f>IF(ISNUMBER(_xll.PIArcVal(AA$5,$D10, 0,"TPI","exact time"))=TRUE, _xll.PIArcVal(AA$5,$D10, 0,"TPI","exact time"), "")</f>
        <v>10.199999999999999</v>
      </c>
    </row>
    <row r="11" spans="1:28" ht="13.5" thickBot="1" x14ac:dyDescent="0.25">
      <c r="A11">
        <f t="shared" si="3"/>
        <v>5</v>
      </c>
      <c r="B11" s="28">
        <f t="shared" si="0"/>
        <v>46252</v>
      </c>
      <c r="C11" s="30">
        <f t="shared" si="1"/>
        <v>46252.3125</v>
      </c>
      <c r="D11" s="30">
        <f t="shared" si="2"/>
        <v>46252.8125</v>
      </c>
      <c r="E11" s="29">
        <f>IF(ISNUMBER(_xll.PIArcVal(E$5,$C11, 0,"TPI","exact time"))=TRUE,_xll.PIArcVal(E$5,$C11, 0,"TPI","exact time"),"")</f>
        <v>0.501</v>
      </c>
      <c r="F11" s="9">
        <f>IF(ISNUMBER(_xll.PIArcVal(E$5,$D11, 0,"TPI","exact time"))=TRUE, _xll.PIArcVal(E$5,$D11, 0,"TPI","exact time"), "")</f>
        <v>0.40200000000000002</v>
      </c>
      <c r="G11" s="29">
        <f>IF(ISNUMBER(_xll.PIArcVal(G$5,$C11, 0,"TPI","exact time"))=TRUE,_xll.PIArcVal(G$5,$C11, 0,"TPI","exact time"),"")</f>
        <v>5.1999999999999998E-2</v>
      </c>
      <c r="H11" s="9">
        <f>IF(ISNUMBER(_xll.PIArcVal(G$5,$D11, 0,"TPI","exact time"))=TRUE, _xll.PIArcVal(G$5,$D11, 0,"TPI","exact time"), "")</f>
        <v>3.1E-2</v>
      </c>
      <c r="I11" s="29">
        <f>IF(ISNUMBER(_xll.PIArcVal(I$5,$C11, 0,"TPI","exact time"))=TRUE,_xll.PIArcVal(I$5,$C11, 0,"TPI","exact time"),"")</f>
        <v>2.1469999999999998</v>
      </c>
      <c r="J11" s="9">
        <f>IF(ISNUMBER(_xll.PIArcVal(I$5,$D11, 0,"TPI","exact time"))=TRUE, _xll.PIArcVal(I$5,$D11, 0,"TPI","exact time"), "")</f>
        <v>3.4009999999999998</v>
      </c>
      <c r="K11" s="29">
        <f>IF(ISNUMBER(_xll.PIArcVal(K$5,$C11, 0,"TPI","exact time"))=TRUE,_xll.PIArcVal(K$5,$C11, 0,"TPI","exact time"),"")</f>
        <v>5.0000000000000001E-3</v>
      </c>
      <c r="L11" s="9">
        <f>IF(ISNUMBER(_xll.PIArcVal(K$5,$D11, 0,"TPI","exact time"))=TRUE, _xll.PIArcVal(K$5,$D11, 0,"TPI","exact time"), "")</f>
        <v>0.01</v>
      </c>
      <c r="M11" s="29" t="str">
        <f>IF(ISNUMBER(_xll.PIArcVal(M$5,$C11, 0,"TPI","exact time"))=TRUE,_xll.PIArcVal(M$5,$C11, 0,"TPI","exact time"),"")</f>
        <v/>
      </c>
      <c r="N11" s="9" t="str">
        <f>IF(ISNUMBER(_xll.PIArcVal(M$5,$D11, 0,"TPI","exact time"))=TRUE, _xll.PIArcVal(M$5,$D11, 0,"TPI","exact time"), "")</f>
        <v/>
      </c>
      <c r="O11" s="29">
        <f>IF(ISNUMBER(_xll.PIArcVal(O$5,$C11, 0,"TPI","exact time"))=TRUE,_xll.PIArcVal(O$5,$C11, 0,"TPI","exact time"),"")</f>
        <v>6.6000000000000003E-2</v>
      </c>
      <c r="P11" s="9">
        <f>IF(ISNUMBER(_xll.PIArcVal(O$5,$D11, 0,"TPI","exact time"))=TRUE, _xll.PIArcVal(O$5,$D11, 0,"TPI","exact time"), "")</f>
        <v>0.04</v>
      </c>
      <c r="Q11" s="29">
        <f>IF(ISNUMBER(_xll.PIArcVal(Q$5,$C11, 0,"TPI","exact time"))=TRUE,_xll.PIArcVal(Q$5,$C11, 0,"TPI","exact time"),"")</f>
        <v>1.2999999999999999E-2</v>
      </c>
      <c r="R11" s="9">
        <f>IF(ISNUMBER(_xll.PIArcVal(Q$5,$D11, 0,"TPI","exact time"))=TRUE, _xll.PIArcVal(Q$5,$D11, 0,"TPI","exact time"), "")</f>
        <v>7.0000000000000001E-3</v>
      </c>
      <c r="S11" s="29">
        <f>IF(ISNUMBER(_xll.PIArcVal(S$5,$C11, 0,"TPI","exact time"))=TRUE,_xll.PIArcVal(S$5,$C11, 0,"TPI","exact time"),"")</f>
        <v>1.861</v>
      </c>
      <c r="T11" s="9">
        <f>IF(ISNUMBER(_xll.PIArcVal(S$5,$D11, 0,"TPI","exact time"))=TRUE, _xll.PIArcVal(S$5,$D11, 0,"TPI","exact time"), "")</f>
        <v>2.66</v>
      </c>
      <c r="U11" s="29">
        <f>IF(ISNUMBER(_xll.PIArcVal(U$5,$C11, 0,"TPI","exact time"))=TRUE,_xll.PIArcVal(U$5,$C11, 0,"TPI","exact time"),"")</f>
        <v>24.532</v>
      </c>
      <c r="V11" s="9">
        <f>IF(ISNUMBER(_xll.PIArcVal(U$5,$D11, 0,"TPI","exact time"))=TRUE, _xll.PIArcVal(U$5,$D11, 0,"TPI","exact time"), "")</f>
        <v>22.896999999999998</v>
      </c>
      <c r="W11" s="29">
        <f>IF(ISNUMBER(_xll.PIArcVal(W$5,$C11, 0,"TPI","exact time"))=TRUE,_xll.PIArcVal(W$5,$C11, 0,"TPI","exact time"),"")</f>
        <v>2.1459999999999999</v>
      </c>
      <c r="X11" s="9">
        <f>IF(ISNUMBER(_xll.PIArcVal(W$5,$D11, 0,"TPI","exact time"))=TRUE, _xll.PIArcVal(W$5,$D11, 0,"TPI","exact time"), "")</f>
        <v>1.8540000000000001</v>
      </c>
      <c r="Y11" s="29">
        <f>IF(ISNUMBER(_xll.PIArcVal(Y$5,$C11, 0,"TPI","exact time"))=TRUE,_xll.PIArcVal(Y$5,$C11, 0,"TPI","exact time"),"")</f>
        <v>27.12</v>
      </c>
      <c r="Z11" s="9">
        <f>IF(ISNUMBER(_xll.PIArcVal(Y$5,$D11, 0,"TPI","exact time"))=TRUE, _xll.PIArcVal(Y$5,$D11, 0,"TPI","exact time"), "")</f>
        <v>27.91</v>
      </c>
      <c r="AA11" s="29">
        <f>IF(ISNUMBER(_xll.PIArcVal(AA$5,$C11, 0,"TPI","exact time"))=TRUE,_xll.PIArcVal(AA$5,$C11, 0,"TPI","exact time"),"")</f>
        <v>11.1</v>
      </c>
      <c r="AB11" s="9">
        <f>IF(ISNUMBER(_xll.PIArcVal(AA$5,$D11, 0,"TPI","exact time"))=TRUE, _xll.PIArcVal(AA$5,$D11, 0,"TPI","exact time"), "")</f>
        <v>11.56</v>
      </c>
    </row>
    <row r="12" spans="1:28" ht="13.5" thickBot="1" x14ac:dyDescent="0.25">
      <c r="A12">
        <f t="shared" si="3"/>
        <v>6</v>
      </c>
      <c r="B12" s="28">
        <f t="shared" si="0"/>
        <v>46253</v>
      </c>
      <c r="C12" s="30">
        <f t="shared" si="1"/>
        <v>46253.3125</v>
      </c>
      <c r="D12" s="30">
        <f t="shared" si="2"/>
        <v>46253.8125</v>
      </c>
      <c r="E12" s="29">
        <f>IF(ISNUMBER(_xll.PIArcVal(E$5,$C12, 0,"TPI","exact time"))=TRUE,_xll.PIArcVal(E$5,$C12, 0,"TPI","exact time"),"")</f>
        <v>0.38200000000000001</v>
      </c>
      <c r="F12" s="9">
        <f>IF(ISNUMBER(_xll.PIArcVal(E$5,$D12, 0,"TPI","exact time"))=TRUE, _xll.PIArcVal(E$5,$D12, 0,"TPI","exact time"), "")</f>
        <v>0.35699999999999998</v>
      </c>
      <c r="G12" s="29">
        <f>IF(ISNUMBER(_xll.PIArcVal(G$5,$C12, 0,"TPI","exact time"))=TRUE,_xll.PIArcVal(G$5,$C12, 0,"TPI","exact time"),"")</f>
        <v>1.4999999999999999E-2</v>
      </c>
      <c r="H12" s="9">
        <f>IF(ISNUMBER(_xll.PIArcVal(G$5,$D12, 0,"TPI","exact time"))=TRUE, _xll.PIArcVal(G$5,$D12, 0,"TPI","exact time"), "")</f>
        <v>1.0999999999999999E-2</v>
      </c>
      <c r="I12" s="29">
        <f>IF(ISNUMBER(_xll.PIArcVal(I$5,$C12, 0,"TPI","exact time"))=TRUE,_xll.PIArcVal(I$5,$C12, 0,"TPI","exact time"),"")</f>
        <v>3.9220000000000002</v>
      </c>
      <c r="J12" s="9">
        <f>IF(ISNUMBER(_xll.PIArcVal(I$5,$D12, 0,"TPI","exact time"))=TRUE, _xll.PIArcVal(I$5,$D12, 0,"TPI","exact time"), "")</f>
        <v>4.3159999999999998</v>
      </c>
      <c r="K12" s="29">
        <f>IF(ISNUMBER(_xll.PIArcVal(K$5,$C12, 0,"TPI","exact time"))=TRUE,_xll.PIArcVal(K$5,$C12, 0,"TPI","exact time"),"")</f>
        <v>1.2999999999999999E-2</v>
      </c>
      <c r="L12" s="9">
        <f>IF(ISNUMBER(_xll.PIArcVal(K$5,$D12, 0,"TPI","exact time"))=TRUE, _xll.PIArcVal(K$5,$D12, 0,"TPI","exact time"), "")</f>
        <v>1.2999999999999999E-2</v>
      </c>
      <c r="M12" s="29" t="str">
        <f>IF(ISNUMBER(_xll.PIArcVal(M$5,$C12, 0,"TPI","exact time"))=TRUE,_xll.PIArcVal(M$5,$C12, 0,"TPI","exact time"),"")</f>
        <v/>
      </c>
      <c r="N12" s="9" t="str">
        <f>IF(ISNUMBER(_xll.PIArcVal(M$5,$D12, 0,"TPI","exact time"))=TRUE, _xll.PIArcVal(M$5,$D12, 0,"TPI","exact time"), "")</f>
        <v/>
      </c>
      <c r="O12" s="29">
        <f>IF(ISNUMBER(_xll.PIArcVal(O$5,$C12, 0,"TPI","exact time"))=TRUE,_xll.PIArcVal(O$5,$C12, 0,"TPI","exact time"),"")</f>
        <v>0.03</v>
      </c>
      <c r="P12" s="9">
        <f>IF(ISNUMBER(_xll.PIArcVal(O$5,$D12, 0,"TPI","exact time"))=TRUE, _xll.PIArcVal(O$5,$D12, 0,"TPI","exact time"), "")</f>
        <v>2.7E-2</v>
      </c>
      <c r="Q12" s="29">
        <f>IF(ISNUMBER(_xll.PIArcVal(Q$5,$C12, 0,"TPI","exact time"))=TRUE,_xll.PIArcVal(Q$5,$C12, 0,"TPI","exact time"),"")</f>
        <v>4.0000000000000001E-3</v>
      </c>
      <c r="R12" s="9">
        <f>IF(ISNUMBER(_xll.PIArcVal(Q$5,$D12, 0,"TPI","exact time"))=TRUE, _xll.PIArcVal(Q$5,$D12, 0,"TPI","exact time"), "")</f>
        <v>3.0000000000000001E-3</v>
      </c>
      <c r="S12" s="29">
        <f>IF(ISNUMBER(_xll.PIArcVal(S$5,$C12, 0,"TPI","exact time"))=TRUE,_xll.PIArcVal(S$5,$C12, 0,"TPI","exact time"),"")</f>
        <v>3.831</v>
      </c>
      <c r="T12" s="9">
        <f>IF(ISNUMBER(_xll.PIArcVal(S$5,$D12, 0,"TPI","exact time"))=TRUE, _xll.PIArcVal(S$5,$D12, 0,"TPI","exact time"), "")</f>
        <v>3.7709999999999999</v>
      </c>
      <c r="U12" s="29">
        <f>IF(ISNUMBER(_xll.PIArcVal(U$5,$C12, 0,"TPI","exact time"))=TRUE,_xll.PIArcVal(U$5,$C12, 0,"TPI","exact time"),"")</f>
        <v>24.384</v>
      </c>
      <c r="V12" s="9">
        <f>IF(ISNUMBER(_xll.PIArcVal(U$5,$D12, 0,"TPI","exact time"))=TRUE, _xll.PIArcVal(U$5,$D12, 0,"TPI","exact time"), "")</f>
        <v>23.292999999999999</v>
      </c>
      <c r="W12" s="29">
        <f>IF(ISNUMBER(_xll.PIArcVal(W$5,$C12, 0,"TPI","exact time"))=TRUE,_xll.PIArcVal(W$5,$C12, 0,"TPI","exact time"),"")</f>
        <v>0.754</v>
      </c>
      <c r="X12" s="9">
        <f>IF(ISNUMBER(_xll.PIArcVal(W$5,$D12, 0,"TPI","exact time"))=TRUE, _xll.PIArcVal(W$5,$D12, 0,"TPI","exact time"), "")</f>
        <v>0.68600000000000005</v>
      </c>
      <c r="Y12" s="29">
        <f>IF(ISNUMBER(_xll.PIArcVal(Y$5,$C12, 0,"TPI","exact time"))=TRUE,_xll.PIArcVal(Y$5,$C12, 0,"TPI","exact time"),"")</f>
        <v>30.76</v>
      </c>
      <c r="Z12" s="9">
        <f>IF(ISNUMBER(_xll.PIArcVal(Y$5,$D12, 0,"TPI","exact time"))=TRUE, _xll.PIArcVal(Y$5,$D12, 0,"TPI","exact time"), "")</f>
        <v>29.55</v>
      </c>
      <c r="AA12" s="29">
        <f>IF(ISNUMBER(_xll.PIArcVal(AA$5,$C12, 0,"TPI","exact time"))=TRUE,_xll.PIArcVal(AA$5,$C12, 0,"TPI","exact time"),"")</f>
        <v>8.5</v>
      </c>
      <c r="AB12" s="9">
        <f>IF(ISNUMBER(_xll.PIArcVal(AA$5,$D12, 0,"TPI","exact time"))=TRUE, _xll.PIArcVal(AA$5,$D12, 0,"TPI","exact time"), "")</f>
        <v>12.08</v>
      </c>
    </row>
    <row r="13" spans="1:28" ht="13.5" thickBot="1" x14ac:dyDescent="0.25">
      <c r="A13">
        <f t="shared" si="3"/>
        <v>7</v>
      </c>
      <c r="B13" s="28">
        <f t="shared" si="0"/>
        <v>46254</v>
      </c>
      <c r="C13" s="30">
        <f t="shared" si="1"/>
        <v>46254.3125</v>
      </c>
      <c r="D13" s="30">
        <f t="shared" si="2"/>
        <v>46254.8125</v>
      </c>
      <c r="E13" s="29">
        <f>IF(ISNUMBER(_xll.PIArcVal(E$5,$C13, 0,"TPI","exact time"))=TRUE,_xll.PIArcVal(E$5,$C13, 0,"TPI","exact time"),"")</f>
        <v>0.34200000000000003</v>
      </c>
      <c r="F13" s="9">
        <f>IF(ISNUMBER(_xll.PIArcVal(E$5,$D13, 0,"TPI","exact time"))=TRUE, _xll.PIArcVal(E$5,$D13, 0,"TPI","exact time"), "")</f>
        <v>0.36399999999999999</v>
      </c>
      <c r="G13" s="29">
        <f>IF(ISNUMBER(_xll.PIArcVal(G$5,$C13, 0,"TPI","exact time"))=TRUE,_xll.PIArcVal(G$5,$C13, 0,"TPI","exact time"),"")</f>
        <v>1.2999999999999999E-2</v>
      </c>
      <c r="H13" s="9">
        <f>IF(ISNUMBER(_xll.PIArcVal(G$5,$D13, 0,"TPI","exact time"))=TRUE, _xll.PIArcVal(G$5,$D13, 0,"TPI","exact time"), "")</f>
        <v>1.2999999999999999E-2</v>
      </c>
      <c r="I13" s="29">
        <f>IF(ISNUMBER(_xll.PIArcVal(I$5,$C13, 0,"TPI","exact time"))=TRUE,_xll.PIArcVal(I$5,$C13, 0,"TPI","exact time"),"")</f>
        <v>3.8439999999999999</v>
      </c>
      <c r="J13" s="9">
        <f>IF(ISNUMBER(_xll.PIArcVal(I$5,$D13, 0,"TPI","exact time"))=TRUE, _xll.PIArcVal(I$5,$D13, 0,"TPI","exact time"), "")</f>
        <v>3.7050000000000001</v>
      </c>
      <c r="K13" s="29">
        <f>IF(ISNUMBER(_xll.PIArcVal(K$5,$C13, 0,"TPI","exact time"))=TRUE,_xll.PIArcVal(K$5,$C13, 0,"TPI","exact time"),"")</f>
        <v>8.0000000000000002E-3</v>
      </c>
      <c r="L13" s="9">
        <f>IF(ISNUMBER(_xll.PIArcVal(K$5,$D13, 0,"TPI","exact time"))=TRUE, _xll.PIArcVal(K$5,$D13, 0,"TPI","exact time"), "")</f>
        <v>7.0000000000000001E-3</v>
      </c>
      <c r="M13" s="29" t="str">
        <f>IF(ISNUMBER(_xll.PIArcVal(M$5,$C13, 0,"TPI","exact time"))=TRUE,_xll.PIArcVal(M$5,$C13, 0,"TPI","exact time"),"")</f>
        <v/>
      </c>
      <c r="N13" s="9" t="str">
        <f>IF(ISNUMBER(_xll.PIArcVal(M$5,$D13, 0,"TPI","exact time"))=TRUE, _xll.PIArcVal(M$5,$D13, 0,"TPI","exact time"), "")</f>
        <v/>
      </c>
      <c r="O13" s="29">
        <f>IF(ISNUMBER(_xll.PIArcVal(O$5,$C13, 0,"TPI","exact time"))=TRUE,_xll.PIArcVal(O$5,$C13, 0,"TPI","exact time"),"")</f>
        <v>3.5000000000000003E-2</v>
      </c>
      <c r="P13" s="9">
        <f>IF(ISNUMBER(_xll.PIArcVal(O$5,$D13, 0,"TPI","exact time"))=TRUE, _xll.PIArcVal(O$5,$D13, 0,"TPI","exact time"), "")</f>
        <v>4.5999999999999999E-2</v>
      </c>
      <c r="Q13" s="29">
        <f>IF(ISNUMBER(_xll.PIArcVal(Q$5,$C13, 0,"TPI","exact time"))=TRUE,_xll.PIArcVal(Q$5,$C13, 0,"TPI","exact time"),"")</f>
        <v>3.0000000000000001E-3</v>
      </c>
      <c r="R13" s="9">
        <f>IF(ISNUMBER(_xll.PIArcVal(Q$5,$D13, 0,"TPI","exact time"))=TRUE, _xll.PIArcVal(Q$5,$D13, 0,"TPI","exact time"), "")</f>
        <v>4.0000000000000001E-3</v>
      </c>
      <c r="S13" s="29">
        <f>IF(ISNUMBER(_xll.PIArcVal(S$5,$C13, 0,"TPI","exact time"))=TRUE,_xll.PIArcVal(S$5,$C13, 0,"TPI","exact time"),"")</f>
        <v>3.641</v>
      </c>
      <c r="T13" s="9">
        <f>IF(ISNUMBER(_xll.PIArcVal(S$5,$D13, 0,"TPI","exact time"))=TRUE, _xll.PIArcVal(S$5,$D13, 0,"TPI","exact time"), "")</f>
        <v>3.254</v>
      </c>
      <c r="U13" s="29">
        <f>IF(ISNUMBER(_xll.PIArcVal(U$5,$C13, 0,"TPI","exact time"))=TRUE,_xll.PIArcVal(U$5,$C13, 0,"TPI","exact time"),"")</f>
        <v>24.228000000000002</v>
      </c>
      <c r="V13" s="9">
        <f>IF(ISNUMBER(_xll.PIArcVal(U$5,$D13, 0,"TPI","exact time"))=TRUE, _xll.PIArcVal(U$5,$D13, 0,"TPI","exact time"), "")</f>
        <v>22.599</v>
      </c>
      <c r="W13" s="29">
        <f>IF(ISNUMBER(_xll.PIArcVal(W$5,$C13, 0,"TPI","exact time"))=TRUE,_xll.PIArcVal(W$5,$C13, 0,"TPI","exact time"),"")</f>
        <v>0.67800000000000005</v>
      </c>
      <c r="X13" s="9">
        <f>IF(ISNUMBER(_xll.PIArcVal(W$5,$D13, 0,"TPI","exact time"))=TRUE, _xll.PIArcVal(W$5,$D13, 0,"TPI","exact time"), "")</f>
        <v>0.97499999999999998</v>
      </c>
      <c r="Y13" s="29">
        <f>IF(ISNUMBER(_xll.PIArcVal(Y$5,$C13, 0,"TPI","exact time"))=TRUE,_xll.PIArcVal(Y$5,$C13, 0,"TPI","exact time"),"")</f>
        <v>29.37</v>
      </c>
      <c r="Z13" s="9">
        <f>IF(ISNUMBER(_xll.PIArcVal(Y$5,$D13, 0,"TPI","exact time"))=TRUE, _xll.PIArcVal(Y$5,$D13, 0,"TPI","exact time"), "")</f>
        <v>28.72</v>
      </c>
      <c r="AA13" s="29">
        <f>IF(ISNUMBER(_xll.PIArcVal(AA$5,$C13, 0,"TPI","exact time"))=TRUE,_xll.PIArcVal(AA$5,$C13, 0,"TPI","exact time"),"")</f>
        <v>9.9600000000000009</v>
      </c>
      <c r="AB13" s="9">
        <f>IF(ISNUMBER(_xll.PIArcVal(AA$5,$D13, 0,"TPI","exact time"))=TRUE, _xll.PIArcVal(AA$5,$D13, 0,"TPI","exact time"), "")</f>
        <v>13.08</v>
      </c>
    </row>
    <row r="14" spans="1:28" ht="13.5" thickBot="1" x14ac:dyDescent="0.25">
      <c r="A14">
        <f t="shared" si="3"/>
        <v>8</v>
      </c>
      <c r="B14" s="28">
        <f t="shared" si="0"/>
        <v>46255</v>
      </c>
      <c r="C14" s="30">
        <f t="shared" si="1"/>
        <v>46255.3125</v>
      </c>
      <c r="D14" s="30">
        <f t="shared" si="2"/>
        <v>46255.8125</v>
      </c>
      <c r="E14" s="29">
        <f>IF(ISNUMBER(_xll.PIArcVal(E$5,$C14, 0,"TPI","exact time"))=TRUE,_xll.PIArcVal(E$5,$C14, 0,"TPI","exact time"),"")</f>
        <v>0.34599999999999997</v>
      </c>
      <c r="F14" s="9">
        <f>IF(ISNUMBER(_xll.PIArcVal(E$5,$D14, 0,"TPI","exact time"))=TRUE, _xll.PIArcVal(E$5,$D14, 0,"TPI","exact time"), "")</f>
        <v>0.39</v>
      </c>
      <c r="G14" s="29">
        <f>IF(ISNUMBER(_xll.PIArcVal(G$5,$C14, 0,"TPI","exact time"))=TRUE,_xll.PIArcVal(G$5,$C14, 0,"TPI","exact time"),"")</f>
        <v>0.01</v>
      </c>
      <c r="H14" s="9">
        <f>IF(ISNUMBER(_xll.PIArcVal(G$5,$D14, 0,"TPI","exact time"))=TRUE, _xll.PIArcVal(G$5,$D14, 0,"TPI","exact time"), "")</f>
        <v>1.4E-2</v>
      </c>
      <c r="I14" s="29">
        <f>IF(ISNUMBER(_xll.PIArcVal(I$5,$C14, 0,"TPI","exact time"))=TRUE,_xll.PIArcVal(I$5,$C14, 0,"TPI","exact time"),"")</f>
        <v>3.7719999999999998</v>
      </c>
      <c r="J14" s="9">
        <f>IF(ISNUMBER(_xll.PIArcVal(I$5,$D14, 0,"TPI","exact time"))=TRUE, _xll.PIArcVal(I$5,$D14, 0,"TPI","exact time"), "")</f>
        <v>3.3290000000000002</v>
      </c>
      <c r="K14" s="29">
        <f>IF(ISNUMBER(_xll.PIArcVal(K$5,$C14, 0,"TPI","exact time"))=TRUE,_xll.PIArcVal(K$5,$C14, 0,"TPI","exact time"),"")</f>
        <v>6.0000000000000001E-3</v>
      </c>
      <c r="L14" s="9">
        <f>IF(ISNUMBER(_xll.PIArcVal(K$5,$D14, 0,"TPI","exact time"))=TRUE, _xll.PIArcVal(K$5,$D14, 0,"TPI","exact time"), "")</f>
        <v>0.01</v>
      </c>
      <c r="M14" s="29" t="str">
        <f>IF(ISNUMBER(_xll.PIArcVal(M$5,$C14, 0,"TPI","exact time"))=TRUE,_xll.PIArcVal(M$5,$C14, 0,"TPI","exact time"),"")</f>
        <v/>
      </c>
      <c r="N14" s="9" t="str">
        <f>IF(ISNUMBER(_xll.PIArcVal(M$5,$D14, 0,"TPI","exact time"))=TRUE, _xll.PIArcVal(M$5,$D14, 0,"TPI","exact time"), "")</f>
        <v/>
      </c>
      <c r="O14" s="29">
        <f>IF(ISNUMBER(_xll.PIArcVal(O$5,$C14, 0,"TPI","exact time"))=TRUE,_xll.PIArcVal(O$5,$C14, 0,"TPI","exact time"),"")</f>
        <v>3.5999999999999997E-2</v>
      </c>
      <c r="P14" s="9">
        <f>IF(ISNUMBER(_xll.PIArcVal(O$5,$D14, 0,"TPI","exact time"))=TRUE, _xll.PIArcVal(O$5,$D14, 0,"TPI","exact time"), "")</f>
        <v>3.4000000000000002E-2</v>
      </c>
      <c r="Q14" s="29">
        <f>IF(ISNUMBER(_xll.PIArcVal(Q$5,$C14, 0,"TPI","exact time"))=TRUE,_xll.PIArcVal(Q$5,$C14, 0,"TPI","exact time"),"")</f>
        <v>4.0000000000000001E-3</v>
      </c>
      <c r="R14" s="9">
        <f>IF(ISNUMBER(_xll.PIArcVal(Q$5,$D14, 0,"TPI","exact time"))=TRUE, _xll.PIArcVal(Q$5,$D14, 0,"TPI","exact time"), "")</f>
        <v>2E-3</v>
      </c>
      <c r="S14" s="29">
        <f>IF(ISNUMBER(_xll.PIArcVal(S$5,$C14, 0,"TPI","exact time"))=TRUE,_xll.PIArcVal(S$5,$C14, 0,"TPI","exact time"),"")</f>
        <v>3.323</v>
      </c>
      <c r="T14" s="9">
        <f>IF(ISNUMBER(_xll.PIArcVal(S$5,$D14, 0,"TPI","exact time"))=TRUE, _xll.PIArcVal(S$5,$D14, 0,"TPI","exact time"), "")</f>
        <v>2.6190000000000002</v>
      </c>
      <c r="U14" s="29">
        <f>IF(ISNUMBER(_xll.PIArcVal(U$5,$C14, 0,"TPI","exact time"))=TRUE,_xll.PIArcVal(U$5,$C14, 0,"TPI","exact time"),"")</f>
        <v>22.984999999999999</v>
      </c>
      <c r="V14" s="9">
        <f>IF(ISNUMBER(_xll.PIArcVal(U$5,$D14, 0,"TPI","exact time"))=TRUE, _xll.PIArcVal(U$5,$D14, 0,"TPI","exact time"), "")</f>
        <v>23.789000000000001</v>
      </c>
      <c r="W14" s="29">
        <f>IF(ISNUMBER(_xll.PIArcVal(W$5,$C14, 0,"TPI","exact time"))=TRUE,_xll.PIArcVal(W$5,$C14, 0,"TPI","exact time"),"")</f>
        <v>0.69499999999999995</v>
      </c>
      <c r="X14" s="9">
        <f>IF(ISNUMBER(_xll.PIArcVal(W$5,$D14, 0,"TPI","exact time"))=TRUE, _xll.PIArcVal(W$5,$D14, 0,"TPI","exact time"), "")</f>
        <v>0.746</v>
      </c>
      <c r="Y14" s="29">
        <f>IF(ISNUMBER(_xll.PIArcVal(Y$5,$C14, 0,"TPI","exact time"))=TRUE,_xll.PIArcVal(Y$5,$C14, 0,"TPI","exact time"),"")</f>
        <v>28.42</v>
      </c>
      <c r="Z14" s="9">
        <f>IF(ISNUMBER(_xll.PIArcVal(Y$5,$D14, 0,"TPI","exact time"))=TRUE, _xll.PIArcVal(Y$5,$D14, 0,"TPI","exact time"), "")</f>
        <v>30.48</v>
      </c>
      <c r="AA14" s="29">
        <f>IF(ISNUMBER(_xll.PIArcVal(AA$5,$C14, 0,"TPI","exact time"))=TRUE,_xll.PIArcVal(AA$5,$C14, 0,"TPI","exact time"),"")</f>
        <v>11.52</v>
      </c>
      <c r="AB14" s="9">
        <f>IF(ISNUMBER(_xll.PIArcVal(AA$5,$D14, 0,"TPI","exact time"))=TRUE, _xll.PIArcVal(AA$5,$D14, 0,"TPI","exact time"), "")</f>
        <v>10.34</v>
      </c>
    </row>
    <row r="15" spans="1:28" ht="13.5" thickBot="1" x14ac:dyDescent="0.25">
      <c r="A15">
        <f t="shared" si="3"/>
        <v>9</v>
      </c>
      <c r="B15" s="28">
        <f t="shared" si="0"/>
        <v>46256</v>
      </c>
      <c r="C15" s="30">
        <f t="shared" si="1"/>
        <v>46256.3125</v>
      </c>
      <c r="D15" s="30">
        <f t="shared" si="2"/>
        <v>46256.8125</v>
      </c>
      <c r="E15" s="29">
        <f>IF(ISNUMBER(_xll.PIArcVal(E$5,$C15, 0,"TPI","exact time"))=TRUE,_xll.PIArcVal(E$5,$C15, 0,"TPI","exact time"),"")</f>
        <v>0.504</v>
      </c>
      <c r="F15" s="9">
        <f>IF(ISNUMBER(_xll.PIArcVal(E$5,$D15, 0,"TPI","exact time"))=TRUE, _xll.PIArcVal(E$5,$D15, 0,"TPI","exact time"), "")</f>
        <v>0.55000000000000004</v>
      </c>
      <c r="G15" s="29">
        <f>IF(ISNUMBER(_xll.PIArcVal(G$5,$C15, 0,"TPI","exact time"))=TRUE,_xll.PIArcVal(G$5,$C15, 0,"TPI","exact time"),"")</f>
        <v>3.4000000000000002E-2</v>
      </c>
      <c r="H15" s="9">
        <f>IF(ISNUMBER(_xll.PIArcVal(G$5,$D15, 0,"TPI","exact time"))=TRUE, _xll.PIArcVal(G$5,$D15, 0,"TPI","exact time"), "")</f>
        <v>3.7999999999999999E-2</v>
      </c>
      <c r="I15" s="29">
        <f>IF(ISNUMBER(_xll.PIArcVal(I$5,$C15, 0,"TPI","exact time"))=TRUE,_xll.PIArcVal(I$5,$C15, 0,"TPI","exact time"),"")</f>
        <v>2.7160000000000002</v>
      </c>
      <c r="J15" s="9">
        <f>IF(ISNUMBER(_xll.PIArcVal(I$5,$D15, 0,"TPI","exact time"))=TRUE, _xll.PIArcVal(I$5,$D15, 0,"TPI","exact time"), "")</f>
        <v>2.1549999999999998</v>
      </c>
      <c r="K15" s="29">
        <f>IF(ISNUMBER(_xll.PIArcVal(K$5,$C15, 0,"TPI","exact time"))=TRUE,_xll.PIArcVal(K$5,$C15, 0,"TPI","exact time"),"")</f>
        <v>6.0000000000000001E-3</v>
      </c>
      <c r="L15" s="9">
        <f>IF(ISNUMBER(_xll.PIArcVal(K$5,$D15, 0,"TPI","exact time"))=TRUE, _xll.PIArcVal(K$5,$D15, 0,"TPI","exact time"), "")</f>
        <v>5.0000000000000001E-3</v>
      </c>
      <c r="M15" s="29" t="str">
        <f>IF(ISNUMBER(_xll.PIArcVal(M$5,$C15, 0,"TPI","exact time"))=TRUE,_xll.PIArcVal(M$5,$C15, 0,"TPI","exact time"),"")</f>
        <v/>
      </c>
      <c r="N15" s="9" t="str">
        <f>IF(ISNUMBER(_xll.PIArcVal(M$5,$D15, 0,"TPI","exact time"))=TRUE, _xll.PIArcVal(M$5,$D15, 0,"TPI","exact time"), "")</f>
        <v/>
      </c>
      <c r="O15" s="29">
        <f>IF(ISNUMBER(_xll.PIArcVal(O$5,$C15, 0,"TPI","exact time"))=TRUE,_xll.PIArcVal(O$5,$C15, 0,"TPI","exact time"),"")</f>
        <v>3.4000000000000002E-2</v>
      </c>
      <c r="P15" s="9">
        <f>IF(ISNUMBER(_xll.PIArcVal(O$5,$D15, 0,"TPI","exact time"))=TRUE, _xll.PIArcVal(O$5,$D15, 0,"TPI","exact time"), "")</f>
        <v>4.1000000000000002E-2</v>
      </c>
      <c r="Q15" s="29">
        <f>IF(ISNUMBER(_xll.PIArcVal(Q$5,$C15, 0,"TPI","exact time"))=TRUE,_xll.PIArcVal(Q$5,$C15, 0,"TPI","exact time"),"")</f>
        <v>4.0000000000000001E-3</v>
      </c>
      <c r="R15" s="9">
        <f>IF(ISNUMBER(_xll.PIArcVal(Q$5,$D15, 0,"TPI","exact time"))=TRUE, _xll.PIArcVal(Q$5,$D15, 0,"TPI","exact time"), "")</f>
        <v>4.0000000000000001E-3</v>
      </c>
      <c r="S15" s="29">
        <f>IF(ISNUMBER(_xll.PIArcVal(S$5,$C15, 0,"TPI","exact time"))=TRUE,_xll.PIArcVal(S$5,$C15, 0,"TPI","exact time"),"")</f>
        <v>2.048</v>
      </c>
      <c r="T15" s="9">
        <f>IF(ISNUMBER(_xll.PIArcVal(S$5,$D15, 0,"TPI","exact time"))=TRUE, _xll.PIArcVal(S$5,$D15, 0,"TPI","exact time"), "")</f>
        <v>1.5549999999999999</v>
      </c>
      <c r="U15" s="29">
        <f>IF(ISNUMBER(_xll.PIArcVal(U$5,$C15, 0,"TPI","exact time"))=TRUE,_xll.PIArcVal(U$5,$C15, 0,"TPI","exact time"),"")</f>
        <v>24.324000000000002</v>
      </c>
      <c r="V15" s="9">
        <f>IF(ISNUMBER(_xll.PIArcVal(U$5,$D15, 0,"TPI","exact time"))=TRUE, _xll.PIArcVal(U$5,$D15, 0,"TPI","exact time"), "")</f>
        <v>24.975000000000001</v>
      </c>
      <c r="W15" s="29">
        <f>IF(ISNUMBER(_xll.PIArcVal(W$5,$C15, 0,"TPI","exact time"))=TRUE,_xll.PIArcVal(W$5,$C15, 0,"TPI","exact time"),"")</f>
        <v>1.4670000000000001</v>
      </c>
      <c r="X15" s="9">
        <f>IF(ISNUMBER(_xll.PIArcVal(W$5,$D15, 0,"TPI","exact time"))=TRUE, _xll.PIArcVal(W$5,$D15, 0,"TPI","exact time"), "")</f>
        <v>1.4730000000000001</v>
      </c>
      <c r="Y15" s="29">
        <f>IF(ISNUMBER(_xll.PIArcVal(Y$5,$C15, 0,"TPI","exact time"))=TRUE,_xll.PIArcVal(Y$5,$C15, 0,"TPI","exact time"),"")</f>
        <v>27.7</v>
      </c>
      <c r="Z15" s="9">
        <f>IF(ISNUMBER(_xll.PIArcVal(Y$5,$D15, 0,"TPI","exact time"))=TRUE, _xll.PIArcVal(Y$5,$D15, 0,"TPI","exact time"), "")</f>
        <v>27.31</v>
      </c>
      <c r="AA15" s="29">
        <f>IF(ISNUMBER(_xll.PIArcVal(AA$5,$C15, 0,"TPI","exact time"))=TRUE,_xll.PIArcVal(AA$5,$C15, 0,"TPI","exact time"),"")</f>
        <v>11.76</v>
      </c>
      <c r="AB15" s="9">
        <f>IF(ISNUMBER(_xll.PIArcVal(AA$5,$D15, 0,"TPI","exact time"))=TRUE, _xll.PIArcVal(AA$5,$D15, 0,"TPI","exact time"), "")</f>
        <v>11.1</v>
      </c>
    </row>
    <row r="16" spans="1:28" ht="13.5" thickBot="1" x14ac:dyDescent="0.25">
      <c r="A16">
        <f t="shared" si="3"/>
        <v>10</v>
      </c>
      <c r="B16" s="28">
        <f t="shared" si="0"/>
        <v>46257</v>
      </c>
      <c r="C16" s="30">
        <f t="shared" si="1"/>
        <v>46257.3125</v>
      </c>
      <c r="D16" s="30">
        <f t="shared" si="2"/>
        <v>46257.8125</v>
      </c>
      <c r="E16" s="29">
        <f>IF(ISNUMBER(_xll.PIArcVal(E$5,$C16, 0,"TPI","exact time"))=TRUE,_xll.PIArcVal(E$5,$C16, 0,"TPI","exact time"),"")</f>
        <v>0.52200000000000002</v>
      </c>
      <c r="F16" s="9">
        <f>IF(ISNUMBER(_xll.PIArcVal(E$5,$D16, 0,"TPI","exact time"))=TRUE, _xll.PIArcVal(E$5,$D16, 0,"TPI","exact time"), "")</f>
        <v>0.624</v>
      </c>
      <c r="G16" s="29">
        <f>IF(ISNUMBER(_xll.PIArcVal(G$5,$C16, 0,"TPI","exact time"))=TRUE,_xll.PIArcVal(G$5,$C16, 0,"TPI","exact time"),"")</f>
        <v>4.2999999999999997E-2</v>
      </c>
      <c r="H16" s="9">
        <f>IF(ISNUMBER(_xll.PIArcVal(G$5,$D16, 0,"TPI","exact time"))=TRUE, _xll.PIArcVal(G$5,$D16, 0,"TPI","exact time"), "")</f>
        <v>4.7E-2</v>
      </c>
      <c r="I16" s="29">
        <f>IF(ISNUMBER(_xll.PIArcVal(I$5,$C16, 0,"TPI","exact time"))=TRUE,_xll.PIArcVal(I$5,$C16, 0,"TPI","exact time"),"")</f>
        <v>2.4169999999999998</v>
      </c>
      <c r="J16" s="9">
        <f>IF(ISNUMBER(_xll.PIArcVal(I$5,$D16, 0,"TPI","exact time"))=TRUE, _xll.PIArcVal(I$5,$D16, 0,"TPI","exact time"), "")</f>
        <v>2.3109999999999999</v>
      </c>
      <c r="K16" s="29">
        <f>IF(ISNUMBER(_xll.PIArcVal(K$5,$C16, 0,"TPI","exact time"))=TRUE,_xll.PIArcVal(K$5,$C16, 0,"TPI","exact time"),"")</f>
        <v>5.0000000000000001E-3</v>
      </c>
      <c r="L16" s="9">
        <f>IF(ISNUMBER(_xll.PIArcVal(K$5,$D16, 0,"TPI","exact time"))=TRUE, _xll.PIArcVal(K$5,$D16, 0,"TPI","exact time"), "")</f>
        <v>5.0000000000000001E-3</v>
      </c>
      <c r="M16" s="29" t="str">
        <f>IF(ISNUMBER(_xll.PIArcVal(M$5,$C16, 0,"TPI","exact time"))=TRUE,_xll.PIArcVal(M$5,$C16, 0,"TPI","exact time"),"")</f>
        <v/>
      </c>
      <c r="N16" s="9" t="str">
        <f>IF(ISNUMBER(_xll.PIArcVal(M$5,$D16, 0,"TPI","exact time"))=TRUE, _xll.PIArcVal(M$5,$D16, 0,"TPI","exact time"), "")</f>
        <v/>
      </c>
      <c r="O16" s="29">
        <f>IF(ISNUMBER(_xll.PIArcVal(O$5,$C16, 0,"TPI","exact time"))=TRUE,_xll.PIArcVal(O$5,$C16, 0,"TPI","exact time"),"")</f>
        <v>3.6999999999999998E-2</v>
      </c>
      <c r="P16" s="9">
        <f>IF(ISNUMBER(_xll.PIArcVal(O$5,$D16, 0,"TPI","exact time"))=TRUE, _xll.PIArcVal(O$5,$D16, 0,"TPI","exact time"), "")</f>
        <v>4.7E-2</v>
      </c>
      <c r="Q16" s="29">
        <f>IF(ISNUMBER(_xll.PIArcVal(Q$5,$C16, 0,"TPI","exact time"))=TRUE,_xll.PIArcVal(Q$5,$C16, 0,"TPI","exact time"),"")</f>
        <v>7.0000000000000001E-3</v>
      </c>
      <c r="R16" s="9">
        <f>IF(ISNUMBER(_xll.PIArcVal(Q$5,$D16, 0,"TPI","exact time"))=TRUE, _xll.PIArcVal(Q$5,$D16, 0,"TPI","exact time"), "")</f>
        <v>7.0000000000000001E-3</v>
      </c>
      <c r="S16" s="29">
        <f>IF(ISNUMBER(_xll.PIArcVal(S$5,$C16, 0,"TPI","exact time"))=TRUE,_xll.PIArcVal(S$5,$C16, 0,"TPI","exact time"),"")</f>
        <v>1.82</v>
      </c>
      <c r="T16" s="9">
        <f>IF(ISNUMBER(_xll.PIArcVal(S$5,$D16, 0,"TPI","exact time"))=TRUE, _xll.PIArcVal(S$5,$D16, 0,"TPI","exact time"), "")</f>
        <v>1.5509999999999999</v>
      </c>
      <c r="U16" s="29">
        <f>IF(ISNUMBER(_xll.PIArcVal(U$5,$C16, 0,"TPI","exact time"))=TRUE,_xll.PIArcVal(U$5,$C16, 0,"TPI","exact time"),"")</f>
        <v>22.885000000000002</v>
      </c>
      <c r="V16" s="9">
        <f>IF(ISNUMBER(_xll.PIArcVal(U$5,$D16, 0,"TPI","exact time"))=TRUE, _xll.PIArcVal(U$5,$D16, 0,"TPI","exact time"), "")</f>
        <v>24.776</v>
      </c>
      <c r="W16" s="29">
        <f>IF(ISNUMBER(_xll.PIArcVal(W$5,$C16, 0,"TPI","exact time"))=TRUE,_xll.PIArcVal(W$5,$C16, 0,"TPI","exact time"),"")</f>
        <v>2.68</v>
      </c>
      <c r="X16" s="9">
        <f>IF(ISNUMBER(_xll.PIArcVal(W$5,$D16, 0,"TPI","exact time"))=TRUE, _xll.PIArcVal(W$5,$D16, 0,"TPI","exact time"), "")</f>
        <v>1.6240000000000001</v>
      </c>
      <c r="Y16" s="29">
        <f>IF(ISNUMBER(_xll.PIArcVal(Y$5,$C16, 0,"TPI","exact time"))=TRUE,_xll.PIArcVal(Y$5,$C16, 0,"TPI","exact time"),"")</f>
        <v>28.91</v>
      </c>
      <c r="Z16" s="9">
        <f>IF(ISNUMBER(_xll.PIArcVal(Y$5,$D16, 0,"TPI","exact time"))=TRUE, _xll.PIArcVal(Y$5,$D16, 0,"TPI","exact time"), "")</f>
        <v>29.53</v>
      </c>
      <c r="AA16" s="29">
        <f>IF(ISNUMBER(_xll.PIArcVal(AA$5,$C16, 0,"TPI","exact time"))=TRUE,_xll.PIArcVal(AA$5,$C16, 0,"TPI","exact time"),"")</f>
        <v>10.34</v>
      </c>
      <c r="AB16" s="9">
        <f>IF(ISNUMBER(_xll.PIArcVal(AA$5,$D16, 0,"TPI","exact time"))=TRUE, _xll.PIArcVal(AA$5,$D16, 0,"TPI","exact time"), "")</f>
        <v>11.4</v>
      </c>
    </row>
    <row r="17" spans="1:28" ht="13.5" thickBot="1" x14ac:dyDescent="0.25">
      <c r="A17">
        <f t="shared" si="3"/>
        <v>11</v>
      </c>
      <c r="B17" s="28">
        <f t="shared" si="0"/>
        <v>46258</v>
      </c>
      <c r="C17" s="30">
        <f t="shared" si="1"/>
        <v>46258.3125</v>
      </c>
      <c r="D17" s="30">
        <f t="shared" si="2"/>
        <v>46258.8125</v>
      </c>
      <c r="E17" s="29">
        <f>IF(ISNUMBER(_xll.PIArcVal(E$5,$C17, 0,"TPI","exact time"))=TRUE,_xll.PIArcVal(E$5,$C17, 0,"TPI","exact time"),"")</f>
        <v>0.58299999999999996</v>
      </c>
      <c r="F17" s="9">
        <f>IF(ISNUMBER(_xll.PIArcVal(E$5,$D17, 0,"TPI","exact time"))=TRUE, _xll.PIArcVal(E$5,$D17, 0,"TPI","exact time"), "")</f>
        <v>0.65100000000000002</v>
      </c>
      <c r="G17" s="29">
        <f>IF(ISNUMBER(_xll.PIArcVal(G$5,$C17, 0,"TPI","exact time"))=TRUE,_xll.PIArcVal(G$5,$C17, 0,"TPI","exact time"),"")</f>
        <v>6.7000000000000004E-2</v>
      </c>
      <c r="H17" s="9">
        <f>IF(ISNUMBER(_xll.PIArcVal(G$5,$D17, 0,"TPI","exact time"))=TRUE, _xll.PIArcVal(G$5,$D17, 0,"TPI","exact time"), "")</f>
        <v>5.3999999999999999E-2</v>
      </c>
      <c r="I17" s="29">
        <f>IF(ISNUMBER(_xll.PIArcVal(I$5,$C17, 0,"TPI","exact time"))=TRUE,_xll.PIArcVal(I$5,$C17, 0,"TPI","exact time"),"")</f>
        <v>2.177</v>
      </c>
      <c r="J17" s="9">
        <f>IF(ISNUMBER(_xll.PIArcVal(I$5,$D17, 0,"TPI","exact time"))=TRUE, _xll.PIArcVal(I$5,$D17, 0,"TPI","exact time"), "")</f>
        <v>2.2090000000000001</v>
      </c>
      <c r="K17" s="29">
        <f>IF(ISNUMBER(_xll.PIArcVal(K$5,$C17, 0,"TPI","exact time"))=TRUE,_xll.PIArcVal(K$5,$C17, 0,"TPI","exact time"),"")</f>
        <v>5.0000000000000001E-3</v>
      </c>
      <c r="L17" s="9">
        <f>IF(ISNUMBER(_xll.PIArcVal(K$5,$D17, 0,"TPI","exact time"))=TRUE, _xll.PIArcVal(K$5,$D17, 0,"TPI","exact time"), "")</f>
        <v>8.0000000000000002E-3</v>
      </c>
      <c r="M17" s="29" t="str">
        <f>IF(ISNUMBER(_xll.PIArcVal(M$5,$C17, 0,"TPI","exact time"))=TRUE,_xll.PIArcVal(M$5,$C17, 0,"TPI","exact time"),"")</f>
        <v/>
      </c>
      <c r="N17" s="9" t="str">
        <f>IF(ISNUMBER(_xll.PIArcVal(M$5,$D17, 0,"TPI","exact time"))=TRUE, _xll.PIArcVal(M$5,$D17, 0,"TPI","exact time"), "")</f>
        <v/>
      </c>
      <c r="O17" s="29">
        <f>IF(ISNUMBER(_xll.PIArcVal(O$5,$C17, 0,"TPI","exact time"))=TRUE,_xll.PIArcVal(O$5,$C17, 0,"TPI","exact time"),"")</f>
        <v>2.9000000000000001E-2</v>
      </c>
      <c r="P17" s="9">
        <f>IF(ISNUMBER(_xll.PIArcVal(O$5,$D17, 0,"TPI","exact time"))=TRUE, _xll.PIArcVal(O$5,$D17, 0,"TPI","exact time"), "")</f>
        <v>4.8000000000000001E-2</v>
      </c>
      <c r="Q17" s="29">
        <f>IF(ISNUMBER(_xll.PIArcVal(Q$5,$C17, 0,"TPI","exact time"))=TRUE,_xll.PIArcVal(Q$5,$C17, 0,"TPI","exact time"),"")</f>
        <v>6.0000000000000001E-3</v>
      </c>
      <c r="R17" s="9">
        <f>IF(ISNUMBER(_xll.PIArcVal(Q$5,$D17, 0,"TPI","exact time"))=TRUE, _xll.PIArcVal(Q$5,$D17, 0,"TPI","exact time"), "")</f>
        <v>7.0000000000000001E-3</v>
      </c>
      <c r="S17" s="29">
        <f>IF(ISNUMBER(_xll.PIArcVal(S$5,$C17, 0,"TPI","exact time"))=TRUE,_xll.PIArcVal(S$5,$C17, 0,"TPI","exact time"),"")</f>
        <v>1.399</v>
      </c>
      <c r="T17" s="9">
        <f>IF(ISNUMBER(_xll.PIArcVal(S$5,$D17, 0,"TPI","exact time"))=TRUE, _xll.PIArcVal(S$5,$D17, 0,"TPI","exact time"), "")</f>
        <v>1.5289999999999999</v>
      </c>
      <c r="U17" s="29">
        <f>IF(ISNUMBER(_xll.PIArcVal(U$5,$C17, 0,"TPI","exact time"))=TRUE,_xll.PIArcVal(U$5,$C17, 0,"TPI","exact time"),"")</f>
        <v>21.143999999999998</v>
      </c>
      <c r="V17" s="9">
        <f>IF(ISNUMBER(_xll.PIArcVal(U$5,$D17, 0,"TPI","exact time"))=TRUE, _xll.PIArcVal(U$5,$D17, 0,"TPI","exact time"), "")</f>
        <v>24.331</v>
      </c>
      <c r="W17" s="29">
        <f>IF(ISNUMBER(_xll.PIArcVal(W$5,$C17, 0,"TPI","exact time"))=TRUE,_xll.PIArcVal(W$5,$C17, 0,"TPI","exact time"),"")</f>
        <v>2.9460000000000002</v>
      </c>
      <c r="X17" s="9">
        <f>IF(ISNUMBER(_xll.PIArcVal(W$5,$D17, 0,"TPI","exact time"))=TRUE, _xll.PIArcVal(W$5,$D17, 0,"TPI","exact time"), "")</f>
        <v>1.764</v>
      </c>
      <c r="Y17" s="29">
        <f>IF(ISNUMBER(_xll.PIArcVal(Y$5,$C17, 0,"TPI","exact time"))=TRUE,_xll.PIArcVal(Y$5,$C17, 0,"TPI","exact time"),"")</f>
        <v>26.86</v>
      </c>
      <c r="Z17" s="9">
        <f>IF(ISNUMBER(_xll.PIArcVal(Y$5,$D17, 0,"TPI","exact time"))=TRUE, _xll.PIArcVal(Y$5,$D17, 0,"TPI","exact time"), "")</f>
        <v>28.49</v>
      </c>
      <c r="AA17" s="29">
        <f>IF(ISNUMBER(_xll.PIArcVal(AA$5,$C17, 0,"TPI","exact time"))=TRUE,_xll.PIArcVal(AA$5,$C17, 0,"TPI","exact time"),"")</f>
        <v>16.3</v>
      </c>
      <c r="AB17" s="9">
        <f>IF(ISNUMBER(_xll.PIArcVal(AA$5,$D17, 0,"TPI","exact time"))=TRUE, _xll.PIArcVal(AA$5,$D17, 0,"TPI","exact time"), "")</f>
        <v>11.7</v>
      </c>
    </row>
    <row r="18" spans="1:28" ht="13.5" thickBot="1" x14ac:dyDescent="0.25">
      <c r="A18">
        <f t="shared" si="3"/>
        <v>12</v>
      </c>
      <c r="B18" s="28">
        <f t="shared" si="0"/>
        <v>46259</v>
      </c>
      <c r="C18" s="30">
        <f t="shared" si="1"/>
        <v>46259.3125</v>
      </c>
      <c r="D18" s="30">
        <f t="shared" si="2"/>
        <v>46259.8125</v>
      </c>
      <c r="E18" s="29">
        <f>IF(ISNUMBER(_xll.PIArcVal(E$5,$C18, 0,"TPI","exact time"))=TRUE,_xll.PIArcVal(E$5,$C18, 0,"TPI","exact time"),"")</f>
        <v>0.54</v>
      </c>
      <c r="F18" s="9">
        <f>IF(ISNUMBER(_xll.PIArcVal(E$5,$D18, 0,"TPI","exact time"))=TRUE, _xll.PIArcVal(E$5,$D18, 0,"TPI","exact time"), "")</f>
        <v>0.58199999999999996</v>
      </c>
      <c r="G18" s="29">
        <f>IF(ISNUMBER(_xll.PIArcVal(G$5,$C18, 0,"TPI","exact time"))=TRUE,_xll.PIArcVal(G$5,$C18, 0,"TPI","exact time"),"")</f>
        <v>4.2000000000000003E-2</v>
      </c>
      <c r="H18" s="9">
        <f>IF(ISNUMBER(_xll.PIArcVal(G$5,$D18, 0,"TPI","exact time"))=TRUE, _xll.PIArcVal(G$5,$D18, 0,"TPI","exact time"), "")</f>
        <v>4.3999999999999997E-2</v>
      </c>
      <c r="I18" s="29">
        <f>IF(ISNUMBER(_xll.PIArcVal(I$5,$C18, 0,"TPI","exact time"))=TRUE,_xll.PIArcVal(I$5,$C18, 0,"TPI","exact time"),"")</f>
        <v>2.5049999999999999</v>
      </c>
      <c r="J18" s="9">
        <f>IF(ISNUMBER(_xll.PIArcVal(I$5,$D18, 0,"TPI","exact time"))=TRUE, _xll.PIArcVal(I$5,$D18, 0,"TPI","exact time"), "")</f>
        <v>2.2799999999999998</v>
      </c>
      <c r="K18" s="29">
        <f>IF(ISNUMBER(_xll.PIArcVal(K$5,$C18, 0,"TPI","exact time"))=TRUE,_xll.PIArcVal(K$5,$C18, 0,"TPI","exact time"),"")</f>
        <v>7.0000000000000001E-3</v>
      </c>
      <c r="L18" s="9">
        <f>IF(ISNUMBER(_xll.PIArcVal(K$5,$D18, 0,"TPI","exact time"))=TRUE, _xll.PIArcVal(K$5,$D18, 0,"TPI","exact time"), "")</f>
        <v>6.0000000000000001E-3</v>
      </c>
      <c r="M18" s="29" t="str">
        <f>IF(ISNUMBER(_xll.PIArcVal(M$5,$C18, 0,"TPI","exact time"))=TRUE,_xll.PIArcVal(M$5,$C18, 0,"TPI","exact time"),"")</f>
        <v/>
      </c>
      <c r="N18" s="9" t="str">
        <f>IF(ISNUMBER(_xll.PIArcVal(M$5,$D18, 0,"TPI","exact time"))=TRUE, _xll.PIArcVal(M$5,$D18, 0,"TPI","exact time"), "")</f>
        <v/>
      </c>
      <c r="O18" s="29">
        <f>IF(ISNUMBER(_xll.PIArcVal(O$5,$C18, 0,"TPI","exact time"))=TRUE,_xll.PIArcVal(O$5,$C18, 0,"TPI","exact time"),"")</f>
        <v>5.3999999999999999E-2</v>
      </c>
      <c r="P18" s="9">
        <f>IF(ISNUMBER(_xll.PIArcVal(O$5,$D18, 0,"TPI","exact time"))=TRUE, _xll.PIArcVal(O$5,$D18, 0,"TPI","exact time"), "")</f>
        <v>5.6000000000000001E-2</v>
      </c>
      <c r="Q18" s="29">
        <f>IF(ISNUMBER(_xll.PIArcVal(Q$5,$C18, 0,"TPI","exact time"))=TRUE,_xll.PIArcVal(Q$5,$C18, 0,"TPI","exact time"),"")</f>
        <v>7.0000000000000001E-3</v>
      </c>
      <c r="R18" s="9">
        <f>IF(ISNUMBER(_xll.PIArcVal(Q$5,$D18, 0,"TPI","exact time"))=TRUE, _xll.PIArcVal(Q$5,$D18, 0,"TPI","exact time"), "")</f>
        <v>6.0000000000000001E-3</v>
      </c>
      <c r="S18" s="29">
        <f>IF(ISNUMBER(_xll.PIArcVal(S$5,$C18, 0,"TPI","exact time"))=TRUE,_xll.PIArcVal(S$5,$C18, 0,"TPI","exact time"),"")</f>
        <v>2.0329999999999999</v>
      </c>
      <c r="T18" s="9">
        <f>IF(ISNUMBER(_xll.PIArcVal(S$5,$D18, 0,"TPI","exact time"))=TRUE, _xll.PIArcVal(S$5,$D18, 0,"TPI","exact time"), "")</f>
        <v>1.5640000000000001</v>
      </c>
      <c r="U18" s="29">
        <f>IF(ISNUMBER(_xll.PIArcVal(U$5,$C18, 0,"TPI","exact time"))=TRUE,_xll.PIArcVal(U$5,$C18, 0,"TPI","exact time"),"")</f>
        <v>23.065000000000001</v>
      </c>
      <c r="V18" s="9">
        <f>IF(ISNUMBER(_xll.PIArcVal(U$5,$D18, 0,"TPI","exact time"))=TRUE, _xll.PIArcVal(U$5,$D18, 0,"TPI","exact time"), "")</f>
        <v>24.725999999999999</v>
      </c>
      <c r="W18" s="29">
        <f>IF(ISNUMBER(_xll.PIArcVal(W$5,$C18, 0,"TPI","exact time"))=TRUE,_xll.PIArcVal(W$5,$C18, 0,"TPI","exact time"),"")</f>
        <v>1.617</v>
      </c>
      <c r="X18" s="9">
        <f>IF(ISNUMBER(_xll.PIArcVal(W$5,$D18, 0,"TPI","exact time"))=TRUE, _xll.PIArcVal(W$5,$D18, 0,"TPI","exact time"), "")</f>
        <v>1.4370000000000001</v>
      </c>
      <c r="Y18" s="29">
        <f>IF(ISNUMBER(_xll.PIArcVal(Y$5,$C18, 0,"TPI","exact time"))=TRUE,_xll.PIArcVal(Y$5,$C18, 0,"TPI","exact time"),"")</f>
        <v>28.47</v>
      </c>
      <c r="Z18" s="9">
        <f>IF(ISNUMBER(_xll.PIArcVal(Y$5,$D18, 0,"TPI","exact time"))=TRUE, _xll.PIArcVal(Y$5,$D18, 0,"TPI","exact time"), "")</f>
        <v>27.39</v>
      </c>
      <c r="AA18" s="29">
        <f>IF(ISNUMBER(_xll.PIArcVal(AA$5,$C18, 0,"TPI","exact time"))=TRUE,_xll.PIArcVal(AA$5,$C18, 0,"TPI","exact time"),"")</f>
        <v>12.62</v>
      </c>
      <c r="AB18" s="9">
        <f>IF(ISNUMBER(_xll.PIArcVal(AA$5,$D18, 0,"TPI","exact time"))=TRUE, _xll.PIArcVal(AA$5,$D18, 0,"TPI","exact time"), "")</f>
        <v>11.26</v>
      </c>
    </row>
    <row r="19" spans="1:28" ht="13.5" thickBot="1" x14ac:dyDescent="0.25">
      <c r="A19">
        <f t="shared" si="3"/>
        <v>13</v>
      </c>
      <c r="B19" s="28">
        <f t="shared" si="0"/>
        <v>46260</v>
      </c>
      <c r="C19" s="30">
        <f t="shared" si="1"/>
        <v>46260.3125</v>
      </c>
      <c r="D19" s="30">
        <f t="shared" si="2"/>
        <v>46260.8125</v>
      </c>
      <c r="E19" s="29">
        <f>IF(ISNUMBER(_xll.PIArcVal(E$5,$C19, 0,"TPI","exact time"))=TRUE,_xll.PIArcVal(E$5,$C19, 0,"TPI","exact time"),"")</f>
        <v>0.48499999999999999</v>
      </c>
      <c r="F19" s="9">
        <f>IF(ISNUMBER(_xll.PIArcVal(E$5,$D19, 0,"TPI","exact time"))=TRUE, _xll.PIArcVal(E$5,$D19, 0,"TPI","exact time"), "")</f>
        <v>0.56399999999999995</v>
      </c>
      <c r="G19" s="29">
        <f>IF(ISNUMBER(_xll.PIArcVal(G$5,$C19, 0,"TPI","exact time"))=TRUE,_xll.PIArcVal(G$5,$C19, 0,"TPI","exact time"),"")</f>
        <v>4.4999999999999998E-2</v>
      </c>
      <c r="H19" s="9">
        <f>IF(ISNUMBER(_xll.PIArcVal(G$5,$D19, 0,"TPI","exact time"))=TRUE, _xll.PIArcVal(G$5,$D19, 0,"TPI","exact time"), "")</f>
        <v>0.06</v>
      </c>
      <c r="I19" s="29">
        <f>IF(ISNUMBER(_xll.PIArcVal(I$5,$C19, 0,"TPI","exact time"))=TRUE,_xll.PIArcVal(I$5,$C19, 0,"TPI","exact time"),"")</f>
        <v>2.12</v>
      </c>
      <c r="J19" s="9">
        <f>IF(ISNUMBER(_xll.PIArcVal(I$5,$D19, 0,"TPI","exact time"))=TRUE, _xll.PIArcVal(I$5,$D19, 0,"TPI","exact time"), "")</f>
        <v>2.0259999999999998</v>
      </c>
      <c r="K19" s="29">
        <f>IF(ISNUMBER(_xll.PIArcVal(K$5,$C19, 0,"TPI","exact time"))=TRUE,_xll.PIArcVal(K$5,$C19, 0,"TPI","exact time"),"")</f>
        <v>1.2E-2</v>
      </c>
      <c r="L19" s="9">
        <f>IF(ISNUMBER(_xll.PIArcVal(K$5,$D19, 0,"TPI","exact time"))=TRUE, _xll.PIArcVal(K$5,$D19, 0,"TPI","exact time"), "")</f>
        <v>0.01</v>
      </c>
      <c r="M19" s="29" t="str">
        <f>IF(ISNUMBER(_xll.PIArcVal(M$5,$C19, 0,"TPI","exact time"))=TRUE,_xll.PIArcVal(M$5,$C19, 0,"TPI","exact time"),"")</f>
        <v/>
      </c>
      <c r="N19" s="9" t="str">
        <f>IF(ISNUMBER(_xll.PIArcVal(M$5,$D19, 0,"TPI","exact time"))=TRUE, _xll.PIArcVal(M$5,$D19, 0,"TPI","exact time"), "")</f>
        <v/>
      </c>
      <c r="O19" s="29">
        <f>IF(ISNUMBER(_xll.PIArcVal(O$5,$C19, 0,"TPI","exact time"))=TRUE,_xll.PIArcVal(O$5,$C19, 0,"TPI","exact time"),"")</f>
        <v>0.04</v>
      </c>
      <c r="P19" s="9">
        <f>IF(ISNUMBER(_xll.PIArcVal(O$5,$D19, 0,"TPI","exact time"))=TRUE, _xll.PIArcVal(O$5,$D19, 0,"TPI","exact time"), "")</f>
        <v>3.6999999999999998E-2</v>
      </c>
      <c r="Q19" s="29">
        <f>IF(ISNUMBER(_xll.PIArcVal(Q$5,$C19, 0,"TPI","exact time"))=TRUE,_xll.PIArcVal(Q$5,$C19, 0,"TPI","exact time"),"")</f>
        <v>7.0000000000000001E-3</v>
      </c>
      <c r="R19" s="9">
        <f>IF(ISNUMBER(_xll.PIArcVal(Q$5,$D19, 0,"TPI","exact time"))=TRUE, _xll.PIArcVal(Q$5,$D19, 0,"TPI","exact time"), "")</f>
        <v>7.0000000000000001E-3</v>
      </c>
      <c r="S19" s="29">
        <f>IF(ISNUMBER(_xll.PIArcVal(S$5,$C19, 0,"TPI","exact time"))=TRUE,_xll.PIArcVal(S$5,$C19, 0,"TPI","exact time"),"")</f>
        <v>1.6659999999999999</v>
      </c>
      <c r="T19" s="9">
        <f>IF(ISNUMBER(_xll.PIArcVal(S$5,$D19, 0,"TPI","exact time"))=TRUE, _xll.PIArcVal(S$5,$D19, 0,"TPI","exact time"), "")</f>
        <v>1.518</v>
      </c>
      <c r="U19" s="29">
        <f>IF(ISNUMBER(_xll.PIArcVal(U$5,$C19, 0,"TPI","exact time"))=TRUE,_xll.PIArcVal(U$5,$C19, 0,"TPI","exact time"),"")</f>
        <v>18.288</v>
      </c>
      <c r="V19" s="9">
        <f>IF(ISNUMBER(_xll.PIArcVal(U$5,$D19, 0,"TPI","exact time"))=TRUE, _xll.PIArcVal(U$5,$D19, 0,"TPI","exact time"), "")</f>
        <v>26.913</v>
      </c>
      <c r="W19" s="29">
        <f>IF(ISNUMBER(_xll.PIArcVal(W$5,$C19, 0,"TPI","exact time"))=TRUE,_xll.PIArcVal(W$5,$C19, 0,"TPI","exact time"),"")</f>
        <v>1.5609999999999999</v>
      </c>
      <c r="X19" s="9">
        <f>IF(ISNUMBER(_xll.PIArcVal(W$5,$D19, 0,"TPI","exact time"))=TRUE, _xll.PIArcVal(W$5,$D19, 0,"TPI","exact time"), "")</f>
        <v>2.29</v>
      </c>
      <c r="Y19" s="29">
        <f>IF(ISNUMBER(_xll.PIArcVal(Y$5,$C19, 0,"TPI","exact time"))=TRUE,_xll.PIArcVal(Y$5,$C19, 0,"TPI","exact time"),"")</f>
        <v>24.83</v>
      </c>
      <c r="Z19" s="9">
        <f>IF(ISNUMBER(_xll.PIArcVal(Y$5,$D19, 0,"TPI","exact time"))=TRUE, _xll.PIArcVal(Y$5,$D19, 0,"TPI","exact time"), "")</f>
        <v>28</v>
      </c>
      <c r="AA19" s="29">
        <f>IF(ISNUMBER(_xll.PIArcVal(AA$5,$C19, 0,"TPI","exact time"))=TRUE,_xll.PIArcVal(AA$5,$C19, 0,"TPI","exact time"),"")</f>
        <v>23.16</v>
      </c>
      <c r="AB19" s="9">
        <f>IF(ISNUMBER(_xll.PIArcVal(AA$5,$D19, 0,"TPI","exact time"))=TRUE, _xll.PIArcVal(AA$5,$D19, 0,"TPI","exact time"), "")</f>
        <v>7.96</v>
      </c>
    </row>
    <row r="20" spans="1:28" ht="13.5" thickBot="1" x14ac:dyDescent="0.25">
      <c r="A20">
        <f t="shared" si="3"/>
        <v>14</v>
      </c>
      <c r="B20" s="28">
        <f t="shared" si="0"/>
        <v>46261</v>
      </c>
      <c r="C20" s="30">
        <f t="shared" si="1"/>
        <v>46261.3125</v>
      </c>
      <c r="D20" s="30">
        <f t="shared" si="2"/>
        <v>46261.8125</v>
      </c>
      <c r="E20" s="29">
        <f>IF(ISNUMBER(_xll.PIArcVal(E$5,$C20, 0,"TPI","exact time"))=TRUE,_xll.PIArcVal(E$5,$C20, 0,"TPI","exact time"),"")</f>
        <v>0.54</v>
      </c>
      <c r="F20" s="9">
        <f>IF(ISNUMBER(_xll.PIArcVal(E$5,$D20, 0,"TPI","exact time"))=TRUE, _xll.PIArcVal(E$5,$D20, 0,"TPI","exact time"), "")</f>
        <v>0.54500000000000004</v>
      </c>
      <c r="G20" s="29">
        <f>IF(ISNUMBER(_xll.PIArcVal(G$5,$C20, 0,"TPI","exact time"))=TRUE,_xll.PIArcVal(G$5,$C20, 0,"TPI","exact time"),"")</f>
        <v>4.1000000000000002E-2</v>
      </c>
      <c r="H20" s="9">
        <f>IF(ISNUMBER(_xll.PIArcVal(G$5,$D20, 0,"TPI","exact time"))=TRUE, _xll.PIArcVal(G$5,$D20, 0,"TPI","exact time"), "")</f>
        <v>0.05</v>
      </c>
      <c r="I20" s="29">
        <f>IF(ISNUMBER(_xll.PIArcVal(I$5,$C20, 0,"TPI","exact time"))=TRUE,_xll.PIArcVal(I$5,$C20, 0,"TPI","exact time"),"")</f>
        <v>1.6930000000000001</v>
      </c>
      <c r="J20" s="9">
        <f>IF(ISNUMBER(_xll.PIArcVal(I$5,$D20, 0,"TPI","exact time"))=TRUE, _xll.PIArcVal(I$5,$D20, 0,"TPI","exact time"), "")</f>
        <v>1.802</v>
      </c>
      <c r="K20" s="29">
        <f>IF(ISNUMBER(_xll.PIArcVal(K$5,$C20, 0,"TPI","exact time"))=TRUE,_xll.PIArcVal(K$5,$C20, 0,"TPI","exact time"),"")</f>
        <v>8.9999999999999993E-3</v>
      </c>
      <c r="L20" s="9">
        <f>IF(ISNUMBER(_xll.PIArcVal(K$5,$D20, 0,"TPI","exact time"))=TRUE, _xll.PIArcVal(K$5,$D20, 0,"TPI","exact time"), "")</f>
        <v>8.0000000000000002E-3</v>
      </c>
      <c r="M20" s="29" t="str">
        <f>IF(ISNUMBER(_xll.PIArcVal(M$5,$C20, 0,"TPI","exact time"))=TRUE,_xll.PIArcVal(M$5,$C20, 0,"TPI","exact time"),"")</f>
        <v/>
      </c>
      <c r="N20" s="9" t="str">
        <f>IF(ISNUMBER(_xll.PIArcVal(M$5,$D20, 0,"TPI","exact time"))=TRUE, _xll.PIArcVal(M$5,$D20, 0,"TPI","exact time"), "")</f>
        <v/>
      </c>
      <c r="O20" s="29">
        <f>IF(ISNUMBER(_xll.PIArcVal(O$5,$C20, 0,"TPI","exact time"))=TRUE,_xll.PIArcVal(O$5,$C20, 0,"TPI","exact time"),"")</f>
        <v>4.9000000000000002E-2</v>
      </c>
      <c r="P20" s="9">
        <f>IF(ISNUMBER(_xll.PIArcVal(O$5,$D20, 0,"TPI","exact time"))=TRUE, _xll.PIArcVal(O$5,$D20, 0,"TPI","exact time"), "")</f>
        <v>4.9000000000000002E-2</v>
      </c>
      <c r="Q20" s="29">
        <f>IF(ISNUMBER(_xll.PIArcVal(Q$5,$C20, 0,"TPI","exact time"))=TRUE,_xll.PIArcVal(Q$5,$C20, 0,"TPI","exact time"),"")</f>
        <v>7.0000000000000001E-3</v>
      </c>
      <c r="R20" s="9">
        <f>IF(ISNUMBER(_xll.PIArcVal(Q$5,$D20, 0,"TPI","exact time"))=TRUE, _xll.PIArcVal(Q$5,$D20, 0,"TPI","exact time"), "")</f>
        <v>7.0000000000000001E-3</v>
      </c>
      <c r="S20" s="29">
        <f>IF(ISNUMBER(_xll.PIArcVal(S$5,$C20, 0,"TPI","exact time"))=TRUE,_xll.PIArcVal(S$5,$C20, 0,"TPI","exact time"),"")</f>
        <v>1.117</v>
      </c>
      <c r="T20" s="9">
        <f>IF(ISNUMBER(_xll.PIArcVal(S$5,$D20, 0,"TPI","exact time"))=TRUE, _xll.PIArcVal(S$5,$D20, 0,"TPI","exact time"), "")</f>
        <v>1.159</v>
      </c>
      <c r="U20" s="29">
        <f>IF(ISNUMBER(_xll.PIArcVal(U$5,$C20, 0,"TPI","exact time"))=TRUE,_xll.PIArcVal(U$5,$C20, 0,"TPI","exact time"),"")</f>
        <v>21.335999999999999</v>
      </c>
      <c r="V20" s="9">
        <f>IF(ISNUMBER(_xll.PIArcVal(U$5,$D20, 0,"TPI","exact time"))=TRUE, _xll.PIArcVal(U$5,$D20, 0,"TPI","exact time"), "")</f>
        <v>26.716000000000001</v>
      </c>
      <c r="W20" s="29">
        <f>IF(ISNUMBER(_xll.PIArcVal(W$5,$C20, 0,"TPI","exact time"))=TRUE,_xll.PIArcVal(W$5,$C20, 0,"TPI","exact time"),"")</f>
        <v>1.7749999999999999</v>
      </c>
      <c r="X20" s="9">
        <f>IF(ISNUMBER(_xll.PIArcVal(W$5,$D20, 0,"TPI","exact time"))=TRUE, _xll.PIArcVal(W$5,$D20, 0,"TPI","exact time"), "")</f>
        <v>1.6779999999999999</v>
      </c>
      <c r="Y20" s="29">
        <f>IF(ISNUMBER(_xll.PIArcVal(Y$5,$C20, 0,"TPI","exact time"))=TRUE,_xll.PIArcVal(Y$5,$C20, 0,"TPI","exact time"),"")</f>
        <v>32.68</v>
      </c>
      <c r="Z20" s="9">
        <f>IF(ISNUMBER(_xll.PIArcVal(Y$5,$D20, 0,"TPI","exact time"))=TRUE, _xll.PIArcVal(Y$5,$D20, 0,"TPI","exact time"), "")</f>
        <v>28.99</v>
      </c>
      <c r="AA20" s="29">
        <f>IF(ISNUMBER(_xll.PIArcVal(AA$5,$C20, 0,"TPI","exact time"))=TRUE,_xll.PIArcVal(AA$5,$C20, 0,"TPI","exact time"),"")</f>
        <v>7.92</v>
      </c>
      <c r="AB20" s="9">
        <f>IF(ISNUMBER(_xll.PIArcVal(AA$5,$D20, 0,"TPI","exact time"))=TRUE, _xll.PIArcVal(AA$5,$D20, 0,"TPI","exact time"), "")</f>
        <v>7.86</v>
      </c>
    </row>
    <row r="21" spans="1:28" ht="13.5" thickBot="1" x14ac:dyDescent="0.25">
      <c r="A21">
        <f t="shared" si="3"/>
        <v>15</v>
      </c>
      <c r="B21" s="28">
        <f t="shared" si="0"/>
        <v>46262</v>
      </c>
      <c r="C21" s="30">
        <f t="shared" si="1"/>
        <v>46262.3125</v>
      </c>
      <c r="D21" s="30">
        <f t="shared" si="2"/>
        <v>46262.8125</v>
      </c>
      <c r="E21" s="29">
        <f>IF(ISNUMBER(_xll.PIArcVal(E$5,$C21, 0,"TPI","exact time"))=TRUE,_xll.PIArcVal(E$5,$C21, 0,"TPI","exact time"),"")</f>
        <v>0.52</v>
      </c>
      <c r="F21" s="9">
        <f>IF(ISNUMBER(_xll.PIArcVal(E$5,$D21, 0,"TPI","exact time"))=TRUE, _xll.PIArcVal(E$5,$D21, 0,"TPI","exact time"), "")</f>
        <v>0.46200000000000002</v>
      </c>
      <c r="G21" s="29">
        <f>IF(ISNUMBER(_xll.PIArcVal(G$5,$C21, 0,"TPI","exact time"))=TRUE,_xll.PIArcVal(G$5,$C21, 0,"TPI","exact time"),"")</f>
        <v>4.5999999999999999E-2</v>
      </c>
      <c r="H21" s="9">
        <f>IF(ISNUMBER(_xll.PIArcVal(G$5,$D21, 0,"TPI","exact time"))=TRUE, _xll.PIArcVal(G$5,$D21, 0,"TPI","exact time"), "")</f>
        <v>3.5999999999999997E-2</v>
      </c>
      <c r="I21" s="29">
        <f>IF(ISNUMBER(_xll.PIArcVal(I$5,$C21, 0,"TPI","exact time"))=TRUE,_xll.PIArcVal(I$5,$C21, 0,"TPI","exact time"),"")</f>
        <v>2.0049999999999999</v>
      </c>
      <c r="J21" s="9">
        <f>IF(ISNUMBER(_xll.PIArcVal(I$5,$D21, 0,"TPI","exact time"))=TRUE, _xll.PIArcVal(I$5,$D21, 0,"TPI","exact time"), "")</f>
        <v>2.266</v>
      </c>
      <c r="K21" s="29">
        <f>IF(ISNUMBER(_xll.PIArcVal(K$5,$C21, 0,"TPI","exact time"))=TRUE,_xll.PIArcVal(K$5,$C21, 0,"TPI","exact time"),"")</f>
        <v>8.0000000000000002E-3</v>
      </c>
      <c r="L21" s="9">
        <f>IF(ISNUMBER(_xll.PIArcVal(K$5,$D21, 0,"TPI","exact time"))=TRUE, _xll.PIArcVal(K$5,$D21, 0,"TPI","exact time"), "")</f>
        <v>8.9999999999999993E-3</v>
      </c>
      <c r="M21" s="29" t="str">
        <f>IF(ISNUMBER(_xll.PIArcVal(M$5,$C21, 0,"TPI","exact time"))=TRUE,_xll.PIArcVal(M$5,$C21, 0,"TPI","exact time"),"")</f>
        <v/>
      </c>
      <c r="N21" s="9" t="str">
        <f>IF(ISNUMBER(_xll.PIArcVal(M$5,$D21, 0,"TPI","exact time"))=TRUE, _xll.PIArcVal(M$5,$D21, 0,"TPI","exact time"), "")</f>
        <v/>
      </c>
      <c r="O21" s="29">
        <f>IF(ISNUMBER(_xll.PIArcVal(O$5,$C21, 0,"TPI","exact time"))=TRUE,_xll.PIArcVal(O$5,$C21, 0,"TPI","exact time"),"")</f>
        <v>3.9E-2</v>
      </c>
      <c r="P21" s="9">
        <f>IF(ISNUMBER(_xll.PIArcVal(O$5,$D21, 0,"TPI","exact time"))=TRUE, _xll.PIArcVal(O$5,$D21, 0,"TPI","exact time"), "")</f>
        <v>2.7E-2</v>
      </c>
      <c r="Q21" s="29">
        <f>IF(ISNUMBER(_xll.PIArcVal(Q$5,$C21, 0,"TPI","exact time"))=TRUE,_xll.PIArcVal(Q$5,$C21, 0,"TPI","exact time"),"")</f>
        <v>5.0000000000000001E-3</v>
      </c>
      <c r="R21" s="9">
        <f>IF(ISNUMBER(_xll.PIArcVal(Q$5,$D21, 0,"TPI","exact time"))=TRUE, _xll.PIArcVal(Q$5,$D21, 0,"TPI","exact time"), "")</f>
        <v>4.0000000000000001E-3</v>
      </c>
      <c r="S21" s="29">
        <f>IF(ISNUMBER(_xll.PIArcVal(S$5,$C21, 0,"TPI","exact time"))=TRUE,_xll.PIArcVal(S$5,$C21, 0,"TPI","exact time"),"")</f>
        <v>1.619</v>
      </c>
      <c r="T21" s="9">
        <f>IF(ISNUMBER(_xll.PIArcVal(S$5,$D21, 0,"TPI","exact time"))=TRUE, _xll.PIArcVal(S$5,$D21, 0,"TPI","exact time"), "")</f>
        <v>1.6639999999999999</v>
      </c>
      <c r="U21" s="29">
        <f>IF(ISNUMBER(_xll.PIArcVal(U$5,$C21, 0,"TPI","exact time"))=TRUE,_xll.PIArcVal(U$5,$C21, 0,"TPI","exact time"),"")</f>
        <v>21.856000000000002</v>
      </c>
      <c r="V21" s="9">
        <f>IF(ISNUMBER(_xll.PIArcVal(U$5,$D21, 0,"TPI","exact time"))=TRUE, _xll.PIArcVal(U$5,$D21, 0,"TPI","exact time"), "")</f>
        <v>23.388000000000002</v>
      </c>
      <c r="W21" s="29">
        <f>IF(ISNUMBER(_xll.PIArcVal(W$5,$C21, 0,"TPI","exact time"))=TRUE,_xll.PIArcVal(W$5,$C21, 0,"TPI","exact time"),"")</f>
        <v>2.3109999999999999</v>
      </c>
      <c r="X21" s="9">
        <f>IF(ISNUMBER(_xll.PIArcVal(W$5,$D21, 0,"TPI","exact time"))=TRUE, _xll.PIArcVal(W$5,$D21, 0,"TPI","exact time"), "")</f>
        <v>1.841</v>
      </c>
      <c r="Y21" s="29">
        <f>IF(ISNUMBER(_xll.PIArcVal(Y$5,$C21, 0,"TPI","exact time"))=TRUE,_xll.PIArcVal(Y$5,$C21, 0,"TPI","exact time"),"")</f>
        <v>29.63</v>
      </c>
      <c r="Z21" s="9">
        <f>IF(ISNUMBER(_xll.PIArcVal(Y$5,$D21, 0,"TPI","exact time"))=TRUE, _xll.PIArcVal(Y$5,$D21, 0,"TPI","exact time"), "")</f>
        <v>28.85</v>
      </c>
      <c r="AA21" s="29">
        <f>IF(ISNUMBER(_xll.PIArcVal(AA$5,$C21, 0,"TPI","exact time"))=TRUE,_xll.PIArcVal(AA$5,$C21, 0,"TPI","exact time"),"")</f>
        <v>12.48</v>
      </c>
      <c r="AB21" s="9">
        <f>IF(ISNUMBER(_xll.PIArcVal(AA$5,$D21, 0,"TPI","exact time"))=TRUE, _xll.PIArcVal(AA$5,$D21, 0,"TPI","exact time"), "")</f>
        <v>13.2</v>
      </c>
    </row>
    <row r="22" spans="1:28" ht="13.5" thickBot="1" x14ac:dyDescent="0.25">
      <c r="A22">
        <f t="shared" si="3"/>
        <v>16</v>
      </c>
      <c r="B22" s="28">
        <f t="shared" si="0"/>
        <v>46263</v>
      </c>
      <c r="C22" s="30">
        <f t="shared" si="1"/>
        <v>46263.3125</v>
      </c>
      <c r="D22" s="30">
        <f t="shared" si="2"/>
        <v>46263.8125</v>
      </c>
      <c r="E22" s="29">
        <f>IF(ISNUMBER(_xll.PIArcVal(E$5,$C22, 0,"TPI","exact time"))=TRUE,_xll.PIArcVal(E$5,$C22, 0,"TPI","exact time"),"")</f>
        <v>0.41799999999999998</v>
      </c>
      <c r="F22" s="9">
        <f>IF(ISNUMBER(_xll.PIArcVal(E$5,$D22, 0,"TPI","exact time"))=TRUE, _xll.PIArcVal(E$5,$D22, 0,"TPI","exact time"), "")</f>
        <v>0.45700000000000002</v>
      </c>
      <c r="G22" s="29">
        <f>IF(ISNUMBER(_xll.PIArcVal(G$5,$C22, 0,"TPI","exact time"))=TRUE,_xll.PIArcVal(G$5,$C22, 0,"TPI","exact time"),"")</f>
        <v>2.7E-2</v>
      </c>
      <c r="H22" s="9">
        <f>IF(ISNUMBER(_xll.PIArcVal(G$5,$D22, 0,"TPI","exact time"))=TRUE, _xll.PIArcVal(G$5,$D22, 0,"TPI","exact time"), "")</f>
        <v>2.5999999999999999E-2</v>
      </c>
      <c r="I22" s="29">
        <f>IF(ISNUMBER(_xll.PIArcVal(I$5,$C22, 0,"TPI","exact time"))=TRUE,_xll.PIArcVal(I$5,$C22, 0,"TPI","exact time"),"")</f>
        <v>2.5649999999999999</v>
      </c>
      <c r="J22" s="9">
        <f>IF(ISNUMBER(_xll.PIArcVal(I$5,$D22, 0,"TPI","exact time"))=TRUE, _xll.PIArcVal(I$5,$D22, 0,"TPI","exact time"), "")</f>
        <v>2.3540000000000001</v>
      </c>
      <c r="K22" s="29">
        <f>IF(ISNUMBER(_xll.PIArcVal(K$5,$C22, 0,"TPI","exact time"))=TRUE,_xll.PIArcVal(K$5,$C22, 0,"TPI","exact time"),"")</f>
        <v>0.01</v>
      </c>
      <c r="L22" s="9">
        <f>IF(ISNUMBER(_xll.PIArcVal(K$5,$D22, 0,"TPI","exact time"))=TRUE, _xll.PIArcVal(K$5,$D22, 0,"TPI","exact time"), "")</f>
        <v>0.01</v>
      </c>
      <c r="M22" s="29" t="str">
        <f>IF(ISNUMBER(_xll.PIArcVal(M$5,$C22, 0,"TPI","exact time"))=TRUE,_xll.PIArcVal(M$5,$C22, 0,"TPI","exact time"),"")</f>
        <v/>
      </c>
      <c r="N22" s="9" t="str">
        <f>IF(ISNUMBER(_xll.PIArcVal(M$5,$D22, 0,"TPI","exact time"))=TRUE, _xll.PIArcVal(M$5,$D22, 0,"TPI","exact time"), "")</f>
        <v/>
      </c>
      <c r="O22" s="29">
        <f>IF(ISNUMBER(_xll.PIArcVal(O$5,$C22, 0,"TPI","exact time"))=TRUE,_xll.PIArcVal(O$5,$C22, 0,"TPI","exact time"),"")</f>
        <v>2.3E-2</v>
      </c>
      <c r="P22" s="9">
        <f>IF(ISNUMBER(_xll.PIArcVal(O$5,$D22, 0,"TPI","exact time"))=TRUE, _xll.PIArcVal(O$5,$D22, 0,"TPI","exact time"), "")</f>
        <v>3.9E-2</v>
      </c>
      <c r="Q22" s="29">
        <f>IF(ISNUMBER(_xll.PIArcVal(Q$5,$C22, 0,"TPI","exact time"))=TRUE,_xll.PIArcVal(Q$5,$C22, 0,"TPI","exact time"),"")</f>
        <v>3.0000000000000001E-3</v>
      </c>
      <c r="R22" s="9">
        <f>IF(ISNUMBER(_xll.PIArcVal(Q$5,$D22, 0,"TPI","exact time"))=TRUE, _xll.PIArcVal(Q$5,$D22, 0,"TPI","exact time"), "")</f>
        <v>4.0000000000000001E-3</v>
      </c>
      <c r="S22" s="29">
        <f>IF(ISNUMBER(_xll.PIArcVal(S$5,$C22, 0,"TPI","exact time"))=TRUE,_xll.PIArcVal(S$5,$C22, 0,"TPI","exact time"),"")</f>
        <v>2.133</v>
      </c>
      <c r="T22" s="9">
        <f>IF(ISNUMBER(_xll.PIArcVal(S$5,$D22, 0,"TPI","exact time"))=TRUE, _xll.PIArcVal(S$5,$D22, 0,"TPI","exact time"), "")</f>
        <v>2.028</v>
      </c>
      <c r="U22" s="29">
        <f>IF(ISNUMBER(_xll.PIArcVal(U$5,$C22, 0,"TPI","exact time"))=TRUE,_xll.PIArcVal(U$5,$C22, 0,"TPI","exact time"),"")</f>
        <v>23.382999999999999</v>
      </c>
      <c r="V22" s="9">
        <f>IF(ISNUMBER(_xll.PIArcVal(U$5,$D22, 0,"TPI","exact time"))=TRUE, _xll.PIArcVal(U$5,$D22, 0,"TPI","exact time"), "")</f>
        <v>21.791</v>
      </c>
      <c r="W22" s="29">
        <f>IF(ISNUMBER(_xll.PIArcVal(W$5,$C22, 0,"TPI","exact time"))=TRUE,_xll.PIArcVal(W$5,$C22, 0,"TPI","exact time"),"")</f>
        <v>0.89400000000000002</v>
      </c>
      <c r="X22" s="9">
        <f>IF(ISNUMBER(_xll.PIArcVal(W$5,$D22, 0,"TPI","exact time"))=TRUE, _xll.PIArcVal(W$5,$D22, 0,"TPI","exact time"), "")</f>
        <v>1.2869999999999999</v>
      </c>
      <c r="Y22" s="29">
        <f>IF(ISNUMBER(_xll.PIArcVal(Y$5,$C22, 0,"TPI","exact time"))=TRUE,_xll.PIArcVal(Y$5,$C22, 0,"TPI","exact time"),"")</f>
        <v>28.44</v>
      </c>
      <c r="Z22" s="9">
        <f>IF(ISNUMBER(_xll.PIArcVal(Y$5,$D22, 0,"TPI","exact time"))=TRUE, _xll.PIArcVal(Y$5,$D22, 0,"TPI","exact time"), "")</f>
        <v>29.95</v>
      </c>
      <c r="AA22" s="29">
        <f>IF(ISNUMBER(_xll.PIArcVal(AA$5,$C22, 0,"TPI","exact time"))=TRUE,_xll.PIArcVal(AA$5,$C22, 0,"TPI","exact time"),"")</f>
        <v>13.4</v>
      </c>
      <c r="AB22" s="9">
        <f>IF(ISNUMBER(_xll.PIArcVal(AA$5,$D22, 0,"TPI","exact time"))=TRUE, _xll.PIArcVal(AA$5,$D22, 0,"TPI","exact time"), "")</f>
        <v>12.78</v>
      </c>
    </row>
    <row r="23" spans="1:28" ht="13.5" thickBot="1" x14ac:dyDescent="0.25">
      <c r="A23">
        <f t="shared" si="3"/>
        <v>17</v>
      </c>
      <c r="B23" s="28">
        <f t="shared" si="0"/>
        <v>46264</v>
      </c>
      <c r="C23" s="30">
        <f t="shared" si="1"/>
        <v>46264.3125</v>
      </c>
      <c r="D23" s="30">
        <f t="shared" si="2"/>
        <v>46264.8125</v>
      </c>
      <c r="E23" s="29">
        <f>IF(ISNUMBER(_xll.PIArcVal(E$5,$C23, 0,"TPI","exact time"))=TRUE,_xll.PIArcVal(E$5,$C23, 0,"TPI","exact time"),"")</f>
        <v>0.56200000000000006</v>
      </c>
      <c r="F23" s="9">
        <f>IF(ISNUMBER(_xll.PIArcVal(E$5,$D23, 0,"TPI","exact time"))=TRUE, _xll.PIArcVal(E$5,$D23, 0,"TPI","exact time"), "")</f>
        <v>0.46200000000000002</v>
      </c>
      <c r="G23" s="29">
        <f>IF(ISNUMBER(_xll.PIArcVal(G$5,$C23, 0,"TPI","exact time"))=TRUE,_xll.PIArcVal(G$5,$C23, 0,"TPI","exact time"),"")</f>
        <v>3.2000000000000001E-2</v>
      </c>
      <c r="H23" s="9">
        <f>IF(ISNUMBER(_xll.PIArcVal(G$5,$D23, 0,"TPI","exact time"))=TRUE, _xll.PIArcVal(G$5,$D23, 0,"TPI","exact time"), "")</f>
        <v>4.2000000000000003E-2</v>
      </c>
      <c r="I23" s="29">
        <f>IF(ISNUMBER(_xll.PIArcVal(I$5,$C23, 0,"TPI","exact time"))=TRUE,_xll.PIArcVal(I$5,$C23, 0,"TPI","exact time"),"")</f>
        <v>2.2050000000000001</v>
      </c>
      <c r="J23" s="9">
        <f>IF(ISNUMBER(_xll.PIArcVal(I$5,$D23, 0,"TPI","exact time"))=TRUE, _xll.PIArcVal(I$5,$D23, 0,"TPI","exact time"), "")</f>
        <v>1.863</v>
      </c>
      <c r="K23" s="29">
        <f>IF(ISNUMBER(_xll.PIArcVal(K$5,$C23, 0,"TPI","exact time"))=TRUE,_xll.PIArcVal(K$5,$C23, 0,"TPI","exact time"),"")</f>
        <v>1.0999999999999999E-2</v>
      </c>
      <c r="L23" s="9">
        <f>IF(ISNUMBER(_xll.PIArcVal(K$5,$D23, 0,"TPI","exact time"))=TRUE, _xll.PIArcVal(K$5,$D23, 0,"TPI","exact time"), "")</f>
        <v>8.0000000000000002E-3</v>
      </c>
      <c r="M23" s="29" t="str">
        <f>IF(ISNUMBER(_xll.PIArcVal(M$5,$C23, 0,"TPI","exact time"))=TRUE,_xll.PIArcVal(M$5,$C23, 0,"TPI","exact time"),"")</f>
        <v/>
      </c>
      <c r="N23" s="9" t="str">
        <f>IF(ISNUMBER(_xll.PIArcVal(M$5,$D23, 0,"TPI","exact time"))=TRUE, _xll.PIArcVal(M$5,$D23, 0,"TPI","exact time"), "")</f>
        <v/>
      </c>
      <c r="O23" s="29">
        <f>IF(ISNUMBER(_xll.PIArcVal(O$5,$C23, 0,"TPI","exact time"))=TRUE,_xll.PIArcVal(O$5,$C23, 0,"TPI","exact time"),"")</f>
        <v>4.4999999999999998E-2</v>
      </c>
      <c r="P23" s="9">
        <f>IF(ISNUMBER(_xll.PIArcVal(O$5,$D23, 0,"TPI","exact time"))=TRUE, _xll.PIArcVal(O$5,$D23, 0,"TPI","exact time"), "")</f>
        <v>4.9000000000000002E-2</v>
      </c>
      <c r="Q23" s="29">
        <f>IF(ISNUMBER(_xll.PIArcVal(Q$5,$C23, 0,"TPI","exact time"))=TRUE,_xll.PIArcVal(Q$5,$C23, 0,"TPI","exact time"),"")</f>
        <v>4.0000000000000001E-3</v>
      </c>
      <c r="R23" s="9">
        <f>IF(ISNUMBER(_xll.PIArcVal(Q$5,$D23, 0,"TPI","exact time"))=TRUE, _xll.PIArcVal(Q$5,$D23, 0,"TPI","exact time"), "")</f>
        <v>7.0000000000000001E-3</v>
      </c>
      <c r="S23" s="29">
        <f>IF(ISNUMBER(_xll.PIArcVal(S$5,$C23, 0,"TPI","exact time"))=TRUE,_xll.PIArcVal(S$5,$C23, 0,"TPI","exact time"),"")</f>
        <v>1.48</v>
      </c>
      <c r="T23" s="9">
        <f>IF(ISNUMBER(_xll.PIArcVal(S$5,$D23, 0,"TPI","exact time"))=TRUE, _xll.PIArcVal(S$5,$D23, 0,"TPI","exact time"), "")</f>
        <v>1.321</v>
      </c>
      <c r="U23" s="29">
        <f>IF(ISNUMBER(_xll.PIArcVal(U$5,$C23, 0,"TPI","exact time"))=TRUE,_xll.PIArcVal(U$5,$C23, 0,"TPI","exact time"),"")</f>
        <v>24.725999999999999</v>
      </c>
      <c r="V23" s="9">
        <f>IF(ISNUMBER(_xll.PIArcVal(U$5,$D23, 0,"TPI","exact time"))=TRUE, _xll.PIArcVal(U$5,$D23, 0,"TPI","exact time"), "")</f>
        <v>23.681000000000001</v>
      </c>
      <c r="W23" s="29">
        <f>IF(ISNUMBER(_xll.PIArcVal(W$5,$C23, 0,"TPI","exact time"))=TRUE,_xll.PIArcVal(W$5,$C23, 0,"TPI","exact time"),"")</f>
        <v>1.101</v>
      </c>
      <c r="X23" s="9">
        <f>IF(ISNUMBER(_xll.PIArcVal(W$5,$D23, 0,"TPI","exact time"))=TRUE, _xll.PIArcVal(W$5,$D23, 0,"TPI","exact time"), "")</f>
        <v>1.9059999999999999</v>
      </c>
      <c r="Y23" s="29">
        <f>IF(ISNUMBER(_xll.PIArcVal(Y$5,$C23, 0,"TPI","exact time"))=TRUE,_xll.PIArcVal(Y$5,$C23, 0,"TPI","exact time"),"")</f>
        <v>29.75</v>
      </c>
      <c r="Z23" s="9">
        <f>IF(ISNUMBER(_xll.PIArcVal(Y$5,$D23, 0,"TPI","exact time"))=TRUE, _xll.PIArcVal(Y$5,$D23, 0,"TPI","exact time"), "")</f>
        <v>29.28</v>
      </c>
      <c r="AA23" s="29">
        <f>IF(ISNUMBER(_xll.PIArcVal(AA$5,$C23, 0,"TPI","exact time"))=TRUE,_xll.PIArcVal(AA$5,$C23, 0,"TPI","exact time"),"")</f>
        <v>9.48</v>
      </c>
      <c r="AB23" s="9">
        <f>IF(ISNUMBER(_xll.PIArcVal(AA$5,$D23, 0,"TPI","exact time"))=TRUE, _xll.PIArcVal(AA$5,$D23, 0,"TPI","exact time"), "")</f>
        <v>10.76</v>
      </c>
    </row>
    <row r="24" spans="1:28" ht="13.5" thickBot="1" x14ac:dyDescent="0.25">
      <c r="A24">
        <f t="shared" si="3"/>
        <v>18</v>
      </c>
      <c r="B24" s="28">
        <f t="shared" si="0"/>
        <v>46265</v>
      </c>
      <c r="C24" s="30">
        <f t="shared" si="1"/>
        <v>46265.3125</v>
      </c>
      <c r="D24" s="30">
        <f t="shared" si="2"/>
        <v>46265.8125</v>
      </c>
      <c r="E24" s="29">
        <f>IF(ISNUMBER(_xll.PIArcVal(E$5,$C24, 0,"TPI","exact time"))=TRUE,_xll.PIArcVal(E$5,$C24, 0,"TPI","exact time"),"")</f>
        <v>0.55000000000000004</v>
      </c>
      <c r="F24" s="9" t="str">
        <f>IF(ISNUMBER(_xll.PIArcVal(E$5,$D24, 0,"TPI","exact time"))=TRUE, _xll.PIArcVal(E$5,$D24, 0,"TPI","exact time"), "")</f>
        <v/>
      </c>
      <c r="G24" s="29">
        <f>IF(ISNUMBER(_xll.PIArcVal(G$5,$C24, 0,"TPI","exact time"))=TRUE,_xll.PIArcVal(G$5,$C24, 0,"TPI","exact time"),"")</f>
        <v>3.5999999999999997E-2</v>
      </c>
      <c r="H24" s="9" t="str">
        <f>IF(ISNUMBER(_xll.PIArcVal(G$5,$D24, 0,"TPI","exact time"))=TRUE, _xll.PIArcVal(G$5,$D24, 0,"TPI","exact time"), "")</f>
        <v/>
      </c>
      <c r="I24" s="29">
        <f>IF(ISNUMBER(_xll.PIArcVal(I$5,$C24, 0,"TPI","exact time"))=TRUE,_xll.PIArcVal(I$5,$C24, 0,"TPI","exact time"),"")</f>
        <v>2.4929999999999999</v>
      </c>
      <c r="J24" s="9" t="str">
        <f>IF(ISNUMBER(_xll.PIArcVal(I$5,$D24, 0,"TPI","exact time"))=TRUE, _xll.PIArcVal(I$5,$D24, 0,"TPI","exact time"), "")</f>
        <v/>
      </c>
      <c r="K24" s="29">
        <f>IF(ISNUMBER(_xll.PIArcVal(K$5,$C24, 0,"TPI","exact time"))=TRUE,_xll.PIArcVal(K$5,$C24, 0,"TPI","exact time"),"")</f>
        <v>1.0999999999999999E-2</v>
      </c>
      <c r="L24" s="9" t="str">
        <f>IF(ISNUMBER(_xll.PIArcVal(K$5,$D24, 0,"TPI","exact time"))=TRUE, _xll.PIArcVal(K$5,$D24, 0,"TPI","exact time"), "")</f>
        <v/>
      </c>
      <c r="M24" s="29" t="str">
        <f>IF(ISNUMBER(_xll.PIArcVal(M$5,$C24, 0,"TPI","exact time"))=TRUE,_xll.PIArcVal(M$5,$C24, 0,"TPI","exact time"),"")</f>
        <v/>
      </c>
      <c r="N24" s="9" t="str">
        <f>IF(ISNUMBER(_xll.PIArcVal(M$5,$D24, 0,"TPI","exact time"))=TRUE, _xll.PIArcVal(M$5,$D24, 0,"TPI","exact time"), "")</f>
        <v/>
      </c>
      <c r="O24" s="29">
        <f>IF(ISNUMBER(_xll.PIArcVal(O$5,$C24, 0,"TPI","exact time"))=TRUE,_xll.PIArcVal(O$5,$C24, 0,"TPI","exact time"),"")</f>
        <v>0.04</v>
      </c>
      <c r="P24" s="9" t="str">
        <f>IF(ISNUMBER(_xll.PIArcVal(O$5,$D24, 0,"TPI","exact time"))=TRUE, _xll.PIArcVal(O$5,$D24, 0,"TPI","exact time"), "")</f>
        <v/>
      </c>
      <c r="Q24" s="29">
        <f>IF(ISNUMBER(_xll.PIArcVal(Q$5,$C24, 0,"TPI","exact time"))=TRUE,_xll.PIArcVal(Q$5,$C24, 0,"TPI","exact time"),"")</f>
        <v>6.0000000000000001E-3</v>
      </c>
      <c r="R24" s="9" t="str">
        <f>IF(ISNUMBER(_xll.PIArcVal(Q$5,$D24, 0,"TPI","exact time"))=TRUE, _xll.PIArcVal(Q$5,$D24, 0,"TPI","exact time"), "")</f>
        <v/>
      </c>
      <c r="S24" s="29">
        <f>IF(ISNUMBER(_xll.PIArcVal(S$5,$C24, 0,"TPI","exact time"))=TRUE,_xll.PIArcVal(S$5,$C24, 0,"TPI","exact time"),"")</f>
        <v>1.99</v>
      </c>
      <c r="T24" s="9" t="str">
        <f>IF(ISNUMBER(_xll.PIArcVal(S$5,$D24, 0,"TPI","exact time"))=TRUE, _xll.PIArcVal(S$5,$D24, 0,"TPI","exact time"), "")</f>
        <v/>
      </c>
      <c r="U24" s="29">
        <f>IF(ISNUMBER(_xll.PIArcVal(U$5,$C24, 0,"TPI","exact time"))=TRUE,_xll.PIArcVal(U$5,$C24, 0,"TPI","exact time"),"")</f>
        <v>23.864000000000001</v>
      </c>
      <c r="V24" s="9" t="str">
        <f>IF(ISNUMBER(_xll.PIArcVal(U$5,$D24, 0,"TPI","exact time"))=TRUE, _xll.PIArcVal(U$5,$D24, 0,"TPI","exact time"), "")</f>
        <v/>
      </c>
      <c r="W24" s="29">
        <f>IF(ISNUMBER(_xll.PIArcVal(W$5,$C24, 0,"TPI","exact time"))=TRUE,_xll.PIArcVal(W$5,$C24, 0,"TPI","exact time"),"")</f>
        <v>1.8069999999999999</v>
      </c>
      <c r="X24" s="9" t="str">
        <f>IF(ISNUMBER(_xll.PIArcVal(W$5,$D24, 0,"TPI","exact time"))=TRUE, _xll.PIArcVal(W$5,$D24, 0,"TPI","exact time"), "")</f>
        <v/>
      </c>
      <c r="Y24" s="29">
        <f>IF(ISNUMBER(_xll.PIArcVal(Y$5,$C24, 0,"TPI","exact time"))=TRUE,_xll.PIArcVal(Y$5,$C24, 0,"TPI","exact time"),"")</f>
        <v>27.82</v>
      </c>
      <c r="Z24" s="9" t="str">
        <f>IF(ISNUMBER(_xll.PIArcVal(Y$5,$D24, 0,"TPI","exact time"))=TRUE, _xll.PIArcVal(Y$5,$D24, 0,"TPI","exact time"), "")</f>
        <v/>
      </c>
      <c r="AA24" s="29">
        <f>IF(ISNUMBER(_xll.PIArcVal(AA$5,$C24, 0,"TPI","exact time"))=TRUE,_xll.PIArcVal(AA$5,$C24, 0,"TPI","exact time"),"")</f>
        <v>10.82</v>
      </c>
      <c r="AB24" s="9" t="str">
        <f>IF(ISNUMBER(_xll.PIArcVal(AA$5,$D24, 0,"TPI","exact time"))=TRUE, _xll.PIArcVal(AA$5,$D24, 0,"TPI","exact time"), "")</f>
        <v/>
      </c>
    </row>
    <row r="25" spans="1:28" ht="13.5" thickBot="1" x14ac:dyDescent="0.25">
      <c r="A25">
        <f t="shared" si="3"/>
        <v>19</v>
      </c>
      <c r="B25" s="28">
        <f t="shared" si="0"/>
        <v>46266</v>
      </c>
      <c r="C25" s="30">
        <f t="shared" si="1"/>
        <v>46266.3125</v>
      </c>
      <c r="D25" s="30">
        <f t="shared" si="2"/>
        <v>46266.8125</v>
      </c>
      <c r="E25" s="29">
        <f>IF(ISNUMBER(_xll.PIArcVal(E$5,$C25, 0,"TPI","exact time"))=TRUE,_xll.PIArcVal(E$5,$C25, 0,"TPI","exact time"),"")</f>
        <v>0.441</v>
      </c>
      <c r="F25" s="9">
        <f>IF(ISNUMBER(_xll.PIArcVal(E$5,$D25, 0,"TPI","exact time"))=TRUE, _xll.PIArcVal(E$5,$D25, 0,"TPI","exact time"), "")</f>
        <v>0.48299999999999998</v>
      </c>
      <c r="G25" s="29">
        <f>IF(ISNUMBER(_xll.PIArcVal(G$5,$C25, 0,"TPI","exact time"))=TRUE,_xll.PIArcVal(G$5,$C25, 0,"TPI","exact time"),"")</f>
        <v>0.05</v>
      </c>
      <c r="H25" s="9">
        <f>IF(ISNUMBER(_xll.PIArcVal(G$5,$D25, 0,"TPI","exact time"))=TRUE, _xll.PIArcVal(G$5,$D25, 0,"TPI","exact time"), "")</f>
        <v>5.7000000000000002E-2</v>
      </c>
      <c r="I25" s="29">
        <f>IF(ISNUMBER(_xll.PIArcVal(I$5,$C25, 0,"TPI","exact time"))=TRUE,_xll.PIArcVal(I$5,$C25, 0,"TPI","exact time"),"")</f>
        <v>2.6320000000000001</v>
      </c>
      <c r="J25" s="9">
        <f>IF(ISNUMBER(_xll.PIArcVal(I$5,$D25, 0,"TPI","exact time"))=TRUE, _xll.PIArcVal(I$5,$D25, 0,"TPI","exact time"), "")</f>
        <v>3.0009999999999999</v>
      </c>
      <c r="K25" s="29">
        <f>IF(ISNUMBER(_xll.PIArcVal(K$5,$C25, 0,"TPI","exact time"))=TRUE,_xll.PIArcVal(K$5,$C25, 0,"TPI","exact time"),"")</f>
        <v>5.0000000000000001E-3</v>
      </c>
      <c r="L25" s="9">
        <f>IF(ISNUMBER(_xll.PIArcVal(K$5,$D25, 0,"TPI","exact time"))=TRUE, _xll.PIArcVal(K$5,$D25, 0,"TPI","exact time"), "")</f>
        <v>6.0000000000000001E-3</v>
      </c>
      <c r="M25" s="29" t="str">
        <f>IF(ISNUMBER(_xll.PIArcVal(M$5,$C25, 0,"TPI","exact time"))=TRUE,_xll.PIArcVal(M$5,$C25, 0,"TPI","exact time"),"")</f>
        <v/>
      </c>
      <c r="N25" s="9" t="str">
        <f>IF(ISNUMBER(_xll.PIArcVal(M$5,$D25, 0,"TPI","exact time"))=TRUE, _xll.PIArcVal(M$5,$D25, 0,"TPI","exact time"), "")</f>
        <v/>
      </c>
      <c r="O25" s="29">
        <f>IF(ISNUMBER(_xll.PIArcVal(O$5,$C25, 0,"TPI","exact time"))=TRUE,_xll.PIArcVal(O$5,$C25, 0,"TPI","exact time"),"")</f>
        <v>5.5E-2</v>
      </c>
      <c r="P25" s="9">
        <f>IF(ISNUMBER(_xll.PIArcVal(O$5,$D25, 0,"TPI","exact time"))=TRUE, _xll.PIArcVal(O$5,$D25, 0,"TPI","exact time"), "")</f>
        <v>5.8999999999999997E-2</v>
      </c>
      <c r="Q25" s="29">
        <f>IF(ISNUMBER(_xll.PIArcVal(Q$5,$C25, 0,"TPI","exact time"))=TRUE,_xll.PIArcVal(Q$5,$C25, 0,"TPI","exact time"),"")</f>
        <v>8.0000000000000002E-3</v>
      </c>
      <c r="R25" s="9">
        <f>IF(ISNUMBER(_xll.PIArcVal(Q$5,$D25, 0,"TPI","exact time"))=TRUE, _xll.PIArcVal(Q$5,$D25, 0,"TPI","exact time"), "")</f>
        <v>1.2E-2</v>
      </c>
      <c r="S25" s="29">
        <f>IF(ISNUMBER(_xll.PIArcVal(S$5,$C25, 0,"TPI","exact time"))=TRUE,_xll.PIArcVal(S$5,$C25, 0,"TPI","exact time"),"")</f>
        <v>2.5619999999999998</v>
      </c>
      <c r="T25" s="9">
        <f>IF(ISNUMBER(_xll.PIArcVal(S$5,$D25, 0,"TPI","exact time"))=TRUE, _xll.PIArcVal(S$5,$D25, 0,"TPI","exact time"), "")</f>
        <v>2.6139999999999999</v>
      </c>
      <c r="U25" s="29">
        <f>IF(ISNUMBER(_xll.PIArcVal(U$5,$C25, 0,"TPI","exact time"))=TRUE,_xll.PIArcVal(U$5,$C25, 0,"TPI","exact time"),"")</f>
        <v>23.084</v>
      </c>
      <c r="V25" s="9">
        <f>IF(ISNUMBER(_xll.PIArcVal(U$5,$D25, 0,"TPI","exact time"))=TRUE, _xll.PIArcVal(U$5,$D25, 0,"TPI","exact time"), "")</f>
        <v>24.762</v>
      </c>
      <c r="W25" s="29">
        <f>IF(ISNUMBER(_xll.PIArcVal(W$5,$C25, 0,"TPI","exact time"))=TRUE,_xll.PIArcVal(W$5,$C25, 0,"TPI","exact time"),"")</f>
        <v>1.97</v>
      </c>
      <c r="X25" s="9">
        <f>IF(ISNUMBER(_xll.PIArcVal(W$5,$D25, 0,"TPI","exact time"))=TRUE, _xll.PIArcVal(W$5,$D25, 0,"TPI","exact time"), "")</f>
        <v>2.9470000000000001</v>
      </c>
      <c r="Y25" s="29">
        <f>IF(ISNUMBER(_xll.PIArcVal(Y$5,$C25, 0,"TPI","exact time"))=TRUE,_xll.PIArcVal(Y$5,$C25, 0,"TPI","exact time"),"")</f>
        <v>26.2</v>
      </c>
      <c r="Z25" s="9">
        <f>IF(ISNUMBER(_xll.PIArcVal(Y$5,$D25, 0,"TPI","exact time"))=TRUE, _xll.PIArcVal(Y$5,$D25, 0,"TPI","exact time"), "")</f>
        <v>28.28</v>
      </c>
      <c r="AA25" s="29">
        <f>IF(ISNUMBER(_xll.PIArcVal(AA$5,$C25, 0,"TPI","exact time"))=TRUE,_xll.PIArcVal(AA$5,$C25, 0,"TPI","exact time"),"")</f>
        <v>11.68</v>
      </c>
      <c r="AB25" s="9">
        <f>IF(ISNUMBER(_xll.PIArcVal(AA$5,$D25, 0,"TPI","exact time"))=TRUE, _xll.PIArcVal(AA$5,$D25, 0,"TPI","exact time"), "")</f>
        <v>9.9600000000000009</v>
      </c>
    </row>
    <row r="26" spans="1:28" ht="13.5" thickBot="1" x14ac:dyDescent="0.25">
      <c r="A26">
        <f t="shared" si="3"/>
        <v>20</v>
      </c>
      <c r="B26" s="28">
        <f t="shared" si="0"/>
        <v>46267</v>
      </c>
      <c r="C26" s="30">
        <f t="shared" si="1"/>
        <v>46267.3125</v>
      </c>
      <c r="D26" s="30">
        <f t="shared" si="2"/>
        <v>46267.8125</v>
      </c>
      <c r="E26" s="29">
        <f>IF(ISNUMBER(_xll.PIArcVal(E$5,$C26, 0,"TPI","exact time"))=TRUE,_xll.PIArcVal(E$5,$C26, 0,"TPI","exact time"),"")</f>
        <v>0.47599999999999998</v>
      </c>
      <c r="F26" s="9">
        <f>IF(ISNUMBER(_xll.PIArcVal(E$5,$D26, 0,"TPI","exact time"))=TRUE, _xll.PIArcVal(E$5,$D26, 0,"TPI","exact time"), "")</f>
        <v>0.46500000000000002</v>
      </c>
      <c r="G26" s="29">
        <f>IF(ISNUMBER(_xll.PIArcVal(G$5,$C26, 0,"TPI","exact time"))=TRUE,_xll.PIArcVal(G$5,$C26, 0,"TPI","exact time"),"")</f>
        <v>4.3999999999999997E-2</v>
      </c>
      <c r="H26" s="9">
        <f>IF(ISNUMBER(_xll.PIArcVal(G$5,$D26, 0,"TPI","exact time"))=TRUE, _xll.PIArcVal(G$5,$D26, 0,"TPI","exact time"), "")</f>
        <v>3.6999999999999998E-2</v>
      </c>
      <c r="I26" s="29">
        <f>IF(ISNUMBER(_xll.PIArcVal(I$5,$C26, 0,"TPI","exact time"))=TRUE,_xll.PIArcVal(I$5,$C26, 0,"TPI","exact time"),"")</f>
        <v>2.4169999999999998</v>
      </c>
      <c r="J26" s="9">
        <f>IF(ISNUMBER(_xll.PIArcVal(I$5,$D26, 0,"TPI","exact time"))=TRUE, _xll.PIArcVal(I$5,$D26, 0,"TPI","exact time"), "")</f>
        <v>3.1869999999999998</v>
      </c>
      <c r="K26" s="29">
        <f>IF(ISNUMBER(_xll.PIArcVal(K$5,$C26, 0,"TPI","exact time"))=TRUE,_xll.PIArcVal(K$5,$C26, 0,"TPI","exact time"),"")</f>
        <v>5.0000000000000001E-3</v>
      </c>
      <c r="L26" s="9">
        <f>IF(ISNUMBER(_xll.PIArcVal(K$5,$D26, 0,"TPI","exact time"))=TRUE, _xll.PIArcVal(K$5,$D26, 0,"TPI","exact time"), "")</f>
        <v>7.0000000000000001E-3</v>
      </c>
      <c r="M26" s="29" t="str">
        <f>IF(ISNUMBER(_xll.PIArcVal(M$5,$C26, 0,"TPI","exact time"))=TRUE,_xll.PIArcVal(M$5,$C26, 0,"TPI","exact time"),"")</f>
        <v/>
      </c>
      <c r="N26" s="9" t="str">
        <f>IF(ISNUMBER(_xll.PIArcVal(M$5,$D26, 0,"TPI","exact time"))=TRUE, _xll.PIArcVal(M$5,$D26, 0,"TPI","exact time"), "")</f>
        <v/>
      </c>
      <c r="O26" s="29">
        <f>IF(ISNUMBER(_xll.PIArcVal(O$5,$C26, 0,"TPI","exact time"))=TRUE,_xll.PIArcVal(O$5,$C26, 0,"TPI","exact time"),"")</f>
        <v>5.0999999999999997E-2</v>
      </c>
      <c r="P26" s="9">
        <f>IF(ISNUMBER(_xll.PIArcVal(O$5,$D26, 0,"TPI","exact time"))=TRUE, _xll.PIArcVal(O$5,$D26, 0,"TPI","exact time"), "")</f>
        <v>3.1E-2</v>
      </c>
      <c r="Q26" s="29">
        <f>IF(ISNUMBER(_xll.PIArcVal(Q$5,$C26, 0,"TPI","exact time"))=TRUE,_xll.PIArcVal(Q$5,$C26, 0,"TPI","exact time"),"")</f>
        <v>8.0000000000000002E-3</v>
      </c>
      <c r="R26" s="9">
        <f>IF(ISNUMBER(_xll.PIArcVal(Q$5,$D26, 0,"TPI","exact time"))=TRUE, _xll.PIArcVal(Q$5,$D26, 0,"TPI","exact time"), "")</f>
        <v>5.0000000000000001E-3</v>
      </c>
      <c r="S26" s="29">
        <f>IF(ISNUMBER(_xll.PIArcVal(S$5,$C26, 0,"TPI","exact time"))=TRUE,_xll.PIArcVal(S$5,$C26, 0,"TPI","exact time"),"")</f>
        <v>2.17</v>
      </c>
      <c r="T26" s="9">
        <f>IF(ISNUMBER(_xll.PIArcVal(S$5,$D26, 0,"TPI","exact time"))=TRUE, _xll.PIArcVal(S$5,$D26, 0,"TPI","exact time"), "")</f>
        <v>2.1040000000000001</v>
      </c>
      <c r="U26" s="29">
        <f>IF(ISNUMBER(_xll.PIArcVal(U$5,$C26, 0,"TPI","exact time"))=TRUE,_xll.PIArcVal(U$5,$C26, 0,"TPI","exact time"),"")</f>
        <v>24.184999999999999</v>
      </c>
      <c r="V26" s="9">
        <f>IF(ISNUMBER(_xll.PIArcVal(U$5,$D26, 0,"TPI","exact time"))=TRUE, _xll.PIArcVal(U$5,$D26, 0,"TPI","exact time"), "")</f>
        <v>25.35</v>
      </c>
      <c r="W26" s="29">
        <f>IF(ISNUMBER(_xll.PIArcVal(W$5,$C26, 0,"TPI","exact time"))=TRUE,_xll.PIArcVal(W$5,$C26, 0,"TPI","exact time"),"")</f>
        <v>2.61</v>
      </c>
      <c r="X26" s="9">
        <f>IF(ISNUMBER(_xll.PIArcVal(W$5,$D26, 0,"TPI","exact time"))=TRUE, _xll.PIArcVal(W$5,$D26, 0,"TPI","exact time"), "")</f>
        <v>1.585</v>
      </c>
      <c r="Y26" s="29">
        <f>IF(ISNUMBER(_xll.PIArcVal(Y$5,$C26, 0,"TPI","exact time"))=TRUE,_xll.PIArcVal(Y$5,$C26, 0,"TPI","exact time"),"")</f>
        <v>27.42</v>
      </c>
      <c r="Z26" s="9">
        <f>IF(ISNUMBER(_xll.PIArcVal(Y$5,$D26, 0,"TPI","exact time"))=TRUE, _xll.PIArcVal(Y$5,$D26, 0,"TPI","exact time"), "")</f>
        <v>31.25</v>
      </c>
      <c r="AA26" s="29">
        <f>IF(ISNUMBER(_xll.PIArcVal(AA$5,$C26, 0,"TPI","exact time"))=TRUE,_xll.PIArcVal(AA$5,$C26, 0,"TPI","exact time"),"")</f>
        <v>10.32</v>
      </c>
      <c r="AB26" s="9">
        <f>IF(ISNUMBER(_xll.PIArcVal(AA$5,$D26, 0,"TPI","exact time"))=TRUE, _xll.PIArcVal(AA$5,$D26, 0,"TPI","exact time"), "")</f>
        <v>6.88</v>
      </c>
    </row>
    <row r="27" spans="1:28" ht="13.5" thickBot="1" x14ac:dyDescent="0.25">
      <c r="A27">
        <f t="shared" si="3"/>
        <v>21</v>
      </c>
      <c r="B27" s="28">
        <f t="shared" si="0"/>
        <v>46268</v>
      </c>
      <c r="C27" s="30">
        <f t="shared" si="1"/>
        <v>46268.3125</v>
      </c>
      <c r="D27" s="30">
        <f t="shared" si="2"/>
        <v>46268.8125</v>
      </c>
      <c r="E27" s="29">
        <f>IF(ISNUMBER(_xll.PIArcVal(E$5,$C27, 0,"TPI","exact time"))=TRUE,_xll.PIArcVal(E$5,$C27, 0,"TPI","exact time"),"")</f>
        <v>0.44400000000000001</v>
      </c>
      <c r="F27" s="9">
        <f>IF(ISNUMBER(_xll.PIArcVal(E$5,$D27, 0,"TPI","exact time"))=TRUE, _xll.PIArcVal(E$5,$D27, 0,"TPI","exact time"), "")</f>
        <v>0.48099999999999998</v>
      </c>
      <c r="G27" s="29">
        <f>IF(ISNUMBER(_xll.PIArcVal(G$5,$C27, 0,"TPI","exact time"))=TRUE,_xll.PIArcVal(G$5,$C27, 0,"TPI","exact time"),"")</f>
        <v>3.5999999999999997E-2</v>
      </c>
      <c r="H27" s="9">
        <f>IF(ISNUMBER(_xll.PIArcVal(G$5,$D27, 0,"TPI","exact time"))=TRUE, _xll.PIArcVal(G$5,$D27, 0,"TPI","exact time"), "")</f>
        <v>3.5000000000000003E-2</v>
      </c>
      <c r="I27" s="29">
        <f>IF(ISNUMBER(_xll.PIArcVal(I$5,$C27, 0,"TPI","exact time"))=TRUE,_xll.PIArcVal(I$5,$C27, 0,"TPI","exact time"),"")</f>
        <v>2.9660000000000002</v>
      </c>
      <c r="J27" s="9">
        <f>IF(ISNUMBER(_xll.PIArcVal(I$5,$D27, 0,"TPI","exact time"))=TRUE, _xll.PIArcVal(I$5,$D27, 0,"TPI","exact time"), "")</f>
        <v>3.2549999999999999</v>
      </c>
      <c r="K27" s="29">
        <f>IF(ISNUMBER(_xll.PIArcVal(K$5,$C27, 0,"TPI","exact time"))=TRUE,_xll.PIArcVal(K$5,$C27, 0,"TPI","exact time"),"")</f>
        <v>7.0000000000000001E-3</v>
      </c>
      <c r="L27" s="9">
        <f>IF(ISNUMBER(_xll.PIArcVal(K$5,$D27, 0,"TPI","exact time"))=TRUE, _xll.PIArcVal(K$5,$D27, 0,"TPI","exact time"), "")</f>
        <v>8.0000000000000002E-3</v>
      </c>
      <c r="M27" s="29" t="str">
        <f>IF(ISNUMBER(_xll.PIArcVal(M$5,$C27, 0,"TPI","exact time"))=TRUE,_xll.PIArcVal(M$5,$C27, 0,"TPI","exact time"),"")</f>
        <v/>
      </c>
      <c r="N27" s="9" t="str">
        <f>IF(ISNUMBER(_xll.PIArcVal(M$5,$D27, 0,"TPI","exact time"))=TRUE, _xll.PIArcVal(M$5,$D27, 0,"TPI","exact time"), "")</f>
        <v/>
      </c>
      <c r="O27" s="29">
        <f>IF(ISNUMBER(_xll.PIArcVal(O$5,$C27, 0,"TPI","exact time"))=TRUE,_xll.PIArcVal(O$5,$C27, 0,"TPI","exact time"),"")</f>
        <v>0.05</v>
      </c>
      <c r="P27" s="9">
        <f>IF(ISNUMBER(_xll.PIArcVal(O$5,$D27, 0,"TPI","exact time"))=TRUE, _xll.PIArcVal(O$5,$D27, 0,"TPI","exact time"), "")</f>
        <v>5.5E-2</v>
      </c>
      <c r="Q27" s="29">
        <f>IF(ISNUMBER(_xll.PIArcVal(Q$5,$C27, 0,"TPI","exact time"))=TRUE,_xll.PIArcVal(Q$5,$C27, 0,"TPI","exact time"),"")</f>
        <v>6.0000000000000001E-3</v>
      </c>
      <c r="R27" s="9">
        <f>IF(ISNUMBER(_xll.PIArcVal(Q$5,$D27, 0,"TPI","exact time"))=TRUE, _xll.PIArcVal(Q$5,$D27, 0,"TPI","exact time"), "")</f>
        <v>7.0000000000000001E-3</v>
      </c>
      <c r="S27" s="29">
        <f>IF(ISNUMBER(_xll.PIArcVal(S$5,$C27, 0,"TPI","exact time"))=TRUE,_xll.PIArcVal(S$5,$C27, 0,"TPI","exact time"),"")</f>
        <v>2.6819999999999999</v>
      </c>
      <c r="T27" s="9">
        <f>IF(ISNUMBER(_xll.PIArcVal(S$5,$D27, 0,"TPI","exact time"))=TRUE, _xll.PIArcVal(S$5,$D27, 0,"TPI","exact time"), "")</f>
        <v>2.6440000000000001</v>
      </c>
      <c r="U27" s="29">
        <f>IF(ISNUMBER(_xll.PIArcVal(U$5,$C27, 0,"TPI","exact time"))=TRUE,_xll.PIArcVal(U$5,$C27, 0,"TPI","exact time"),"")</f>
        <v>25.373000000000001</v>
      </c>
      <c r="V27" s="9">
        <f>IF(ISNUMBER(_xll.PIArcVal(U$5,$D27, 0,"TPI","exact time"))=TRUE, _xll.PIArcVal(U$5,$D27, 0,"TPI","exact time"), "")</f>
        <v>19.899999999999999</v>
      </c>
      <c r="W27" s="29">
        <f>IF(ISNUMBER(_xll.PIArcVal(W$5,$C27, 0,"TPI","exact time"))=TRUE,_xll.PIArcVal(W$5,$C27, 0,"TPI","exact time"),"")</f>
        <v>1.788</v>
      </c>
      <c r="X27" s="9">
        <f>IF(ISNUMBER(_xll.PIArcVal(W$5,$D27, 0,"TPI","exact time"))=TRUE, _xll.PIArcVal(W$5,$D27, 0,"TPI","exact time"), "")</f>
        <v>1.83</v>
      </c>
      <c r="Y27" s="29">
        <f>IF(ISNUMBER(_xll.PIArcVal(Y$5,$C27, 0,"TPI","exact time"))=TRUE,_xll.PIArcVal(Y$5,$C27, 0,"TPI","exact time"),"")</f>
        <v>29.95</v>
      </c>
      <c r="Z27" s="9">
        <f>IF(ISNUMBER(_xll.PIArcVal(Y$5,$D27, 0,"TPI","exact time"))=TRUE, _xll.PIArcVal(Y$5,$D27, 0,"TPI","exact time"), "")</f>
        <v>29.25</v>
      </c>
      <c r="AA27" s="29">
        <f>IF(ISNUMBER(_xll.PIArcVal(AA$5,$C27, 0,"TPI","exact time"))=TRUE,_xll.PIArcVal(AA$5,$C27, 0,"TPI","exact time"),"")</f>
        <v>7.4</v>
      </c>
      <c r="AB27" s="9">
        <f>IF(ISNUMBER(_xll.PIArcVal(AA$5,$D27, 0,"TPI","exact time"))=TRUE, _xll.PIArcVal(AA$5,$D27, 0,"TPI","exact time"), "")</f>
        <v>15.88</v>
      </c>
    </row>
    <row r="28" spans="1:28" ht="13.5" thickBot="1" x14ac:dyDescent="0.25">
      <c r="A28">
        <f t="shared" si="3"/>
        <v>22</v>
      </c>
      <c r="B28" s="28">
        <f t="shared" si="0"/>
        <v>46269</v>
      </c>
      <c r="C28" s="30">
        <f t="shared" si="1"/>
        <v>46269.3125</v>
      </c>
      <c r="D28" s="30">
        <f t="shared" si="2"/>
        <v>46269.8125</v>
      </c>
      <c r="E28" s="29">
        <f>IF(ISNUMBER(_xll.PIArcVal(E$5,$C28, 0,"TPI","exact time"))=TRUE,_xll.PIArcVal(E$5,$C28, 0,"TPI","exact time"),"")</f>
        <v>0.44600000000000001</v>
      </c>
      <c r="F28" s="9">
        <f>IF(ISNUMBER(_xll.PIArcVal(E$5,$D28, 0,"TPI","exact time"))=TRUE, _xll.PIArcVal(E$5,$D28, 0,"TPI","exact time"), "")</f>
        <v>0.40699999999999997</v>
      </c>
      <c r="G28" s="29">
        <f>IF(ISNUMBER(_xll.PIArcVal(G$5,$C28, 0,"TPI","exact time"))=TRUE,_xll.PIArcVal(G$5,$C28, 0,"TPI","exact time"),"")</f>
        <v>2.7E-2</v>
      </c>
      <c r="H28" s="9">
        <f>IF(ISNUMBER(_xll.PIArcVal(G$5,$D28, 0,"TPI","exact time"))=TRUE, _xll.PIArcVal(G$5,$D28, 0,"TPI","exact time"), "")</f>
        <v>3.5999999999999997E-2</v>
      </c>
      <c r="I28" s="29">
        <f>IF(ISNUMBER(_xll.PIArcVal(I$5,$C28, 0,"TPI","exact time"))=TRUE,_xll.PIArcVal(I$5,$C28, 0,"TPI","exact time"),"")</f>
        <v>3.7250000000000001</v>
      </c>
      <c r="J28" s="9">
        <f>IF(ISNUMBER(_xll.PIArcVal(I$5,$D28, 0,"TPI","exact time"))=TRUE, _xll.PIArcVal(I$5,$D28, 0,"TPI","exact time"), "")</f>
        <v>3.2170000000000001</v>
      </c>
      <c r="K28" s="29">
        <f>IF(ISNUMBER(_xll.PIArcVal(K$5,$C28, 0,"TPI","exact time"))=TRUE,_xll.PIArcVal(K$5,$C28, 0,"TPI","exact time"),"")</f>
        <v>7.0000000000000001E-3</v>
      </c>
      <c r="L28" s="9">
        <f>IF(ISNUMBER(_xll.PIArcVal(K$5,$D28, 0,"TPI","exact time"))=TRUE, _xll.PIArcVal(K$5,$D28, 0,"TPI","exact time"), "")</f>
        <v>8.0000000000000002E-3</v>
      </c>
      <c r="M28" s="29" t="str">
        <f>IF(ISNUMBER(_xll.PIArcVal(M$5,$C28, 0,"TPI","exact time"))=TRUE,_xll.PIArcVal(M$5,$C28, 0,"TPI","exact time"),"")</f>
        <v/>
      </c>
      <c r="N28" s="9" t="str">
        <f>IF(ISNUMBER(_xll.PIArcVal(M$5,$D28, 0,"TPI","exact time"))=TRUE, _xll.PIArcVal(M$5,$D28, 0,"TPI","exact time"), "")</f>
        <v/>
      </c>
      <c r="O28" s="29">
        <f>IF(ISNUMBER(_xll.PIArcVal(O$5,$C28, 0,"TPI","exact time"))=TRUE,_xll.PIArcVal(O$5,$C28, 0,"TPI","exact time"),"")</f>
        <v>4.5999999999999999E-2</v>
      </c>
      <c r="P28" s="9">
        <f>IF(ISNUMBER(_xll.PIArcVal(O$5,$D28, 0,"TPI","exact time"))=TRUE, _xll.PIArcVal(O$5,$D28, 0,"TPI","exact time"), "")</f>
        <v>3.9E-2</v>
      </c>
      <c r="Q28" s="29">
        <f>IF(ISNUMBER(_xll.PIArcVal(Q$5,$C28, 0,"TPI","exact time"))=TRUE,_xll.PIArcVal(Q$5,$C28, 0,"TPI","exact time"),"")</f>
        <v>5.0000000000000001E-3</v>
      </c>
      <c r="R28" s="9">
        <f>IF(ISNUMBER(_xll.PIArcVal(Q$5,$D28, 0,"TPI","exact time"))=TRUE, _xll.PIArcVal(Q$5,$D28, 0,"TPI","exact time"), "")</f>
        <v>7.0000000000000001E-3</v>
      </c>
      <c r="S28" s="29">
        <f>IF(ISNUMBER(_xll.PIArcVal(S$5,$C28, 0,"TPI","exact time"))=TRUE,_xll.PIArcVal(S$5,$C28, 0,"TPI","exact time"),"")</f>
        <v>3.1059999999999999</v>
      </c>
      <c r="T28" s="9">
        <f>IF(ISNUMBER(_xll.PIArcVal(S$5,$D28, 0,"TPI","exact time"))=TRUE, _xll.PIArcVal(S$5,$D28, 0,"TPI","exact time"), "")</f>
        <v>2.758</v>
      </c>
      <c r="U28" s="29">
        <f>IF(ISNUMBER(_xll.PIArcVal(U$5,$C28, 0,"TPI","exact time"))=TRUE,_xll.PIArcVal(U$5,$C28, 0,"TPI","exact time"),"")</f>
        <v>20.795999999999999</v>
      </c>
      <c r="V28" s="9">
        <f>IF(ISNUMBER(_xll.PIArcVal(U$5,$D28, 0,"TPI","exact time"))=TRUE, _xll.PIArcVal(U$5,$D28, 0,"TPI","exact time"), "")</f>
        <v>20.297999999999998</v>
      </c>
      <c r="W28" s="29">
        <f>IF(ISNUMBER(_xll.PIArcVal(W$5,$C28, 0,"TPI","exact time"))=TRUE,_xll.PIArcVal(W$5,$C28, 0,"TPI","exact time"),"")</f>
        <v>1.59</v>
      </c>
      <c r="X28" s="9">
        <f>IF(ISNUMBER(_xll.PIArcVal(W$5,$D28, 0,"TPI","exact time"))=TRUE, _xll.PIArcVal(W$5,$D28, 0,"TPI","exact time"), "")</f>
        <v>1.8759999999999999</v>
      </c>
      <c r="Y28" s="29">
        <f>IF(ISNUMBER(_xll.PIArcVal(Y$5,$C28, 0,"TPI","exact time"))=TRUE,_xll.PIArcVal(Y$5,$C28, 0,"TPI","exact time"),"")</f>
        <v>29.53</v>
      </c>
      <c r="Z28" s="9">
        <f>IF(ISNUMBER(_xll.PIArcVal(Y$5,$D28, 0,"TPI","exact time"))=TRUE, _xll.PIArcVal(Y$5,$D28, 0,"TPI","exact time"), "")</f>
        <v>29.3</v>
      </c>
      <c r="AA28" s="29">
        <f>IF(ISNUMBER(_xll.PIArcVal(AA$5,$C28, 0,"TPI","exact time"))=TRUE,_xll.PIArcVal(AA$5,$C28, 0,"TPI","exact time"),"")</f>
        <v>11.44</v>
      </c>
      <c r="AB28" s="9">
        <f>IF(ISNUMBER(_xll.PIArcVal(AA$5,$D28, 0,"TPI","exact time"))=TRUE, _xll.PIArcVal(AA$5,$D28, 0,"TPI","exact time"), "")</f>
        <v>14.46</v>
      </c>
    </row>
    <row r="29" spans="1:28" ht="13.5" thickBot="1" x14ac:dyDescent="0.25">
      <c r="A29">
        <f t="shared" si="3"/>
        <v>23</v>
      </c>
      <c r="B29" s="28">
        <f t="shared" si="0"/>
        <v>46270</v>
      </c>
      <c r="C29" s="30">
        <f t="shared" si="1"/>
        <v>46270.3125</v>
      </c>
      <c r="D29" s="30">
        <f t="shared" si="2"/>
        <v>46270.8125</v>
      </c>
      <c r="E29" s="29">
        <f>IF(ISNUMBER(_xll.PIArcVal(E$5,$C29, 0,"TPI","exact time"))=TRUE,_xll.PIArcVal(E$5,$C29, 0,"TPI","exact time"),"")</f>
        <v>0.40600000000000003</v>
      </c>
      <c r="F29" s="9">
        <f>IF(ISNUMBER(_xll.PIArcVal(E$5,$D29, 0,"TPI","exact time"))=TRUE, _xll.PIArcVal(E$5,$D29, 0,"TPI","exact time"), "")</f>
        <v>0.441</v>
      </c>
      <c r="G29" s="29">
        <f>IF(ISNUMBER(_xll.PIArcVal(G$5,$C29, 0,"TPI","exact time"))=TRUE,_xll.PIArcVal(G$5,$C29, 0,"TPI","exact time"),"")</f>
        <v>3.3000000000000002E-2</v>
      </c>
      <c r="H29" s="9">
        <f>IF(ISNUMBER(_xll.PIArcVal(G$5,$D29, 0,"TPI","exact time"))=TRUE, _xll.PIArcVal(G$5,$D29, 0,"TPI","exact time"), "")</f>
        <v>4.2000000000000003E-2</v>
      </c>
      <c r="I29" s="29">
        <f>IF(ISNUMBER(_xll.PIArcVal(I$5,$C29, 0,"TPI","exact time"))=TRUE,_xll.PIArcVal(I$5,$C29, 0,"TPI","exact time"),"")</f>
        <v>3.31</v>
      </c>
      <c r="J29" s="9">
        <f>IF(ISNUMBER(_xll.PIArcVal(I$5,$D29, 0,"TPI","exact time"))=TRUE, _xll.PIArcVal(I$5,$D29, 0,"TPI","exact time"), "")</f>
        <v>2.99</v>
      </c>
      <c r="K29" s="29">
        <f>IF(ISNUMBER(_xll.PIArcVal(K$5,$C29, 0,"TPI","exact time"))=TRUE,_xll.PIArcVal(K$5,$C29, 0,"TPI","exact time"),"")</f>
        <v>8.9999999999999993E-3</v>
      </c>
      <c r="L29" s="9">
        <f>IF(ISNUMBER(_xll.PIArcVal(K$5,$D29, 0,"TPI","exact time"))=TRUE, _xll.PIArcVal(K$5,$D29, 0,"TPI","exact time"), "")</f>
        <v>8.9999999999999993E-3</v>
      </c>
      <c r="M29" s="29" t="str">
        <f>IF(ISNUMBER(_xll.PIArcVal(M$5,$C29, 0,"TPI","exact time"))=TRUE,_xll.PIArcVal(M$5,$C29, 0,"TPI","exact time"),"")</f>
        <v/>
      </c>
      <c r="N29" s="9" t="str">
        <f>IF(ISNUMBER(_xll.PIArcVal(M$5,$D29, 0,"TPI","exact time"))=TRUE, _xll.PIArcVal(M$5,$D29, 0,"TPI","exact time"), "")</f>
        <v/>
      </c>
      <c r="O29" s="29">
        <f>IF(ISNUMBER(_xll.PIArcVal(O$5,$C29, 0,"TPI","exact time"))=TRUE,_xll.PIArcVal(O$5,$C29, 0,"TPI","exact time"),"")</f>
        <v>3.6999999999999998E-2</v>
      </c>
      <c r="P29" s="9">
        <f>IF(ISNUMBER(_xll.PIArcVal(O$5,$D29, 0,"TPI","exact time"))=TRUE, _xll.PIArcVal(O$5,$D29, 0,"TPI","exact time"), "")</f>
        <v>5.3999999999999999E-2</v>
      </c>
      <c r="Q29" s="29">
        <f>IF(ISNUMBER(_xll.PIArcVal(Q$5,$C29, 0,"TPI","exact time"))=TRUE,_xll.PIArcVal(Q$5,$C29, 0,"TPI","exact time"),"")</f>
        <v>4.0000000000000001E-3</v>
      </c>
      <c r="R29" s="9">
        <f>IF(ISNUMBER(_xll.PIArcVal(Q$5,$D29, 0,"TPI","exact time"))=TRUE, _xll.PIArcVal(Q$5,$D29, 0,"TPI","exact time"), "")</f>
        <v>1.0999999999999999E-2</v>
      </c>
      <c r="S29" s="29">
        <f>IF(ISNUMBER(_xll.PIArcVal(S$5,$C29, 0,"TPI","exact time"))=TRUE,_xll.PIArcVal(S$5,$C29, 0,"TPI","exact time"),"")</f>
        <v>3.202</v>
      </c>
      <c r="T29" s="9">
        <f>IF(ISNUMBER(_xll.PIArcVal(S$5,$D29, 0,"TPI","exact time"))=TRUE, _xll.PIArcVal(S$5,$D29, 0,"TPI","exact time"), "")</f>
        <v>2.5859999999999999</v>
      </c>
      <c r="U29" s="29">
        <f>IF(ISNUMBER(_xll.PIArcVal(U$5,$C29, 0,"TPI","exact time"))=TRUE,_xll.PIArcVal(U$5,$C29, 0,"TPI","exact time"),"")</f>
        <v>22.686</v>
      </c>
      <c r="V29" s="9">
        <f>IF(ISNUMBER(_xll.PIArcVal(U$5,$D29, 0,"TPI","exact time"))=TRUE, _xll.PIArcVal(U$5,$D29, 0,"TPI","exact time"), "")</f>
        <v>21.774000000000001</v>
      </c>
      <c r="W29" s="29">
        <f>IF(ISNUMBER(_xll.PIArcVal(W$5,$C29, 0,"TPI","exact time"))=TRUE,_xll.PIArcVal(W$5,$C29, 0,"TPI","exact time"),"")</f>
        <v>1.7490000000000001</v>
      </c>
      <c r="X29" s="9">
        <f>IF(ISNUMBER(_xll.PIArcVal(W$5,$D29, 0,"TPI","exact time"))=TRUE, _xll.PIArcVal(W$5,$D29, 0,"TPI","exact time"), "")</f>
        <v>2.16</v>
      </c>
      <c r="Y29" s="29">
        <f>IF(ISNUMBER(_xll.PIArcVal(Y$5,$C29, 0,"TPI","exact time"))=TRUE,_xll.PIArcVal(Y$5,$C29, 0,"TPI","exact time"),"")</f>
        <v>29.94</v>
      </c>
      <c r="Z29" s="9">
        <f>IF(ISNUMBER(_xll.PIArcVal(Y$5,$D29, 0,"TPI","exact time"))=TRUE, _xll.PIArcVal(Y$5,$D29, 0,"TPI","exact time"), "")</f>
        <v>29.49</v>
      </c>
      <c r="AA29" s="29">
        <f>IF(ISNUMBER(_xll.PIArcVal(AA$5,$C29, 0,"TPI","exact time"))=TRUE,_xll.PIArcVal(AA$5,$C29, 0,"TPI","exact time"),"")</f>
        <v>8.8000000000000007</v>
      </c>
      <c r="AB29" s="9">
        <f>IF(ISNUMBER(_xll.PIArcVal(AA$5,$D29, 0,"TPI","exact time"))=TRUE, _xll.PIArcVal(AA$5,$D29, 0,"TPI","exact time"), "")</f>
        <v>11.34</v>
      </c>
    </row>
    <row r="30" spans="1:28" ht="13.5" thickBot="1" x14ac:dyDescent="0.25">
      <c r="A30">
        <f t="shared" si="3"/>
        <v>24</v>
      </c>
      <c r="B30" s="28">
        <f t="shared" si="0"/>
        <v>46271</v>
      </c>
      <c r="C30" s="30">
        <f t="shared" si="1"/>
        <v>46271.3125</v>
      </c>
      <c r="D30" s="30">
        <f t="shared" si="2"/>
        <v>46271.8125</v>
      </c>
      <c r="E30" s="29">
        <f>IF(ISNUMBER(_xll.PIArcVal(E$5,$C30, 0,"TPI","exact time"))=TRUE,_xll.PIArcVal(E$5,$C30, 0,"TPI","exact time"),"")</f>
        <v>0.505</v>
      </c>
      <c r="F30" s="9">
        <f>IF(ISNUMBER(_xll.PIArcVal(E$5,$D30, 0,"TPI","exact time"))=TRUE, _xll.PIArcVal(E$5,$D30, 0,"TPI","exact time"), "")</f>
        <v>0.47799999999999998</v>
      </c>
      <c r="G30" s="29">
        <f>IF(ISNUMBER(_xll.PIArcVal(G$5,$C30, 0,"TPI","exact time"))=TRUE,_xll.PIArcVal(G$5,$C30, 0,"TPI","exact time"),"")</f>
        <v>6.3E-2</v>
      </c>
      <c r="H30" s="9">
        <f>IF(ISNUMBER(_xll.PIArcVal(G$5,$D30, 0,"TPI","exact time"))=TRUE, _xll.PIArcVal(G$5,$D30, 0,"TPI","exact time"), "")</f>
        <v>5.0999999999999997E-2</v>
      </c>
      <c r="I30" s="29">
        <f>IF(ISNUMBER(_xll.PIArcVal(I$5,$C30, 0,"TPI","exact time"))=TRUE,_xll.PIArcVal(I$5,$C30, 0,"TPI","exact time"),"")</f>
        <v>2.8050000000000002</v>
      </c>
      <c r="J30" s="9">
        <f>IF(ISNUMBER(_xll.PIArcVal(I$5,$D30, 0,"TPI","exact time"))=TRUE, _xll.PIArcVal(I$5,$D30, 0,"TPI","exact time"), "")</f>
        <v>2.214</v>
      </c>
      <c r="K30" s="29">
        <f>IF(ISNUMBER(_xll.PIArcVal(K$5,$C30, 0,"TPI","exact time"))=TRUE,_xll.PIArcVal(K$5,$C30, 0,"TPI","exact time"),"")</f>
        <v>1.0999999999999999E-2</v>
      </c>
      <c r="L30" s="9">
        <f>IF(ISNUMBER(_xll.PIArcVal(K$5,$D30, 0,"TPI","exact time"))=TRUE, _xll.PIArcVal(K$5,$D30, 0,"TPI","exact time"), "")</f>
        <v>7.0000000000000001E-3</v>
      </c>
      <c r="M30" s="29" t="str">
        <f>IF(ISNUMBER(_xll.PIArcVal(M$5,$C30, 0,"TPI","exact time"))=TRUE,_xll.PIArcVal(M$5,$C30, 0,"TPI","exact time"),"")</f>
        <v/>
      </c>
      <c r="N30" s="9" t="str">
        <f>IF(ISNUMBER(_xll.PIArcVal(M$5,$D30, 0,"TPI","exact time"))=TRUE, _xll.PIArcVal(M$5,$D30, 0,"TPI","exact time"), "")</f>
        <v/>
      </c>
      <c r="O30" s="29">
        <f>IF(ISNUMBER(_xll.PIArcVal(O$5,$C30, 0,"TPI","exact time"))=TRUE,_xll.PIArcVal(O$5,$C30, 0,"TPI","exact time"),"")</f>
        <v>4.8000000000000001E-2</v>
      </c>
      <c r="P30" s="9">
        <f>IF(ISNUMBER(_xll.PIArcVal(O$5,$D30, 0,"TPI","exact time"))=TRUE, _xll.PIArcVal(O$5,$D30, 0,"TPI","exact time"), "")</f>
        <v>5.1999999999999998E-2</v>
      </c>
      <c r="Q30" s="29">
        <f>IF(ISNUMBER(_xll.PIArcVal(Q$5,$C30, 0,"TPI","exact time"))=TRUE,_xll.PIArcVal(Q$5,$C30, 0,"TPI","exact time"),"")</f>
        <v>1.2E-2</v>
      </c>
      <c r="R30" s="9">
        <f>IF(ISNUMBER(_xll.PIArcVal(Q$5,$D30, 0,"TPI","exact time"))=TRUE, _xll.PIArcVal(Q$5,$D30, 0,"TPI","exact time"), "")</f>
        <v>1.0999999999999999E-2</v>
      </c>
      <c r="S30" s="29">
        <f>IF(ISNUMBER(_xll.PIArcVal(S$5,$C30, 0,"TPI","exact time"))=TRUE,_xll.PIArcVal(S$5,$C30, 0,"TPI","exact time"),"")</f>
        <v>2.5310000000000001</v>
      </c>
      <c r="T30" s="9">
        <f>IF(ISNUMBER(_xll.PIArcVal(S$5,$D30, 0,"TPI","exact time"))=TRUE, _xll.PIArcVal(S$5,$D30, 0,"TPI","exact time"), "")</f>
        <v>1.9550000000000001</v>
      </c>
      <c r="U30" s="29">
        <f>IF(ISNUMBER(_xll.PIArcVal(U$5,$C30, 0,"TPI","exact time"))=TRUE,_xll.PIArcVal(U$5,$C30, 0,"TPI","exact time"),"")</f>
        <v>22.885000000000002</v>
      </c>
      <c r="V30" s="9">
        <f>IF(ISNUMBER(_xll.PIArcVal(U$5,$D30, 0,"TPI","exact time"))=TRUE, _xll.PIArcVal(U$5,$D30, 0,"TPI","exact time"), "")</f>
        <v>22.972000000000001</v>
      </c>
      <c r="W30" s="29">
        <f>IF(ISNUMBER(_xll.PIArcVal(W$5,$C30, 0,"TPI","exact time"))=TRUE,_xll.PIArcVal(W$5,$C30, 0,"TPI","exact time"),"")</f>
        <v>2.927</v>
      </c>
      <c r="X30" s="9">
        <f>IF(ISNUMBER(_xll.PIArcVal(W$5,$D30, 0,"TPI","exact time"))=TRUE, _xll.PIArcVal(W$5,$D30, 0,"TPI","exact time"), "")</f>
        <v>2.488</v>
      </c>
      <c r="Y30" s="29">
        <f>IF(ISNUMBER(_xll.PIArcVal(Y$5,$C30, 0,"TPI","exact time"))=TRUE,_xll.PIArcVal(Y$5,$C30, 0,"TPI","exact time"),"")</f>
        <v>27.3</v>
      </c>
      <c r="Z30" s="9">
        <f>IF(ISNUMBER(_xll.PIArcVal(Y$5,$D30, 0,"TPI","exact time"))=TRUE, _xll.PIArcVal(Y$5,$D30, 0,"TPI","exact time"), "")</f>
        <v>27.19</v>
      </c>
      <c r="AA30" s="29">
        <f>IF(ISNUMBER(_xll.PIArcVal(AA$5,$C30, 0,"TPI","exact time"))=TRUE,_xll.PIArcVal(AA$5,$C30, 0,"TPI","exact time"),"")</f>
        <v>10.08</v>
      </c>
      <c r="AB30" s="9">
        <f>IF(ISNUMBER(_xll.PIArcVal(AA$5,$D30, 0,"TPI","exact time"))=TRUE, _xll.PIArcVal(AA$5,$D30, 0,"TPI","exact time"), "")</f>
        <v>9.74</v>
      </c>
    </row>
    <row r="31" spans="1:28" ht="13.5" thickBot="1" x14ac:dyDescent="0.25">
      <c r="A31">
        <f t="shared" si="3"/>
        <v>25</v>
      </c>
      <c r="B31" s="28">
        <f t="shared" si="0"/>
        <v>46272</v>
      </c>
      <c r="C31" s="30">
        <f t="shared" si="1"/>
        <v>46272.3125</v>
      </c>
      <c r="D31" s="30">
        <f t="shared" si="2"/>
        <v>46272.8125</v>
      </c>
      <c r="E31" s="29">
        <f>IF(ISNUMBER(_xll.PIArcVal(E$5,$C31, 0,"TPI","exact time"))=TRUE,_xll.PIArcVal(E$5,$C31, 0,"TPI","exact time"),"")</f>
        <v>0.60599999999999998</v>
      </c>
      <c r="F31" s="9">
        <f>IF(ISNUMBER(_xll.PIArcVal(E$5,$D31, 0,"TPI","exact time"))=TRUE, _xll.PIArcVal(E$5,$D31, 0,"TPI","exact time"), "")</f>
        <v>0.52500000000000002</v>
      </c>
      <c r="G31" s="29">
        <f>IF(ISNUMBER(_xll.PIArcVal(G$5,$C31, 0,"TPI","exact time"))=TRUE,_xll.PIArcVal(G$5,$C31, 0,"TPI","exact time"),"")</f>
        <v>6.3E-2</v>
      </c>
      <c r="H31" s="9">
        <f>IF(ISNUMBER(_xll.PIArcVal(G$5,$D31, 0,"TPI","exact time"))=TRUE, _xll.PIArcVal(G$5,$D31, 0,"TPI","exact time"), "")</f>
        <v>3.9E-2</v>
      </c>
      <c r="I31" s="29">
        <f>IF(ISNUMBER(_xll.PIArcVal(I$5,$C31, 0,"TPI","exact time"))=TRUE,_xll.PIArcVal(I$5,$C31, 0,"TPI","exact time"),"")</f>
        <v>2.3239999999999998</v>
      </c>
      <c r="J31" s="9">
        <f>IF(ISNUMBER(_xll.PIArcVal(I$5,$D31, 0,"TPI","exact time"))=TRUE, _xll.PIArcVal(I$5,$D31, 0,"TPI","exact time"), "")</f>
        <v>1.982</v>
      </c>
      <c r="K31" s="29">
        <f>IF(ISNUMBER(_xll.PIArcVal(K$5,$C31, 0,"TPI","exact time"))=TRUE,_xll.PIArcVal(K$5,$C31, 0,"TPI","exact time"),"")</f>
        <v>5.0000000000000001E-3</v>
      </c>
      <c r="L31" s="9">
        <f>IF(ISNUMBER(_xll.PIArcVal(K$5,$D31, 0,"TPI","exact time"))=TRUE, _xll.PIArcVal(K$5,$D31, 0,"TPI","exact time"), "")</f>
        <v>4.0000000000000001E-3</v>
      </c>
      <c r="M31" s="29" t="str">
        <f>IF(ISNUMBER(_xll.PIArcVal(M$5,$C31, 0,"TPI","exact time"))=TRUE,_xll.PIArcVal(M$5,$C31, 0,"TPI","exact time"),"")</f>
        <v/>
      </c>
      <c r="N31" s="9" t="str">
        <f>IF(ISNUMBER(_xll.PIArcVal(M$5,$D31, 0,"TPI","exact time"))=TRUE, _xll.PIArcVal(M$5,$D31, 0,"TPI","exact time"), "")</f>
        <v/>
      </c>
      <c r="O31" s="29">
        <f>IF(ISNUMBER(_xll.PIArcVal(O$5,$C31, 0,"TPI","exact time"))=TRUE,_xll.PIArcVal(O$5,$C31, 0,"TPI","exact time"),"")</f>
        <v>5.8999999999999997E-2</v>
      </c>
      <c r="P31" s="9">
        <f>IF(ISNUMBER(_xll.PIArcVal(O$5,$D31, 0,"TPI","exact time"))=TRUE, _xll.PIArcVal(O$5,$D31, 0,"TPI","exact time"), "")</f>
        <v>5.0999999999999997E-2</v>
      </c>
      <c r="Q31" s="29">
        <f>IF(ISNUMBER(_xll.PIArcVal(Q$5,$C31, 0,"TPI","exact time"))=TRUE,_xll.PIArcVal(Q$5,$C31, 0,"TPI","exact time"),"")</f>
        <v>1.9E-2</v>
      </c>
      <c r="R31" s="9">
        <f>IF(ISNUMBER(_xll.PIArcVal(Q$5,$D31, 0,"TPI","exact time"))=TRUE, _xll.PIArcVal(Q$5,$D31, 0,"TPI","exact time"), "")</f>
        <v>8.9999999999999993E-3</v>
      </c>
      <c r="S31" s="29">
        <f>IF(ISNUMBER(_xll.PIArcVal(S$5,$C31, 0,"TPI","exact time"))=TRUE,_xll.PIArcVal(S$5,$C31, 0,"TPI","exact time"),"")</f>
        <v>1.766</v>
      </c>
      <c r="T31" s="9">
        <f>IF(ISNUMBER(_xll.PIArcVal(S$5,$D31, 0,"TPI","exact time"))=TRUE, _xll.PIArcVal(S$5,$D31, 0,"TPI","exact time"), "")</f>
        <v>1.573</v>
      </c>
      <c r="U31" s="29">
        <f>IF(ISNUMBER(_xll.PIArcVal(U$5,$C31, 0,"TPI","exact time"))=TRUE,_xll.PIArcVal(U$5,$C31, 0,"TPI","exact time"),"")</f>
        <v>24.975000000000001</v>
      </c>
      <c r="V31" s="9">
        <f>IF(ISNUMBER(_xll.PIArcVal(U$5,$D31, 0,"TPI","exact time"))=TRUE, _xll.PIArcVal(U$5,$D31, 0,"TPI","exact time"), "")</f>
        <v>25.276</v>
      </c>
      <c r="W31" s="29">
        <f>IF(ISNUMBER(_xll.PIArcVal(W$5,$C31, 0,"TPI","exact time"))=TRUE,_xll.PIArcVal(W$5,$C31, 0,"TPI","exact time"),"")</f>
        <v>2.383</v>
      </c>
      <c r="X31" s="9">
        <f>IF(ISNUMBER(_xll.PIArcVal(W$5,$D31, 0,"TPI","exact time"))=TRUE, _xll.PIArcVal(W$5,$D31, 0,"TPI","exact time"), "")</f>
        <v>2.198</v>
      </c>
      <c r="Y31" s="29">
        <f>IF(ISNUMBER(_xll.PIArcVal(Y$5,$C31, 0,"TPI","exact time"))=TRUE,_xll.PIArcVal(Y$5,$C31, 0,"TPI","exact time"),"")</f>
        <v>27.28</v>
      </c>
      <c r="Z31" s="9">
        <f>IF(ISNUMBER(_xll.PIArcVal(Y$5,$D31, 0,"TPI","exact time"))=TRUE, _xll.PIArcVal(Y$5,$D31, 0,"TPI","exact time"), "")</f>
        <v>27.72</v>
      </c>
      <c r="AA31" s="29">
        <f>IF(ISNUMBER(_xll.PIArcVal(AA$5,$C31, 0,"TPI","exact time"))=TRUE,_xll.PIArcVal(AA$5,$C31, 0,"TPI","exact time"),"")</f>
        <v>10.48</v>
      </c>
      <c r="AB31" s="9">
        <f>IF(ISNUMBER(_xll.PIArcVal(AA$5,$D31, 0,"TPI","exact time"))=TRUE, _xll.PIArcVal(AA$5,$D31, 0,"TPI","exact time"), "")</f>
        <v>9.7200000000000006</v>
      </c>
    </row>
    <row r="32" spans="1:28" ht="13.5" thickBot="1" x14ac:dyDescent="0.25">
      <c r="A32">
        <f t="shared" si="3"/>
        <v>26</v>
      </c>
      <c r="B32" s="28">
        <f t="shared" si="0"/>
        <v>46273</v>
      </c>
      <c r="C32" s="30">
        <f t="shared" si="1"/>
        <v>46273.3125</v>
      </c>
      <c r="D32" s="30">
        <f t="shared" si="2"/>
        <v>46273.8125</v>
      </c>
      <c r="E32" s="29">
        <f>IF(ISNUMBER(_xll.PIArcVal(E$5,$C32, 0,"TPI","exact time"))=TRUE,_xll.PIArcVal(E$5,$C32, 0,"TPI","exact time"),"")</f>
        <v>0.55600000000000005</v>
      </c>
      <c r="F32" s="9">
        <f>IF(ISNUMBER(_xll.PIArcVal(E$5,$D32, 0,"TPI","exact time"))=TRUE, _xll.PIArcVal(E$5,$D32, 0,"TPI","exact time"), "")</f>
        <v>0.54500000000000004</v>
      </c>
      <c r="G32" s="29">
        <f>IF(ISNUMBER(_xll.PIArcVal(G$5,$C32, 0,"TPI","exact time"))=TRUE,_xll.PIArcVal(G$5,$C32, 0,"TPI","exact time"),"")</f>
        <v>7.6999999999999999E-2</v>
      </c>
      <c r="H32" s="9">
        <f>IF(ISNUMBER(_xll.PIArcVal(G$5,$D32, 0,"TPI","exact time"))=TRUE, _xll.PIArcVal(G$5,$D32, 0,"TPI","exact time"), "")</f>
        <v>6.9000000000000006E-2</v>
      </c>
      <c r="I32" s="29">
        <f>IF(ISNUMBER(_xll.PIArcVal(I$5,$C32, 0,"TPI","exact time"))=TRUE,_xll.PIArcVal(I$5,$C32, 0,"TPI","exact time"),"")</f>
        <v>2.2010000000000001</v>
      </c>
      <c r="J32" s="9">
        <f>IF(ISNUMBER(_xll.PIArcVal(I$5,$D32, 0,"TPI","exact time"))=TRUE, _xll.PIArcVal(I$5,$D32, 0,"TPI","exact time"), "")</f>
        <v>2.093</v>
      </c>
      <c r="K32" s="29">
        <f>IF(ISNUMBER(_xll.PIArcVal(K$5,$C32, 0,"TPI","exact time"))=TRUE,_xll.PIArcVal(K$5,$C32, 0,"TPI","exact time"),"")</f>
        <v>5.0000000000000001E-3</v>
      </c>
      <c r="L32" s="9">
        <f>IF(ISNUMBER(_xll.PIArcVal(K$5,$D32, 0,"TPI","exact time"))=TRUE, _xll.PIArcVal(K$5,$D32, 0,"TPI","exact time"), "")</f>
        <v>5.0000000000000001E-3</v>
      </c>
      <c r="M32" s="29" t="str">
        <f>IF(ISNUMBER(_xll.PIArcVal(M$5,$C32, 0,"TPI","exact time"))=TRUE,_xll.PIArcVal(M$5,$C32, 0,"TPI","exact time"),"")</f>
        <v/>
      </c>
      <c r="N32" s="9" t="str">
        <f>IF(ISNUMBER(_xll.PIArcVal(M$5,$D32, 0,"TPI","exact time"))=TRUE, _xll.PIArcVal(M$5,$D32, 0,"TPI","exact time"), "")</f>
        <v/>
      </c>
      <c r="O32" s="29">
        <f>IF(ISNUMBER(_xll.PIArcVal(O$5,$C32, 0,"TPI","exact time"))=TRUE,_xll.PIArcVal(O$5,$C32, 0,"TPI","exact time"),"")</f>
        <v>5.3999999999999999E-2</v>
      </c>
      <c r="P32" s="9">
        <f>IF(ISNUMBER(_xll.PIArcVal(O$5,$D32, 0,"TPI","exact time"))=TRUE, _xll.PIArcVal(O$5,$D32, 0,"TPI","exact time"), "")</f>
        <v>5.1999999999999998E-2</v>
      </c>
      <c r="Q32" s="29">
        <f>IF(ISNUMBER(_xll.PIArcVal(Q$5,$C32, 0,"TPI","exact time"))=TRUE,_xll.PIArcVal(Q$5,$C32, 0,"TPI","exact time"),"")</f>
        <v>1.4E-2</v>
      </c>
      <c r="R32" s="9">
        <f>IF(ISNUMBER(_xll.PIArcVal(Q$5,$D32, 0,"TPI","exact time"))=TRUE, _xll.PIArcVal(Q$5,$D32, 0,"TPI","exact time"), "")</f>
        <v>1.4E-2</v>
      </c>
      <c r="S32" s="29">
        <f>IF(ISNUMBER(_xll.PIArcVal(S$5,$C32, 0,"TPI","exact time"))=TRUE,_xll.PIArcVal(S$5,$C32, 0,"TPI","exact time"),"")</f>
        <v>1.7270000000000001</v>
      </c>
      <c r="T32" s="9">
        <f>IF(ISNUMBER(_xll.PIArcVal(S$5,$D32, 0,"TPI","exact time"))=TRUE, _xll.PIArcVal(S$5,$D32, 0,"TPI","exact time"), "")</f>
        <v>1.7230000000000001</v>
      </c>
      <c r="U32" s="29">
        <f>IF(ISNUMBER(_xll.PIArcVal(U$5,$C32, 0,"TPI","exact time"))=TRUE,_xll.PIArcVal(U$5,$C32, 0,"TPI","exact time"),"")</f>
        <v>23.321999999999999</v>
      </c>
      <c r="V32" s="9">
        <f>IF(ISNUMBER(_xll.PIArcVal(U$5,$D32, 0,"TPI","exact time"))=TRUE, _xll.PIArcVal(U$5,$D32, 0,"TPI","exact time"), "")</f>
        <v>26.672000000000001</v>
      </c>
      <c r="W32" s="29">
        <f>IF(ISNUMBER(_xll.PIArcVal(W$5,$C32, 0,"TPI","exact time"))=TRUE,_xll.PIArcVal(W$5,$C32, 0,"TPI","exact time"),"")</f>
        <v>3.17</v>
      </c>
      <c r="X32" s="9">
        <f>IF(ISNUMBER(_xll.PIArcVal(W$5,$D32, 0,"TPI","exact time"))=TRUE, _xll.PIArcVal(W$5,$D32, 0,"TPI","exact time"), "")</f>
        <v>2.8050000000000002</v>
      </c>
      <c r="Y32" s="29">
        <f>IF(ISNUMBER(_xll.PIArcVal(Y$5,$C32, 0,"TPI","exact time"))=TRUE,_xll.PIArcVal(Y$5,$C32, 0,"TPI","exact time"),"")</f>
        <v>26.88</v>
      </c>
      <c r="Z32" s="9">
        <f>IF(ISNUMBER(_xll.PIArcVal(Y$5,$D32, 0,"TPI","exact time"))=TRUE, _xll.PIArcVal(Y$5,$D32, 0,"TPI","exact time"), "")</f>
        <v>26.64</v>
      </c>
      <c r="AA32" s="29">
        <f>IF(ISNUMBER(_xll.PIArcVal(AA$5,$C32, 0,"TPI","exact time"))=TRUE,_xll.PIArcVal(AA$5,$C32, 0,"TPI","exact time"),"")</f>
        <v>12.58</v>
      </c>
      <c r="AB32" s="9">
        <f>IF(ISNUMBER(_xll.PIArcVal(AA$5,$D32, 0,"TPI","exact time"))=TRUE, _xll.PIArcVal(AA$5,$D32, 0,"TPI","exact time"), "")</f>
        <v>8.4</v>
      </c>
    </row>
    <row r="33" spans="1:28" ht="13.5" thickBot="1" x14ac:dyDescent="0.25">
      <c r="A33">
        <f t="shared" si="3"/>
        <v>27</v>
      </c>
      <c r="B33" s="28">
        <f t="shared" si="0"/>
        <v>46274</v>
      </c>
      <c r="C33" s="30">
        <f t="shared" si="1"/>
        <v>46274.3125</v>
      </c>
      <c r="D33" s="30">
        <f t="shared" si="2"/>
        <v>46274.8125</v>
      </c>
      <c r="E33" s="29">
        <f>IF(ISNUMBER(_xll.PIArcVal(E$5,$C33, 0,"TPI","exact time"))=TRUE,_xll.PIArcVal(E$5,$C33, 0,"TPI","exact time"),"")</f>
        <v>0.48</v>
      </c>
      <c r="F33" s="9">
        <f>IF(ISNUMBER(_xll.PIArcVal(E$5,$D33, 0,"TPI","exact time"))=TRUE, _xll.PIArcVal(E$5,$D33, 0,"TPI","exact time"), "")</f>
        <v>0.501</v>
      </c>
      <c r="G33" s="29">
        <f>IF(ISNUMBER(_xll.PIArcVal(G$5,$C33, 0,"TPI","exact time"))=TRUE,_xll.PIArcVal(G$5,$C33, 0,"TPI","exact time"),"")</f>
        <v>0.08</v>
      </c>
      <c r="H33" s="9">
        <f>IF(ISNUMBER(_xll.PIArcVal(G$5,$D33, 0,"TPI","exact time"))=TRUE, _xll.PIArcVal(G$5,$D33, 0,"TPI","exact time"), "")</f>
        <v>5.3999999999999999E-2</v>
      </c>
      <c r="I33" s="29">
        <f>IF(ISNUMBER(_xll.PIArcVal(I$5,$C33, 0,"TPI","exact time"))=TRUE,_xll.PIArcVal(I$5,$C33, 0,"TPI","exact time"),"")</f>
        <v>2.1339999999999999</v>
      </c>
      <c r="J33" s="9">
        <f>IF(ISNUMBER(_xll.PIArcVal(I$5,$D33, 0,"TPI","exact time"))=TRUE, _xll.PIArcVal(I$5,$D33, 0,"TPI","exact time"), "")</f>
        <v>1.869</v>
      </c>
      <c r="K33" s="29">
        <f>IF(ISNUMBER(_xll.PIArcVal(K$5,$C33, 0,"TPI","exact time"))=TRUE,_xll.PIArcVal(K$5,$C33, 0,"TPI","exact time"),"")</f>
        <v>5.0000000000000001E-3</v>
      </c>
      <c r="L33" s="9">
        <f>IF(ISNUMBER(_xll.PIArcVal(K$5,$D33, 0,"TPI","exact time"))=TRUE, _xll.PIArcVal(K$5,$D33, 0,"TPI","exact time"), "")</f>
        <v>5.0000000000000001E-3</v>
      </c>
      <c r="M33" s="29" t="str">
        <f>IF(ISNUMBER(_xll.PIArcVal(M$5,$C33, 0,"TPI","exact time"))=TRUE,_xll.PIArcVal(M$5,$C33, 0,"TPI","exact time"),"")</f>
        <v/>
      </c>
      <c r="N33" s="9" t="str">
        <f>IF(ISNUMBER(_xll.PIArcVal(M$5,$D33, 0,"TPI","exact time"))=TRUE, _xll.PIArcVal(M$5,$D33, 0,"TPI","exact time"), "")</f>
        <v/>
      </c>
      <c r="O33" s="29">
        <f>IF(ISNUMBER(_xll.PIArcVal(O$5,$C33, 0,"TPI","exact time"))=TRUE,_xll.PIArcVal(O$5,$C33, 0,"TPI","exact time"),"")</f>
        <v>3.5999999999999997E-2</v>
      </c>
      <c r="P33" s="9">
        <f>IF(ISNUMBER(_xll.PIArcVal(O$5,$D33, 0,"TPI","exact time"))=TRUE, _xll.PIArcVal(O$5,$D33, 0,"TPI","exact time"), "")</f>
        <v>5.2999999999999999E-2</v>
      </c>
      <c r="Q33" s="29">
        <f>IF(ISNUMBER(_xll.PIArcVal(Q$5,$C33, 0,"TPI","exact time"))=TRUE,_xll.PIArcVal(Q$5,$C33, 0,"TPI","exact time"),"")</f>
        <v>1.4999999999999999E-2</v>
      </c>
      <c r="R33" s="9">
        <f>IF(ISNUMBER(_xll.PIArcVal(Q$5,$D33, 0,"TPI","exact time"))=TRUE, _xll.PIArcVal(Q$5,$D33, 0,"TPI","exact time"), "")</f>
        <v>8.9999999999999993E-3</v>
      </c>
      <c r="S33" s="29">
        <f>IF(ISNUMBER(_xll.PIArcVal(S$5,$C33, 0,"TPI","exact time"))=TRUE,_xll.PIArcVal(S$5,$C33, 0,"TPI","exact time"),"")</f>
        <v>1.3420000000000001</v>
      </c>
      <c r="T33" s="9">
        <f>IF(ISNUMBER(_xll.PIArcVal(S$5,$D33, 0,"TPI","exact time"))=TRUE, _xll.PIArcVal(S$5,$D33, 0,"TPI","exact time"), "")</f>
        <v>1.5529999999999999</v>
      </c>
      <c r="U33" s="29">
        <f>IF(ISNUMBER(_xll.PIArcVal(U$5,$C33, 0,"TPI","exact time"))=TRUE,_xll.PIArcVal(U$5,$C33, 0,"TPI","exact time"),"")</f>
        <v>23.248999999999999</v>
      </c>
      <c r="V33" s="9">
        <f>IF(ISNUMBER(_xll.PIArcVal(U$5,$D33, 0,"TPI","exact time"))=TRUE, _xll.PIArcVal(U$5,$D33, 0,"TPI","exact time"), "")</f>
        <v>26.018999999999998</v>
      </c>
      <c r="W33" s="29">
        <f>IF(ISNUMBER(_xll.PIArcVal(W$5,$C33, 0,"TPI","exact time"))=TRUE,_xll.PIArcVal(W$5,$C33, 0,"TPI","exact time"),"")</f>
        <v>4.569</v>
      </c>
      <c r="X33" s="9">
        <f>IF(ISNUMBER(_xll.PIArcVal(W$5,$D33, 0,"TPI","exact time"))=TRUE, _xll.PIArcVal(W$5,$D33, 0,"TPI","exact time"), "")</f>
        <v>2.3180000000000001</v>
      </c>
      <c r="Y33" s="29">
        <f>IF(ISNUMBER(_xll.PIArcVal(Y$5,$C33, 0,"TPI","exact time"))=TRUE,_xll.PIArcVal(Y$5,$C33, 0,"TPI","exact time"),"")</f>
        <v>25.94</v>
      </c>
      <c r="Z33" s="9">
        <f>IF(ISNUMBER(_xll.PIArcVal(Y$5,$D33, 0,"TPI","exact time"))=TRUE, _xll.PIArcVal(Y$5,$D33, 0,"TPI","exact time"), "")</f>
        <v>26.53</v>
      </c>
      <c r="AA33" s="29">
        <f>IF(ISNUMBER(_xll.PIArcVal(AA$5,$C33, 0,"TPI","exact time"))=TRUE,_xll.PIArcVal(AA$5,$C33, 0,"TPI","exact time"),"")</f>
        <v>13.06</v>
      </c>
      <c r="AB33" s="9">
        <f>IF(ISNUMBER(_xll.PIArcVal(AA$5,$D33, 0,"TPI","exact time"))=TRUE, _xll.PIArcVal(AA$5,$D33, 0,"TPI","exact time"), "")</f>
        <v>9.2200000000000006</v>
      </c>
    </row>
    <row r="34" spans="1:28" ht="13.5" thickBot="1" x14ac:dyDescent="0.25">
      <c r="A34">
        <f t="shared" si="3"/>
        <v>28</v>
      </c>
      <c r="B34" s="28">
        <f t="shared" si="0"/>
        <v>46275</v>
      </c>
      <c r="C34" s="30">
        <f t="shared" si="1"/>
        <v>46275.3125</v>
      </c>
      <c r="D34" s="30">
        <f t="shared" si="2"/>
        <v>46275.8125</v>
      </c>
      <c r="E34" s="29">
        <f>IF(ISNUMBER(_xll.PIArcVal(E$5,$C34, 0,"TPI","exact time"))=TRUE,_xll.PIArcVal(E$5,$C34, 0,"TPI","exact time"),"")</f>
        <v>0.48299999999999998</v>
      </c>
      <c r="F34" s="9">
        <f>IF(ISNUMBER(_xll.PIArcVal(E$5,$D34, 0,"TPI","exact time"))=TRUE, _xll.PIArcVal(E$5,$D34, 0,"TPI","exact time"), "")</f>
        <v>0.46600000000000003</v>
      </c>
      <c r="G34" s="29">
        <f>IF(ISNUMBER(_xll.PIArcVal(G$5,$C34, 0,"TPI","exact time"))=TRUE,_xll.PIArcVal(G$5,$C34, 0,"TPI","exact time"),"")</f>
        <v>5.7000000000000002E-2</v>
      </c>
      <c r="H34" s="9">
        <f>IF(ISNUMBER(_xll.PIArcVal(G$5,$D34, 0,"TPI","exact time"))=TRUE, _xll.PIArcVal(G$5,$D34, 0,"TPI","exact time"), "")</f>
        <v>3.6999999999999998E-2</v>
      </c>
      <c r="I34" s="29">
        <f>IF(ISNUMBER(_xll.PIArcVal(I$5,$C34, 0,"TPI","exact time"))=TRUE,_xll.PIArcVal(I$5,$C34, 0,"TPI","exact time"),"")</f>
        <v>1.966</v>
      </c>
      <c r="J34" s="9">
        <f>IF(ISNUMBER(_xll.PIArcVal(I$5,$D34, 0,"TPI","exact time"))=TRUE, _xll.PIArcVal(I$5,$D34, 0,"TPI","exact time"), "")</f>
        <v>1.8859999999999999</v>
      </c>
      <c r="K34" s="29">
        <f>IF(ISNUMBER(_xll.PIArcVal(K$5,$C34, 0,"TPI","exact time"))=TRUE,_xll.PIArcVal(K$5,$C34, 0,"TPI","exact time"),"")</f>
        <v>4.0000000000000001E-3</v>
      </c>
      <c r="L34" s="9">
        <f>IF(ISNUMBER(_xll.PIArcVal(K$5,$D34, 0,"TPI","exact time"))=TRUE, _xll.PIArcVal(K$5,$D34, 0,"TPI","exact time"), "")</f>
        <v>5.0000000000000001E-3</v>
      </c>
      <c r="M34" s="29" t="str">
        <f>IF(ISNUMBER(_xll.PIArcVal(M$5,$C34, 0,"TPI","exact time"))=TRUE,_xll.PIArcVal(M$5,$C34, 0,"TPI","exact time"),"")</f>
        <v/>
      </c>
      <c r="N34" s="9" t="str">
        <f>IF(ISNUMBER(_xll.PIArcVal(M$5,$D34, 0,"TPI","exact time"))=TRUE, _xll.PIArcVal(M$5,$D34, 0,"TPI","exact time"), "")</f>
        <v/>
      </c>
      <c r="O34" s="29">
        <f>IF(ISNUMBER(_xll.PIArcVal(O$5,$C34, 0,"TPI","exact time"))=TRUE,_xll.PIArcVal(O$5,$C34, 0,"TPI","exact time"),"")</f>
        <v>4.4999999999999998E-2</v>
      </c>
      <c r="P34" s="9">
        <f>IF(ISNUMBER(_xll.PIArcVal(O$5,$D34, 0,"TPI","exact time"))=TRUE, _xll.PIArcVal(O$5,$D34, 0,"TPI","exact time"), "")</f>
        <v>6.3E-2</v>
      </c>
      <c r="Q34" s="29">
        <f>IF(ISNUMBER(_xll.PIArcVal(Q$5,$C34, 0,"TPI","exact time"))=TRUE,_xll.PIArcVal(Q$5,$C34, 0,"TPI","exact time"),"")</f>
        <v>1.2E-2</v>
      </c>
      <c r="R34" s="9">
        <f>IF(ISNUMBER(_xll.PIArcVal(Q$5,$D34, 0,"TPI","exact time"))=TRUE, _xll.PIArcVal(Q$5,$D34, 0,"TPI","exact time"), "")</f>
        <v>1.0999999999999999E-2</v>
      </c>
      <c r="S34" s="29">
        <f>IF(ISNUMBER(_xll.PIArcVal(S$5,$C34, 0,"TPI","exact time"))=TRUE,_xll.PIArcVal(S$5,$C34, 0,"TPI","exact time"),"")</f>
        <v>1.2390000000000001</v>
      </c>
      <c r="T34" s="9">
        <f>IF(ISNUMBER(_xll.PIArcVal(S$5,$D34, 0,"TPI","exact time"))=TRUE, _xll.PIArcVal(S$5,$D34, 0,"TPI","exact time"), "")</f>
        <v>1.5840000000000001</v>
      </c>
      <c r="U34" s="29">
        <f>IF(ISNUMBER(_xll.PIArcVal(U$5,$C34, 0,"TPI","exact time"))=TRUE,_xll.PIArcVal(U$5,$C34, 0,"TPI","exact time"),"")</f>
        <v>28.291</v>
      </c>
      <c r="V34" s="9">
        <f>IF(ISNUMBER(_xll.PIArcVal(U$5,$D34, 0,"TPI","exact time"))=TRUE, _xll.PIArcVal(U$5,$D34, 0,"TPI","exact time"), "")</f>
        <v>26.468</v>
      </c>
      <c r="W34" s="29">
        <f>IF(ISNUMBER(_xll.PIArcVal(W$5,$C34, 0,"TPI","exact time"))=TRUE,_xll.PIArcVal(W$5,$C34, 0,"TPI","exact time"),"")</f>
        <v>2.9260000000000002</v>
      </c>
      <c r="X34" s="9">
        <f>IF(ISNUMBER(_xll.PIArcVal(W$5,$D34, 0,"TPI","exact time"))=TRUE, _xll.PIArcVal(W$5,$D34, 0,"TPI","exact time"), "")</f>
        <v>2.081</v>
      </c>
      <c r="Y34" s="29">
        <f>IF(ISNUMBER(_xll.PIArcVal(Y$5,$C34, 0,"TPI","exact time"))=TRUE,_xll.PIArcVal(Y$5,$C34, 0,"TPI","exact time"),"")</f>
        <v>29.51</v>
      </c>
      <c r="Z34" s="9">
        <f>IF(ISNUMBER(_xll.PIArcVal(Y$5,$D34, 0,"TPI","exact time"))=TRUE, _xll.PIArcVal(Y$5,$D34, 0,"TPI","exact time"), "")</f>
        <v>29.45</v>
      </c>
      <c r="AA34" s="29">
        <f>IF(ISNUMBER(_xll.PIArcVal(AA$5,$C34, 0,"TPI","exact time"))=TRUE,_xll.PIArcVal(AA$5,$C34, 0,"TPI","exact time"),"")</f>
        <v>5.66</v>
      </c>
      <c r="AB34" s="9">
        <f>IF(ISNUMBER(_xll.PIArcVal(AA$5,$D34, 0,"TPI","exact time"))=TRUE, _xll.PIArcVal(AA$5,$D34, 0,"TPI","exact time"), "")</f>
        <v>8.9600000000000009</v>
      </c>
    </row>
    <row r="35" spans="1:28" ht="13.5" thickBot="1" x14ac:dyDescent="0.25">
      <c r="A35">
        <f t="shared" si="3"/>
        <v>29</v>
      </c>
      <c r="B35" s="28">
        <f t="shared" si="0"/>
        <v>46276</v>
      </c>
      <c r="C35" s="30">
        <f t="shared" si="1"/>
        <v>46276.3125</v>
      </c>
      <c r="D35" s="30">
        <f t="shared" si="2"/>
        <v>46276.8125</v>
      </c>
      <c r="E35" s="29">
        <f>IF(ISNUMBER(_xll.PIArcVal(E$5,$C35, 0,"TPI","exact time"))=TRUE,_xll.PIArcVal(E$5,$C35, 0,"TPI","exact time"),"")</f>
        <v>0.42899999999999999</v>
      </c>
      <c r="F35" s="9">
        <f>IF(ISNUMBER(_xll.PIArcVal(E$5,$D35, 0,"TPI","exact time"))=TRUE, _xll.PIArcVal(E$5,$D35, 0,"TPI","exact time"), "")</f>
        <v>0.443</v>
      </c>
      <c r="G35" s="29">
        <f>IF(ISNUMBER(_xll.PIArcVal(G$5,$C35, 0,"TPI","exact time"))=TRUE,_xll.PIArcVal(G$5,$C35, 0,"TPI","exact time"),"")</f>
        <v>5.2999999999999999E-2</v>
      </c>
      <c r="H35" s="9">
        <f>IF(ISNUMBER(_xll.PIArcVal(G$5,$D35, 0,"TPI","exact time"))=TRUE, _xll.PIArcVal(G$5,$D35, 0,"TPI","exact time"), "")</f>
        <v>4.4999999999999998E-2</v>
      </c>
      <c r="I35" s="29">
        <f>IF(ISNUMBER(_xll.PIArcVal(I$5,$C35, 0,"TPI","exact time"))=TRUE,_xll.PIArcVal(I$5,$C35, 0,"TPI","exact time"),"")</f>
        <v>1.944</v>
      </c>
      <c r="J35" s="9">
        <f>IF(ISNUMBER(_xll.PIArcVal(I$5,$D35, 0,"TPI","exact time"))=TRUE, _xll.PIArcVal(I$5,$D35, 0,"TPI","exact time"), "")</f>
        <v>1.909</v>
      </c>
      <c r="K35" s="29">
        <f>IF(ISNUMBER(_xll.PIArcVal(K$5,$C35, 0,"TPI","exact time"))=TRUE,_xll.PIArcVal(K$5,$C35, 0,"TPI","exact time"),"")</f>
        <v>5.0000000000000001E-3</v>
      </c>
      <c r="L35" s="9">
        <f>IF(ISNUMBER(_xll.PIArcVal(K$5,$D35, 0,"TPI","exact time"))=TRUE, _xll.PIArcVal(K$5,$D35, 0,"TPI","exact time"), "")</f>
        <v>5.0000000000000001E-3</v>
      </c>
      <c r="M35" s="29" t="str">
        <f>IF(ISNUMBER(_xll.PIArcVal(M$5,$C35, 0,"TPI","exact time"))=TRUE,_xll.PIArcVal(M$5,$C35, 0,"TPI","exact time"),"")</f>
        <v/>
      </c>
      <c r="N35" s="9" t="str">
        <f>IF(ISNUMBER(_xll.PIArcVal(M$5,$D35, 0,"TPI","exact time"))=TRUE, _xll.PIArcVal(M$5,$D35, 0,"TPI","exact time"), "")</f>
        <v/>
      </c>
      <c r="O35" s="29">
        <f>IF(ISNUMBER(_xll.PIArcVal(O$5,$C35, 0,"TPI","exact time"))=TRUE,_xll.PIArcVal(O$5,$C35, 0,"TPI","exact time"),"")</f>
        <v>5.2999999999999999E-2</v>
      </c>
      <c r="P35" s="9">
        <f>IF(ISNUMBER(_xll.PIArcVal(O$5,$D35, 0,"TPI","exact time"))=TRUE, _xll.PIArcVal(O$5,$D35, 0,"TPI","exact time"), "")</f>
        <v>6.2E-2</v>
      </c>
      <c r="Q35" s="29">
        <f>IF(ISNUMBER(_xll.PIArcVal(Q$5,$C35, 0,"TPI","exact time"))=TRUE,_xll.PIArcVal(Q$5,$C35, 0,"TPI","exact time"),"")</f>
        <v>1.7000000000000001E-2</v>
      </c>
      <c r="R35" s="9">
        <f>IF(ISNUMBER(_xll.PIArcVal(Q$5,$D35, 0,"TPI","exact time"))=TRUE, _xll.PIArcVal(Q$5,$D35, 0,"TPI","exact time"), "")</f>
        <v>1.4E-2</v>
      </c>
      <c r="S35" s="29">
        <f>IF(ISNUMBER(_xll.PIArcVal(S$5,$C35, 0,"TPI","exact time"))=TRUE,_xll.PIArcVal(S$5,$C35, 0,"TPI","exact time"),"")</f>
        <v>1.6919999999999999</v>
      </c>
      <c r="T35" s="9">
        <f>IF(ISNUMBER(_xll.PIArcVal(S$5,$D35, 0,"TPI","exact time"))=TRUE, _xll.PIArcVal(S$5,$D35, 0,"TPI","exact time"), "")</f>
        <v>1.3879999999999999</v>
      </c>
      <c r="U35" s="29">
        <f>IF(ISNUMBER(_xll.PIArcVal(U$5,$C35, 0,"TPI","exact time"))=TRUE,_xll.PIArcVal(U$5,$C35, 0,"TPI","exact time"),"")</f>
        <v>24.695</v>
      </c>
      <c r="V35" s="9">
        <f>IF(ISNUMBER(_xll.PIArcVal(U$5,$D35, 0,"TPI","exact time"))=TRUE, _xll.PIArcVal(U$5,$D35, 0,"TPI","exact time"), "")</f>
        <v>25.768999999999998</v>
      </c>
      <c r="W35" s="29">
        <f>IF(ISNUMBER(_xll.PIArcVal(W$5,$C35, 0,"TPI","exact time"))=TRUE,_xll.PIArcVal(W$5,$C35, 0,"TPI","exact time"),"")</f>
        <v>2.645</v>
      </c>
      <c r="X35" s="9">
        <f>IF(ISNUMBER(_xll.PIArcVal(W$5,$D35, 0,"TPI","exact time"))=TRUE, _xll.PIArcVal(W$5,$D35, 0,"TPI","exact time"), "")</f>
        <v>2.6469999999999998</v>
      </c>
      <c r="Y35" s="29">
        <f>IF(ISNUMBER(_xll.PIArcVal(Y$5,$C35, 0,"TPI","exact time"))=TRUE,_xll.PIArcVal(Y$5,$C35, 0,"TPI","exact time"),"")</f>
        <v>28.29</v>
      </c>
      <c r="Z35" s="9">
        <f>IF(ISNUMBER(_xll.PIArcVal(Y$5,$D35, 0,"TPI","exact time"))=TRUE, _xll.PIArcVal(Y$5,$D35, 0,"TPI","exact time"), "")</f>
        <v>27.84</v>
      </c>
      <c r="AA35" s="29">
        <f>IF(ISNUMBER(_xll.PIArcVal(AA$5,$C35, 0,"TPI","exact time"))=TRUE,_xll.PIArcVal(AA$5,$C35, 0,"TPI","exact time"),"")</f>
        <v>10.98</v>
      </c>
      <c r="AB35" s="9">
        <f>IF(ISNUMBER(_xll.PIArcVal(AA$5,$D35, 0,"TPI","exact time"))=TRUE, _xll.PIArcVal(AA$5,$D35, 0,"TPI","exact time"), "")</f>
        <v>9.26</v>
      </c>
    </row>
    <row r="36" spans="1:28" ht="13.5" thickBot="1" x14ac:dyDescent="0.25">
      <c r="A36">
        <f t="shared" si="3"/>
        <v>30</v>
      </c>
      <c r="B36" s="28">
        <f>+B37-1</f>
        <v>46277</v>
      </c>
      <c r="C36" s="30">
        <f t="shared" si="1"/>
        <v>46277.3125</v>
      </c>
      <c r="D36" s="30">
        <f t="shared" si="2"/>
        <v>46277.8125</v>
      </c>
      <c r="E36" s="29">
        <f>IF(ISNUMBER(_xll.PIArcVal(E$5,$C36, 0,"TPI","exact time"))=TRUE,_xll.PIArcVal(E$5,$C36, 0,"TPI","exact time"),"")</f>
        <v>0.40300000000000002</v>
      </c>
      <c r="F36" s="9">
        <f>IF(ISNUMBER(_xll.PIArcVal(E$5,$D36, 0,"TPI","exact time"))=TRUE, _xll.PIArcVal(E$5,$D36, 0,"TPI","exact time"), "")</f>
        <v>0.41899999999999998</v>
      </c>
      <c r="G36" s="29">
        <f>IF(ISNUMBER(_xll.PIArcVal(G$5,$C36, 0,"TPI","exact time"))=TRUE,_xll.PIArcVal(G$5,$C36, 0,"TPI","exact time"),"")</f>
        <v>5.7000000000000002E-2</v>
      </c>
      <c r="H36" s="9">
        <f>IF(ISNUMBER(_xll.PIArcVal(G$5,$D36, 0,"TPI","exact time"))=TRUE, _xll.PIArcVal(G$5,$D36, 0,"TPI","exact time"), "")</f>
        <v>4.2000000000000003E-2</v>
      </c>
      <c r="I36" s="29">
        <f>IF(ISNUMBER(_xll.PIArcVal(I$5,$C36, 0,"TPI","exact time"))=TRUE,_xll.PIArcVal(I$5,$C36, 0,"TPI","exact time"),"")</f>
        <v>1.875</v>
      </c>
      <c r="J36" s="9">
        <f>IF(ISNUMBER(_xll.PIArcVal(I$5,$D36, 0,"TPI","exact time"))=TRUE, _xll.PIArcVal(I$5,$D36, 0,"TPI","exact time"), "")</f>
        <v>2.2229999999999999</v>
      </c>
      <c r="K36" s="29">
        <f>IF(ISNUMBER(_xll.PIArcVal(K$5,$C36, 0,"TPI","exact time"))=TRUE,_xll.PIArcVal(K$5,$C36, 0,"TPI","exact time"),"")</f>
        <v>6.0000000000000001E-3</v>
      </c>
      <c r="L36" s="9">
        <f>IF(ISNUMBER(_xll.PIArcVal(K$5,$D36, 0,"TPI","exact time"))=TRUE, _xll.PIArcVal(K$5,$D36, 0,"TPI","exact time"), "")</f>
        <v>6.0000000000000001E-3</v>
      </c>
      <c r="M36" s="29" t="str">
        <f>IF(ISNUMBER(_xll.PIArcVal(M$5,$C36, 0,"TPI","exact time"))=TRUE,_xll.PIArcVal(M$5,$C36, 0,"TPI","exact time"),"")</f>
        <v/>
      </c>
      <c r="N36" s="9" t="str">
        <f>IF(ISNUMBER(_xll.PIArcVal(M$5,$D36, 0,"TPI","exact time"))=TRUE, _xll.PIArcVal(M$5,$D36, 0,"TPI","exact time"), "")</f>
        <v/>
      </c>
      <c r="O36" s="29">
        <f>IF(ISNUMBER(_xll.PIArcVal(O$5,$C36, 0,"TPI","exact time"))=TRUE,_xll.PIArcVal(O$5,$C36, 0,"TPI","exact time"),"")</f>
        <v>5.1999999999999998E-2</v>
      </c>
      <c r="P36" s="9">
        <f>IF(ISNUMBER(_xll.PIArcVal(O$5,$D36, 0,"TPI","exact time"))=TRUE, _xll.PIArcVal(O$5,$D36, 0,"TPI","exact time"), "")</f>
        <v>4.9000000000000002E-2</v>
      </c>
      <c r="Q36" s="29">
        <f>IF(ISNUMBER(_xll.PIArcVal(Q$5,$C36, 0,"TPI","exact time"))=TRUE,_xll.PIArcVal(Q$5,$C36, 0,"TPI","exact time"),"")</f>
        <v>1.4E-2</v>
      </c>
      <c r="R36" s="9">
        <f>IF(ISNUMBER(_xll.PIArcVal(Q$5,$D36, 0,"TPI","exact time"))=TRUE, _xll.PIArcVal(Q$5,$D36, 0,"TPI","exact time"), "")</f>
        <v>1.4999999999999999E-2</v>
      </c>
      <c r="S36" s="29">
        <f>IF(ISNUMBER(_xll.PIArcVal(S$5,$C36, 0,"TPI","exact time"))=TRUE,_xll.PIArcVal(S$5,$C36, 0,"TPI","exact time"),"")</f>
        <v>1.609</v>
      </c>
      <c r="T36" s="9">
        <f>IF(ISNUMBER(_xll.PIArcVal(S$5,$D36, 0,"TPI","exact time"))=TRUE, _xll.PIArcVal(S$5,$D36, 0,"TPI","exact time"), "")</f>
        <v>1.895</v>
      </c>
      <c r="U36" s="29">
        <f>IF(ISNUMBER(_xll.PIArcVal(U$5,$C36, 0,"TPI","exact time"))=TRUE,_xll.PIArcVal(U$5,$C36, 0,"TPI","exact time"),"")</f>
        <v>24.577000000000002</v>
      </c>
      <c r="V36" s="9">
        <f>IF(ISNUMBER(_xll.PIArcVal(U$5,$D36, 0,"TPI","exact time"))=TRUE, _xll.PIArcVal(U$5,$D36, 0,"TPI","exact time"), "")</f>
        <v>24.97</v>
      </c>
      <c r="W36" s="29">
        <f>IF(ISNUMBER(_xll.PIArcVal(W$5,$C36, 0,"TPI","exact time"))=TRUE,_xll.PIArcVal(W$5,$C36, 0,"TPI","exact time"),"")</f>
        <v>3.649</v>
      </c>
      <c r="X36" s="9">
        <f>IF(ISNUMBER(_xll.PIArcVal(W$5,$D36, 0,"TPI","exact time"))=TRUE, _xll.PIArcVal(W$5,$D36, 0,"TPI","exact time"), "")</f>
        <v>2.3460000000000001</v>
      </c>
      <c r="Y36" s="29">
        <f>IF(ISNUMBER(_xll.PIArcVal(Y$5,$C36, 0,"TPI","exact time"))=TRUE,_xll.PIArcVal(Y$5,$C36, 0,"TPI","exact time"),"")</f>
        <v>28.66</v>
      </c>
      <c r="Z36" s="9">
        <f>IF(ISNUMBER(_xll.PIArcVal(Y$5,$D36, 0,"TPI","exact time"))=TRUE, _xll.PIArcVal(Y$5,$D36, 0,"TPI","exact time"), "")</f>
        <v>29.24</v>
      </c>
      <c r="AA36" s="29">
        <f>IF(ISNUMBER(_xll.PIArcVal(AA$5,$C36, 0,"TPI","exact time"))=TRUE,_xll.PIArcVal(AA$5,$C36, 0,"TPI","exact time"),"")</f>
        <v>10.96</v>
      </c>
      <c r="AB36" s="9">
        <f>IF(ISNUMBER(_xll.PIArcVal(AA$5,$D36, 0,"TPI","exact time"))=TRUE, _xll.PIArcVal(AA$5,$D36, 0,"TPI","exact time"), "")</f>
        <v>10.28</v>
      </c>
    </row>
    <row r="37" spans="1:28" ht="13.5" thickBot="1" x14ac:dyDescent="0.25">
      <c r="A37">
        <f t="shared" si="3"/>
        <v>31</v>
      </c>
      <c r="B37" s="46">
        <f>+Portada!P5</f>
        <v>46278</v>
      </c>
      <c r="C37" s="30">
        <f t="shared" si="1"/>
        <v>46278.3125</v>
      </c>
      <c r="D37" s="30">
        <f t="shared" si="2"/>
        <v>46278.8125</v>
      </c>
      <c r="E37" s="29">
        <f>IF(ISNUMBER(_xll.PIArcVal(E$5,$C37, 0,"TPI","exact time"))=TRUE,_xll.PIArcVal(E$5,$C37, 0,"TPI","exact time"),"")</f>
        <v>0.47</v>
      </c>
      <c r="F37" s="9" t="str">
        <f>IF(ISNUMBER(_xll.PIArcVal(E$5,$D37, 0,"TPI","exact time"))=TRUE, _xll.PIArcVal(E$5,$D37, 0,"TPI","exact time"), "")</f>
        <v/>
      </c>
      <c r="G37" s="29">
        <f>IF(ISNUMBER(_xll.PIArcVal(G$5,$C37, 0,"TPI","exact time"))=TRUE,_xll.PIArcVal(G$5,$C37, 0,"TPI","exact time"),"")</f>
        <v>3.4000000000000002E-2</v>
      </c>
      <c r="H37" s="9" t="str">
        <f>IF(ISNUMBER(_xll.PIArcVal(G$5,$D37, 0,"TPI","exact time"))=TRUE, _xll.PIArcVal(G$5,$D37, 0,"TPI","exact time"), "")</f>
        <v/>
      </c>
      <c r="I37" s="29">
        <f>IF(ISNUMBER(_xll.PIArcVal(I$5,$C37, 0,"TPI","exact time"))=TRUE,_xll.PIArcVal(I$5,$C37, 0,"TPI","exact time"),"")</f>
        <v>1.8620000000000001</v>
      </c>
      <c r="J37" s="9" t="str">
        <f>IF(ISNUMBER(_xll.PIArcVal(I$5,$D37, 0,"TPI","exact time"))=TRUE, _xll.PIArcVal(I$5,$D37, 0,"TPI","exact time"), "")</f>
        <v/>
      </c>
      <c r="K37" s="29">
        <f>IF(ISNUMBER(_xll.PIArcVal(K$5,$C37, 0,"TPI","exact time"))=TRUE,_xll.PIArcVal(K$5,$C37, 0,"TPI","exact time"),"")</f>
        <v>7.0000000000000001E-3</v>
      </c>
      <c r="L37" s="9" t="str">
        <f>IF(ISNUMBER(_xll.PIArcVal(K$5,$D37, 0,"TPI","exact time"))=TRUE, _xll.PIArcVal(K$5,$D37, 0,"TPI","exact time"), "")</f>
        <v/>
      </c>
      <c r="M37" s="29" t="str">
        <f>IF(ISNUMBER(_xll.PIArcVal(M$5,$C37, 0,"TPI","exact time"))=TRUE,_xll.PIArcVal(M$5,$C37, 0,"TPI","exact time"),"")</f>
        <v/>
      </c>
      <c r="N37" s="9" t="str">
        <f>IF(ISNUMBER(_xll.PIArcVal(M$5,$D37, 0,"TPI","exact time"))=TRUE, _xll.PIArcVal(M$5,$D37, 0,"TPI","exact time"), "")</f>
        <v/>
      </c>
      <c r="O37" s="29">
        <f>IF(ISNUMBER(_xll.PIArcVal(O$5,$C37, 0,"TPI","exact time"))=TRUE,_xll.PIArcVal(O$5,$C37, 0,"TPI","exact time"),"")</f>
        <v>5.8000000000000003E-2</v>
      </c>
      <c r="P37" s="9" t="str">
        <f>IF(ISNUMBER(_xll.PIArcVal(O$5,$D37, 0,"TPI","exact time"))=TRUE, _xll.PIArcVal(O$5,$D37, 0,"TPI","exact time"), "")</f>
        <v/>
      </c>
      <c r="Q37" s="29">
        <f>IF(ISNUMBER(_xll.PIArcVal(Q$5,$C37, 0,"TPI","exact time"))=TRUE,_xll.PIArcVal(Q$5,$C37, 0,"TPI","exact time"),"")</f>
        <v>7.0000000000000001E-3</v>
      </c>
      <c r="R37" s="9" t="str">
        <f>IF(ISNUMBER(_xll.PIArcVal(Q$5,$D37, 0,"TPI","exact time"))=TRUE, _xll.PIArcVal(Q$5,$D37, 0,"TPI","exact time"), "")</f>
        <v/>
      </c>
      <c r="S37" s="29">
        <f>IF(ISNUMBER(_xll.PIArcVal(S$5,$C37, 0,"TPI","exact time"))=TRUE,_xll.PIArcVal(S$5,$C37, 0,"TPI","exact time"),"")</f>
        <v>1.3420000000000001</v>
      </c>
      <c r="T37" s="9" t="str">
        <f>IF(ISNUMBER(_xll.PIArcVal(S$5,$D37, 0,"TPI","exact time"))=TRUE, _xll.PIArcVal(S$5,$D37, 0,"TPI","exact time"), "")</f>
        <v/>
      </c>
      <c r="U37" s="29">
        <f>IF(ISNUMBER(_xll.PIArcVal(U$5,$C37, 0,"TPI","exact time"))=TRUE,_xll.PIArcVal(U$5,$C37, 0,"TPI","exact time"),"")</f>
        <v>23.077999999999999</v>
      </c>
      <c r="V37" s="9" t="str">
        <f>IF(ISNUMBER(_xll.PIArcVal(U$5,$D37, 0,"TPI","exact time"))=TRUE, _xll.PIArcVal(U$5,$D37, 0,"TPI","exact time"), "")</f>
        <v/>
      </c>
      <c r="W37" s="29">
        <f>IF(ISNUMBER(_xll.PIArcVal(W$5,$C37, 0,"TPI","exact time"))=TRUE,_xll.PIArcVal(W$5,$C37, 0,"TPI","exact time"),"")</f>
        <v>1.899</v>
      </c>
      <c r="X37" s="9" t="str">
        <f>IF(ISNUMBER(_xll.PIArcVal(W$5,$D37, 0,"TPI","exact time"))=TRUE, _xll.PIArcVal(W$5,$D37, 0,"TPI","exact time"), "")</f>
        <v/>
      </c>
      <c r="Y37" s="29">
        <f>IF(ISNUMBER(_xll.PIArcVal(Y$5,$C37, 0,"TPI","exact time"))=TRUE,_xll.PIArcVal(Y$5,$C37, 0,"TPI","exact time"),"")</f>
        <v>29.47</v>
      </c>
      <c r="Z37" s="9" t="str">
        <f>IF(ISNUMBER(_xll.PIArcVal(Y$5,$D37, 0,"TPI","exact time"))=TRUE, _xll.PIArcVal(Y$5,$D37, 0,"TPI","exact time"), "")</f>
        <v/>
      </c>
      <c r="AA37" s="29">
        <f>IF(ISNUMBER(_xll.PIArcVal(AA$5,$C37, 0,"TPI","exact time"))=TRUE,_xll.PIArcVal(AA$5,$C37, 0,"TPI","exact time"),"")</f>
        <v>13.18</v>
      </c>
      <c r="AB37" s="9" t="str">
        <f>IF(ISNUMBER(_xll.PIArcVal(AA$5,$D37, 0,"TPI","exact time"))=TRUE, _xll.PIArcVal(AA$5,$D37, 0,"TPI","exact time"), "")</f>
        <v/>
      </c>
    </row>
    <row r="38" spans="1:28" x14ac:dyDescent="0.2">
      <c r="B38" s="7"/>
      <c r="C38" s="7"/>
      <c r="D38" s="7"/>
    </row>
    <row r="39" spans="1:28" x14ac:dyDescent="0.2">
      <c r="B39" s="7"/>
      <c r="C39" s="7"/>
      <c r="D39" s="7"/>
    </row>
    <row r="40" spans="1:28" x14ac:dyDescent="0.2">
      <c r="B40" s="12"/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8" x14ac:dyDescent="0.2">
      <c r="B41" s="7"/>
      <c r="C41" s="7"/>
      <c r="D41" s="7"/>
    </row>
  </sheetData>
  <customSheetViews>
    <customSheetView guid="{C5BD3E9A-0945-47FE-8A56-1987B427C3E6}" state="hidden">
      <selection activeCell="E5" sqref="E5"/>
      <pageMargins left="0.75" right="0.75" top="1" bottom="1" header="0.5" footer="0.5"/>
      <pageSetup scale="64" orientation="landscape" r:id="rId1"/>
      <headerFooter alignWithMargins="0"/>
    </customSheetView>
  </customSheetViews>
  <phoneticPr fontId="0" type="noConversion"/>
  <pageMargins left="0.75" right="0.75" top="1" bottom="1" header="0.5" footer="0.5"/>
  <pageSetup scale="64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Z37"/>
  <sheetViews>
    <sheetView topLeftCell="G1" zoomScaleNormal="100" workbookViewId="0">
      <selection activeCell="P41" sqref="P41"/>
    </sheetView>
  </sheetViews>
  <sheetFormatPr defaultColWidth="9.140625" defaultRowHeight="12.75" x14ac:dyDescent="0.2"/>
  <cols>
    <col min="1" max="1" width="4.28515625" customWidth="1"/>
    <col min="2" max="2" width="15.5703125" bestFit="1" customWidth="1"/>
    <col min="3" max="4" width="17" bestFit="1" customWidth="1"/>
    <col min="5" max="7" width="14.85546875" bestFit="1" customWidth="1"/>
    <col min="8" max="8" width="9.42578125" bestFit="1" customWidth="1"/>
    <col min="9" max="9" width="14.5703125" bestFit="1" customWidth="1"/>
    <col min="10" max="10" width="9.42578125" bestFit="1" customWidth="1"/>
    <col min="11" max="11" width="14.85546875" bestFit="1" customWidth="1"/>
    <col min="12" max="12" width="9.42578125" bestFit="1" customWidth="1"/>
    <col min="13" max="13" width="14.85546875" bestFit="1" customWidth="1"/>
    <col min="14" max="14" width="9.42578125" bestFit="1" customWidth="1"/>
    <col min="15" max="15" width="14.5703125" bestFit="1" customWidth="1"/>
    <col min="16" max="18" width="12.7109375" customWidth="1"/>
    <col min="19" max="19" width="9.42578125" customWidth="1"/>
    <col min="20" max="20" width="9.85546875" bestFit="1" customWidth="1"/>
    <col min="21" max="21" width="9.28515625" bestFit="1" customWidth="1"/>
    <col min="22" max="22" width="9.7109375" bestFit="1" customWidth="1"/>
    <col min="23" max="24" width="9.85546875" bestFit="1" customWidth="1"/>
  </cols>
  <sheetData>
    <row r="1" spans="1:26" x14ac:dyDescent="0.2">
      <c r="Y1" t="s">
        <v>18</v>
      </c>
    </row>
    <row r="2" spans="1:26" ht="13.5" thickBot="1" x14ac:dyDescent="0.25"/>
    <row r="3" spans="1:26" ht="13.5" thickBot="1" x14ac:dyDescent="0.25">
      <c r="E3" s="19" t="s">
        <v>9</v>
      </c>
      <c r="F3" s="20"/>
      <c r="G3" s="20"/>
      <c r="H3" s="20"/>
      <c r="I3" s="20"/>
      <c r="J3" s="20"/>
      <c r="K3" s="23" t="s">
        <v>15</v>
      </c>
      <c r="L3" s="24"/>
      <c r="M3" s="24"/>
      <c r="N3" s="24"/>
      <c r="O3" s="24"/>
      <c r="P3" s="24"/>
      <c r="Q3" s="24"/>
      <c r="R3" s="24"/>
      <c r="S3" s="25" t="s">
        <v>5</v>
      </c>
      <c r="T3" s="26"/>
      <c r="U3" s="26"/>
      <c r="V3" s="26"/>
      <c r="W3" s="25"/>
      <c r="X3" s="26"/>
      <c r="Y3" s="26"/>
      <c r="Z3" s="26"/>
    </row>
    <row r="4" spans="1:26" x14ac:dyDescent="0.2">
      <c r="E4" s="21" t="s">
        <v>1</v>
      </c>
      <c r="F4" s="22"/>
      <c r="G4" s="21" t="s">
        <v>2</v>
      </c>
      <c r="H4" s="22"/>
      <c r="I4" s="21" t="s">
        <v>3</v>
      </c>
      <c r="J4" s="22"/>
      <c r="K4" s="21" t="s">
        <v>1</v>
      </c>
      <c r="L4" s="22"/>
      <c r="M4" s="21" t="s">
        <v>2</v>
      </c>
      <c r="N4" s="22"/>
      <c r="O4" s="21" t="s">
        <v>3</v>
      </c>
      <c r="P4" s="22"/>
      <c r="Q4" s="22" t="s">
        <v>236</v>
      </c>
      <c r="R4" s="22"/>
      <c r="S4" s="21" t="s">
        <v>1</v>
      </c>
      <c r="T4" s="22"/>
      <c r="U4" s="21" t="s">
        <v>2</v>
      </c>
      <c r="V4" s="22"/>
      <c r="W4" s="21" t="s">
        <v>3</v>
      </c>
      <c r="X4" s="22"/>
      <c r="Y4" s="21" t="s">
        <v>236</v>
      </c>
      <c r="Z4" s="22"/>
    </row>
    <row r="5" spans="1:26" s="27" customFormat="1" ht="15.75" thickBot="1" x14ac:dyDescent="0.3">
      <c r="E5" s="264" t="s">
        <v>213</v>
      </c>
      <c r="F5" s="264" t="s">
        <v>213</v>
      </c>
      <c r="G5" s="264" t="s">
        <v>214</v>
      </c>
      <c r="H5" s="264" t="s">
        <v>214</v>
      </c>
      <c r="I5" s="264" t="s">
        <v>215</v>
      </c>
      <c r="J5" s="264" t="s">
        <v>215</v>
      </c>
      <c r="K5" s="264" t="s">
        <v>216</v>
      </c>
      <c r="L5" s="264" t="s">
        <v>216</v>
      </c>
      <c r="M5" s="264" t="s">
        <v>217</v>
      </c>
      <c r="N5" s="264" t="s">
        <v>217</v>
      </c>
      <c r="O5" s="264" t="s">
        <v>218</v>
      </c>
      <c r="P5" s="264" t="s">
        <v>218</v>
      </c>
      <c r="Q5" s="264" t="s">
        <v>241</v>
      </c>
      <c r="R5" s="264" t="s">
        <v>241</v>
      </c>
      <c r="S5" s="264" t="s">
        <v>219</v>
      </c>
      <c r="T5" s="264" t="s">
        <v>219</v>
      </c>
      <c r="U5" s="264" t="s">
        <v>220</v>
      </c>
      <c r="V5" s="264" t="s">
        <v>220</v>
      </c>
      <c r="W5" s="264" t="s">
        <v>221</v>
      </c>
      <c r="X5" s="264" t="s">
        <v>221</v>
      </c>
      <c r="Y5" s="284" t="s">
        <v>240</v>
      </c>
      <c r="Z5" s="284" t="s">
        <v>240</v>
      </c>
    </row>
    <row r="6" spans="1:26" ht="13.5" thickBot="1" x14ac:dyDescent="0.25">
      <c r="E6" s="18" t="s">
        <v>10</v>
      </c>
      <c r="F6" s="17" t="s">
        <v>11</v>
      </c>
      <c r="G6" s="18" t="s">
        <v>10</v>
      </c>
      <c r="H6" s="17" t="s">
        <v>11</v>
      </c>
      <c r="I6" s="18" t="s">
        <v>10</v>
      </c>
      <c r="J6" s="17" t="s">
        <v>11</v>
      </c>
      <c r="K6" s="18" t="s">
        <v>10</v>
      </c>
      <c r="L6" s="17" t="s">
        <v>11</v>
      </c>
      <c r="M6" s="18" t="s">
        <v>10</v>
      </c>
      <c r="N6" s="17" t="s">
        <v>11</v>
      </c>
      <c r="O6" s="18" t="s">
        <v>10</v>
      </c>
      <c r="P6" s="17" t="s">
        <v>11</v>
      </c>
      <c r="Q6" s="17"/>
      <c r="R6" s="17"/>
      <c r="S6" s="18" t="s">
        <v>10</v>
      </c>
      <c r="T6" s="17" t="s">
        <v>11</v>
      </c>
      <c r="U6" s="18" t="s">
        <v>10</v>
      </c>
      <c r="V6" s="17" t="s">
        <v>11</v>
      </c>
      <c r="W6" s="18" t="s">
        <v>10</v>
      </c>
      <c r="X6" s="17" t="s">
        <v>11</v>
      </c>
      <c r="Y6" s="18" t="s">
        <v>10</v>
      </c>
      <c r="Z6" s="17" t="s">
        <v>11</v>
      </c>
    </row>
    <row r="7" spans="1:26" ht="13.5" thickBot="1" x14ac:dyDescent="0.25">
      <c r="A7">
        <v>1</v>
      </c>
      <c r="B7" s="28">
        <f t="shared" ref="B7:B36" si="0">+B8-1</f>
        <v>46248</v>
      </c>
      <c r="C7" s="30">
        <f t="shared" ref="C7:C37" si="1">+B7+7.5/24</f>
        <v>46248.3125</v>
      </c>
      <c r="D7" s="30">
        <f t="shared" ref="D7:D37" si="2">+B7+19.5/24</f>
        <v>46248.8125</v>
      </c>
      <c r="E7" s="29">
        <f>IF(ISNUMBER(_xll.PIArcVal(E$5,$C7, 0,"TPI","exact time"))=TRUE,_xll.PIArcVal(E$5,$C7, 0,"TPI","exact time"),"")</f>
        <v>22.587</v>
      </c>
      <c r="F7" s="9">
        <f>IF(ISNUMBER(_xll.PIArcVal(E$5,$D7, 0,"TPI","exact time"))=TRUE, _xll.PIArcVal(E$5,$D7, 0,"TPI","exact time"), "")</f>
        <v>24.972000000000001</v>
      </c>
      <c r="G7" s="29">
        <f>IF(ISNUMBER(_xll.PIArcVal(G$5,$C7, 0,"TPI","exact time"))=TRUE,_xll.PIArcVal(G$5,$C7, 0,"TPI","exact time"),"")</f>
        <v>1.877</v>
      </c>
      <c r="H7" s="9">
        <f>IF(ISNUMBER(_xll.PIArcVal(G$5,$D7, 0,"TPI","exact time"))=TRUE, _xll.PIArcVal(G$5,$D7, 0,"TPI","exact time"), "")</f>
        <v>1.639</v>
      </c>
      <c r="I7" s="29">
        <f>IF(ISNUMBER(_xll.PIArcVal(I$5,$C7, 0,"TPI","exact time"))=TRUE,_xll.PIArcVal(I$5,$C7, 0,"TPI","exact time"),"")</f>
        <v>28.57</v>
      </c>
      <c r="J7" s="9">
        <f>IF(ISNUMBER(_xll.PIArcVal(I$5,$D7, 0,"TPI","exact time"))=TRUE, _xll.PIArcVal(I$5,$D7, 0,"TPI","exact time"), "")</f>
        <v>28.59</v>
      </c>
      <c r="K7" s="29">
        <f>IF(ISNUMBER(_xll.PIArcVal(K$5,$C7, 0,"TPI","exact time"))=TRUE,_xll.PIArcVal(K$5,$C7, 0,"TPI","exact time"),"")</f>
        <v>22.686</v>
      </c>
      <c r="L7" s="9">
        <f>IF(ISNUMBER(_xll.PIArcVal(K$5,$D7, 0,"TPI","exact time"))=TRUE, _xll.PIArcVal(K$5,$D7, 0,"TPI","exact time"), "")</f>
        <v>24.474</v>
      </c>
      <c r="M7" s="29">
        <f>IF(ISNUMBER(_xll.PIArcVal(M$5,$C7, 0,"TPI","exact time"))=TRUE,_xll.PIArcVal(M$5,$C7, 0,"TPI","exact time"),"")</f>
        <v>7.3999999999999996E-2</v>
      </c>
      <c r="N7" s="9">
        <f>IF(ISNUMBER(_xll.PIArcVal(M$5,$D7, 0,"TPI","exact time"))=TRUE, _xll.PIArcVal(M$5,$D7, 0,"TPI","exact time"), "")</f>
        <v>8.1000000000000003E-2</v>
      </c>
      <c r="O7" s="29">
        <f>IF(ISNUMBER(_xll.PIArcVal(O$5,$C7, 0,"TPI","exact time"))=TRUE,_xll.PIArcVal(O$5,$C7, 0,"TPI","exact time"),"")</f>
        <v>30.11</v>
      </c>
      <c r="P7" s="9">
        <f>IF(ISNUMBER(_xll.PIArcVal(O$5,$D7, 0,"TPI","exact time"))=TRUE, _xll.PIArcVal(O$5,$D7, 0,"TPI","exact time"), "")</f>
        <v>29.68</v>
      </c>
      <c r="Q7" s="29">
        <f>IF(ISNUMBER(_xll.PIArcVal(Q$5,$C7, 0,"TPI","exact time"))=TRUE,_xll.PIArcVal(Q$5,$C7, 0,"TPI","exact time"),"")</f>
        <v>10.9</v>
      </c>
      <c r="R7" s="29">
        <f>IF(ISNUMBER(_xll.PIArcVal(R$5,$D7, 0,"TPI","exact time"))=TRUE, _xll.PIArcVal(R$5,$D7, 0,"TPI","exact time"), "")</f>
        <v>12.3</v>
      </c>
      <c r="S7" s="29">
        <f>IF(ISNUMBER(_xll.PIArcVal(S$5,$C7, 0,"TPI","exact time"))=TRUE,_xll.PIArcVal(S$5,$C7, 0,"TPI","exact time"),"")</f>
        <v>0.55300000000000005</v>
      </c>
      <c r="T7" s="9">
        <f>IF(ISNUMBER(_xll.PIArcVal(S$5,$D7, 0,"TPI","exact time"))=TRUE, _xll.PIArcVal(S$5,$D7, 0,"TPI","exact time"), "")</f>
        <v>0.80700000000000005</v>
      </c>
      <c r="U7" s="29">
        <f>IF(ISNUMBER(_xll.PIArcVal(U$5,$C7, 0,"TPI","exact time"))=TRUE,_xll.PIArcVal(U$5,$C7, 0,"TPI","exact time"),"")</f>
        <v>56.453000000000003</v>
      </c>
      <c r="V7" s="9">
        <f>IF(ISNUMBER(_xll.PIArcVal(U$5,$D7, 0,"TPI","exact time"))=TRUE, _xll.PIArcVal(U$5,$D7, 0,"TPI","exact time"), "")</f>
        <v>56.274999999999999</v>
      </c>
      <c r="W7" s="29">
        <f>IF(ISNUMBER(_xll.PIArcVal(W$5,$C7, 0,"TPI","exact time"))=TRUE,_xll.PIArcVal(W$5,$C7, 0,"TPI","exact time"),"")</f>
        <v>0.88900000000000001</v>
      </c>
      <c r="X7" s="9">
        <f>IF(ISNUMBER(_xll.PIArcVal(W$5,$D7, 0,"TPI","exact time"))=TRUE, _xll.PIArcVal(W$5,$D7, 0,"TPI","exact time"), "")</f>
        <v>1.075</v>
      </c>
      <c r="Y7" s="29">
        <f>IF(ISNUMBER(_xll.PIArcVal(Y$5,$C7, 0,"TPI","exact time"))=TRUE,_xll.PIArcVal(Y$5,$C7, 0,"TPI","exact time"),"")</f>
        <v>3.06</v>
      </c>
      <c r="Z7" s="9">
        <f>IF(ISNUMBER(_xll.PIArcVal(Z$5,$D7, 0,"TPI","exact time"))=TRUE, _xll.PIArcVal(Z$5,$D7, 0,"TPI","exact time"), "")</f>
        <v>2.64</v>
      </c>
    </row>
    <row r="8" spans="1:26" ht="13.5" thickBot="1" x14ac:dyDescent="0.25">
      <c r="A8">
        <f t="shared" ref="A8:A37" si="3">A7+1</f>
        <v>2</v>
      </c>
      <c r="B8" s="28">
        <f t="shared" si="0"/>
        <v>46249</v>
      </c>
      <c r="C8" s="30">
        <f t="shared" si="1"/>
        <v>46249.3125</v>
      </c>
      <c r="D8" s="30">
        <f t="shared" si="2"/>
        <v>46249.8125</v>
      </c>
      <c r="E8" s="29">
        <f>IF(ISNUMBER(_xll.PIArcVal(E$5,$C8, 0,"TPI","exact time"))=TRUE,_xll.PIArcVal(E$5,$C8, 0,"TPI","exact time"),"")</f>
        <v>21.212</v>
      </c>
      <c r="F8" s="9">
        <f>IF(ISNUMBER(_xll.PIArcVal(E$5,$D8, 0,"TPI","exact time"))=TRUE, _xll.PIArcVal(E$5,$D8, 0,"TPI","exact time"), "")</f>
        <v>21.707000000000001</v>
      </c>
      <c r="G8" s="29">
        <f>IF(ISNUMBER(_xll.PIArcVal(G$5,$C8, 0,"TPI","exact time"))=TRUE,_xll.PIArcVal(G$5,$C8, 0,"TPI","exact time"),"")</f>
        <v>4.1959999999999997</v>
      </c>
      <c r="H8" s="9">
        <f>IF(ISNUMBER(_xll.PIArcVal(G$5,$D8, 0,"TPI","exact time"))=TRUE, _xll.PIArcVal(G$5,$D8, 0,"TPI","exact time"), "")</f>
        <v>1.746</v>
      </c>
      <c r="I8" s="29">
        <f>IF(ISNUMBER(_xll.PIArcVal(I$5,$C8, 0,"TPI","exact time"))=TRUE,_xll.PIArcVal(I$5,$C8, 0,"TPI","exact time"),"")</f>
        <v>24.32</v>
      </c>
      <c r="J8" s="9">
        <f>IF(ISNUMBER(_xll.PIArcVal(I$5,$D8, 0,"TPI","exact time"))=TRUE, _xll.PIArcVal(I$5,$D8, 0,"TPI","exact time"), "")</f>
        <v>27.85</v>
      </c>
      <c r="K8" s="29">
        <f>IF(ISNUMBER(_xll.PIArcVal(K$5,$C8, 0,"TPI","exact time"))=TRUE,_xll.PIArcVal(K$5,$C8, 0,"TPI","exact time"),"")</f>
        <v>23.491</v>
      </c>
      <c r="L8" s="9">
        <f>IF(ISNUMBER(_xll.PIArcVal(K$5,$D8, 0,"TPI","exact time"))=TRUE, _xll.PIArcVal(K$5,$D8, 0,"TPI","exact time"), "")</f>
        <v>21.212</v>
      </c>
      <c r="M8" s="29">
        <f>IF(ISNUMBER(_xll.PIArcVal(M$5,$C8, 0,"TPI","exact time"))=TRUE,_xll.PIArcVal(M$5,$C8, 0,"TPI","exact time"),"")</f>
        <v>0.11799999999999999</v>
      </c>
      <c r="N8" s="9">
        <f>IF(ISNUMBER(_xll.PIArcVal(M$5,$D8, 0,"TPI","exact time"))=TRUE, _xll.PIArcVal(M$5,$D8, 0,"TPI","exact time"), "")</f>
        <v>8.8999999999999996E-2</v>
      </c>
      <c r="O8" s="29">
        <f>IF(ISNUMBER(_xll.PIArcVal(O$5,$C8, 0,"TPI","exact time"))=TRUE,_xll.PIArcVal(O$5,$C8, 0,"TPI","exact time"),"")</f>
        <v>27.59</v>
      </c>
      <c r="P8" s="9">
        <f>IF(ISNUMBER(_xll.PIArcVal(O$5,$D8, 0,"TPI","exact time"))=TRUE, _xll.PIArcVal(O$5,$D8, 0,"TPI","exact time"), "")</f>
        <v>30.19</v>
      </c>
      <c r="Q8" s="29">
        <f>IF(ISNUMBER(_xll.PIArcVal(Q$5,$C8, 0,"TPI","exact time"))=TRUE,_xll.PIArcVal(Q$5,$C8, 0,"TPI","exact time"),"")</f>
        <v>14.7</v>
      </c>
      <c r="R8" s="29">
        <f>IF(ISNUMBER(_xll.PIArcVal(R$5,$D8, 0,"TPI","exact time"))=TRUE, _xll.PIArcVal(R$5,$D8, 0,"TPI","exact time"), "")</f>
        <v>14.1</v>
      </c>
      <c r="S8" s="29">
        <f>IF(ISNUMBER(_xll.PIArcVal(S$5,$C8, 0,"TPI","exact time"))=TRUE,_xll.PIArcVal(S$5,$C8, 0,"TPI","exact time"),"")</f>
        <v>1.028</v>
      </c>
      <c r="T8" s="9">
        <f>IF(ISNUMBER(_xll.PIArcVal(S$5,$D8, 0,"TPI","exact time"))=TRUE, _xll.PIArcVal(S$5,$D8, 0,"TPI","exact time"), "")</f>
        <v>0.92100000000000004</v>
      </c>
      <c r="U8" s="29">
        <f>IF(ISNUMBER(_xll.PIArcVal(U$5,$C8, 0,"TPI","exact time"))=TRUE,_xll.PIArcVal(U$5,$C8, 0,"TPI","exact time"),"")</f>
        <v>56.585000000000001</v>
      </c>
      <c r="V8" s="9">
        <f>IF(ISNUMBER(_xll.PIArcVal(U$5,$D8, 0,"TPI","exact time"))=TRUE, _xll.PIArcVal(U$5,$D8, 0,"TPI","exact time"), "")</f>
        <v>56.829000000000001</v>
      </c>
      <c r="W8" s="29">
        <f>IF(ISNUMBER(_xll.PIArcVal(W$5,$C8, 0,"TPI","exact time"))=TRUE,_xll.PIArcVal(W$5,$C8, 0,"TPI","exact time"),"")</f>
        <v>0.96599999999999997</v>
      </c>
      <c r="X8" s="9">
        <f>IF(ISNUMBER(_xll.PIArcVal(W$5,$D8, 0,"TPI","exact time"))=TRUE, _xll.PIArcVal(W$5,$D8, 0,"TPI","exact time"), "")</f>
        <v>1.0249999999999999</v>
      </c>
      <c r="Y8" s="29">
        <f>IF(ISNUMBER(_xll.PIArcVal(Y$5,$C8, 0,"TPI","exact time"))=TRUE,_xll.PIArcVal(Y$5,$C8, 0,"TPI","exact time"),"")</f>
        <v>2.08</v>
      </c>
      <c r="Z8" s="9">
        <f>IF(ISNUMBER(_xll.PIArcVal(Z$5,$D8, 0,"TPI","exact time"))=TRUE, _xll.PIArcVal(Z$5,$D8, 0,"TPI","exact time"), "")</f>
        <v>1.68</v>
      </c>
    </row>
    <row r="9" spans="1:26" ht="13.5" thickBot="1" x14ac:dyDescent="0.25">
      <c r="A9">
        <f t="shared" si="3"/>
        <v>3</v>
      </c>
      <c r="B9" s="28">
        <f t="shared" si="0"/>
        <v>46250</v>
      </c>
      <c r="C9" s="30">
        <f t="shared" si="1"/>
        <v>46250.3125</v>
      </c>
      <c r="D9" s="30">
        <f t="shared" si="2"/>
        <v>46250.8125</v>
      </c>
      <c r="E9" s="29">
        <f>IF(ISNUMBER(_xll.PIArcVal(E$5,$C9, 0,"TPI","exact time"))=TRUE,_xll.PIArcVal(E$5,$C9, 0,"TPI","exact time"),"")</f>
        <v>23.045000000000002</v>
      </c>
      <c r="F9" s="9">
        <f>IF(ISNUMBER(_xll.PIArcVal(E$5,$D9, 0,"TPI","exact time"))=TRUE, _xll.PIArcVal(E$5,$D9, 0,"TPI","exact time"), "")</f>
        <v>23.134</v>
      </c>
      <c r="G9" s="29">
        <f>IF(ISNUMBER(_xll.PIArcVal(G$5,$C9, 0,"TPI","exact time"))=TRUE,_xll.PIArcVal(G$5,$C9, 0,"TPI","exact time"),"")</f>
        <v>3.2970000000000002</v>
      </c>
      <c r="H9" s="9">
        <f>IF(ISNUMBER(_xll.PIArcVal(G$5,$D9, 0,"TPI","exact time"))=TRUE, _xll.PIArcVal(G$5,$D9, 0,"TPI","exact time"), "")</f>
        <v>3.585</v>
      </c>
      <c r="I9" s="29">
        <f>IF(ISNUMBER(_xll.PIArcVal(I$5,$C9, 0,"TPI","exact time"))=TRUE,_xll.PIArcVal(I$5,$C9, 0,"TPI","exact time"),"")</f>
        <v>27.29</v>
      </c>
      <c r="J9" s="9">
        <f>IF(ISNUMBER(_xll.PIArcVal(I$5,$D9, 0,"TPI","exact time"))=TRUE, _xll.PIArcVal(I$5,$D9, 0,"TPI","exact time"), "")</f>
        <v>27.32</v>
      </c>
      <c r="K9" s="29">
        <f>IF(ISNUMBER(_xll.PIArcVal(K$5,$C9, 0,"TPI","exact time"))=TRUE,_xll.PIArcVal(K$5,$C9, 0,"TPI","exact time"),"")</f>
        <v>23.145</v>
      </c>
      <c r="L9" s="9">
        <f>IF(ISNUMBER(_xll.PIArcVal(K$5,$D9, 0,"TPI","exact time"))=TRUE, _xll.PIArcVal(K$5,$D9, 0,"TPI","exact time"), "")</f>
        <v>22.411999999999999</v>
      </c>
      <c r="M9" s="29">
        <f>IF(ISNUMBER(_xll.PIArcVal(M$5,$C9, 0,"TPI","exact time"))=TRUE,_xll.PIArcVal(M$5,$C9, 0,"TPI","exact time"),"")</f>
        <v>8.3000000000000004E-2</v>
      </c>
      <c r="N9" s="9">
        <f>IF(ISNUMBER(_xll.PIArcVal(M$5,$D9, 0,"TPI","exact time"))=TRUE, _xll.PIArcVal(M$5,$D9, 0,"TPI","exact time"), "")</f>
        <v>6.6000000000000003E-2</v>
      </c>
      <c r="O9" s="29">
        <f>IF(ISNUMBER(_xll.PIArcVal(O$5,$C9, 0,"TPI","exact time"))=TRUE,_xll.PIArcVal(O$5,$C9, 0,"TPI","exact time"),"")</f>
        <v>29.33</v>
      </c>
      <c r="P9" s="9">
        <f>IF(ISNUMBER(_xll.PIArcVal(O$5,$D9, 0,"TPI","exact time"))=TRUE, _xll.PIArcVal(O$5,$D9, 0,"TPI","exact time"), "")</f>
        <v>28.11</v>
      </c>
      <c r="Q9" s="29">
        <f>IF(ISNUMBER(_xll.PIArcVal(Q$5,$C9, 0,"TPI","exact time"))=TRUE,_xll.PIArcVal(Q$5,$C9, 0,"TPI","exact time"),"")</f>
        <v>13.72</v>
      </c>
      <c r="R9" s="29">
        <f>IF(ISNUMBER(_xll.PIArcVal(R$5,$D9, 0,"TPI","exact time"))=TRUE, _xll.PIArcVal(R$5,$D9, 0,"TPI","exact time"), "")</f>
        <v>16.48</v>
      </c>
      <c r="S9" s="29">
        <f>IF(ISNUMBER(_xll.PIArcVal(S$5,$C9, 0,"TPI","exact time"))=TRUE,_xll.PIArcVal(S$5,$C9, 0,"TPI","exact time"),"")</f>
        <v>1.0660000000000001</v>
      </c>
      <c r="T9" s="9">
        <f>IF(ISNUMBER(_xll.PIArcVal(S$5,$D9, 0,"TPI","exact time"))=TRUE, _xll.PIArcVal(S$5,$D9, 0,"TPI","exact time"), "")</f>
        <v>0.73399999999999999</v>
      </c>
      <c r="U9" s="29">
        <f>IF(ISNUMBER(_xll.PIArcVal(U$5,$C9, 0,"TPI","exact time"))=TRUE,_xll.PIArcVal(U$5,$C9, 0,"TPI","exact time"),"")</f>
        <v>56.305</v>
      </c>
      <c r="V9" s="9">
        <f>IF(ISNUMBER(_xll.PIArcVal(U$5,$D9, 0,"TPI","exact time"))=TRUE, _xll.PIArcVal(U$5,$D9, 0,"TPI","exact time"), "")</f>
        <v>55.981000000000002</v>
      </c>
      <c r="W9" s="29">
        <f>IF(ISNUMBER(_xll.PIArcVal(W$5,$C9, 0,"TPI","exact time"))=TRUE,_xll.PIArcVal(W$5,$C9, 0,"TPI","exact time"),"")</f>
        <v>1.073</v>
      </c>
      <c r="X9" s="9">
        <f>IF(ISNUMBER(_xll.PIArcVal(W$5,$D9, 0,"TPI","exact time"))=TRUE, _xll.PIArcVal(W$5,$D9, 0,"TPI","exact time"), "")</f>
        <v>1.206</v>
      </c>
      <c r="Y9" s="29">
        <f>IF(ISNUMBER(_xll.PIArcVal(Y$5,$C9, 0,"TPI","exact time"))=TRUE,_xll.PIArcVal(Y$5,$C9, 0,"TPI","exact time"),"")</f>
        <v>2.27</v>
      </c>
      <c r="Z9" s="9">
        <f>IF(ISNUMBER(_xll.PIArcVal(Z$5,$D9, 0,"TPI","exact time"))=TRUE, _xll.PIArcVal(Z$5,$D9, 0,"TPI","exact time"), "")</f>
        <v>2.94</v>
      </c>
    </row>
    <row r="10" spans="1:26" ht="13.5" thickBot="1" x14ac:dyDescent="0.25">
      <c r="A10">
        <f t="shared" si="3"/>
        <v>4</v>
      </c>
      <c r="B10" s="28">
        <f t="shared" si="0"/>
        <v>46251</v>
      </c>
      <c r="C10" s="30">
        <f t="shared" si="1"/>
        <v>46251.3125</v>
      </c>
      <c r="D10" s="30">
        <f t="shared" si="2"/>
        <v>46251.8125</v>
      </c>
      <c r="E10" s="29">
        <f>IF(ISNUMBER(_xll.PIArcVal(E$5,$C10, 0,"TPI","exact time"))=TRUE,_xll.PIArcVal(E$5,$C10, 0,"TPI","exact time"),"")</f>
        <v>20.696000000000002</v>
      </c>
      <c r="F10" s="9">
        <f>IF(ISNUMBER(_xll.PIArcVal(E$5,$D10, 0,"TPI","exact time"))=TRUE, _xll.PIArcVal(E$5,$D10, 0,"TPI","exact time"), "")</f>
        <v>24.681000000000001</v>
      </c>
      <c r="G10" s="29">
        <f>IF(ISNUMBER(_xll.PIArcVal(G$5,$C10, 0,"TPI","exact time"))=TRUE,_xll.PIArcVal(G$5,$C10, 0,"TPI","exact time"),"")</f>
        <v>2.0670000000000002</v>
      </c>
      <c r="H10" s="9">
        <f>IF(ISNUMBER(_xll.PIArcVal(G$5,$D10, 0,"TPI","exact time"))=TRUE, _xll.PIArcVal(G$5,$D10, 0,"TPI","exact time"), "")</f>
        <v>2.3029999999999999</v>
      </c>
      <c r="I10" s="29">
        <f>IF(ISNUMBER(_xll.PIArcVal(I$5,$C10, 0,"TPI","exact time"))=TRUE,_xll.PIArcVal(I$5,$C10, 0,"TPI","exact time"),"")</f>
        <v>27.38</v>
      </c>
      <c r="J10" s="9">
        <f>IF(ISNUMBER(_xll.PIArcVal(I$5,$D10, 0,"TPI","exact time"))=TRUE, _xll.PIArcVal(I$5,$D10, 0,"TPI","exact time"), "")</f>
        <v>28.45</v>
      </c>
      <c r="K10" s="29">
        <f>IF(ISNUMBER(_xll.PIArcVal(K$5,$C10, 0,"TPI","exact time"))=TRUE,_xll.PIArcVal(K$5,$C10, 0,"TPI","exact time"),"")</f>
        <v>23.283000000000001</v>
      </c>
      <c r="L10" s="9">
        <f>IF(ISNUMBER(_xll.PIArcVal(K$5,$D10, 0,"TPI","exact time"))=TRUE, _xll.PIArcVal(K$5,$D10, 0,"TPI","exact time"), "")</f>
        <v>20.567</v>
      </c>
      <c r="M10" s="29">
        <f>IF(ISNUMBER(_xll.PIArcVal(M$5,$C10, 0,"TPI","exact time"))=TRUE,_xll.PIArcVal(M$5,$C10, 0,"TPI","exact time"),"")</f>
        <v>0.11</v>
      </c>
      <c r="N10" s="9">
        <f>IF(ISNUMBER(_xll.PIArcVal(M$5,$D10, 0,"TPI","exact time"))=TRUE, _xll.PIArcVal(M$5,$D10, 0,"TPI","exact time"), "")</f>
        <v>0.04</v>
      </c>
      <c r="O10" s="29">
        <f>IF(ISNUMBER(_xll.PIArcVal(O$5,$C10, 0,"TPI","exact time"))=TRUE,_xll.PIArcVal(O$5,$C10, 0,"TPI","exact time"),"")</f>
        <v>28.11</v>
      </c>
      <c r="P10" s="9">
        <f>IF(ISNUMBER(_xll.PIArcVal(O$5,$D10, 0,"TPI","exact time"))=TRUE, _xll.PIArcVal(O$5,$D10, 0,"TPI","exact time"), "")</f>
        <v>28.27</v>
      </c>
      <c r="Q10" s="29">
        <f>IF(ISNUMBER(_xll.PIArcVal(Q$5,$C10, 0,"TPI","exact time"))=TRUE,_xll.PIArcVal(Q$5,$C10, 0,"TPI","exact time"),"")</f>
        <v>12.24</v>
      </c>
      <c r="R10" s="29">
        <f>IF(ISNUMBER(_xll.PIArcVal(R$5,$D10, 0,"TPI","exact time"))=TRUE, _xll.PIArcVal(R$5,$D10, 0,"TPI","exact time"), "")</f>
        <v>18.72</v>
      </c>
      <c r="S10" s="29">
        <f>IF(ISNUMBER(_xll.PIArcVal(S$5,$C10, 0,"TPI","exact time"))=TRUE,_xll.PIArcVal(S$5,$C10, 0,"TPI","exact time"),"")</f>
        <v>0.94599999999999995</v>
      </c>
      <c r="T10" s="9">
        <f>IF(ISNUMBER(_xll.PIArcVal(S$5,$D10, 0,"TPI","exact time"))=TRUE, _xll.PIArcVal(S$5,$D10, 0,"TPI","exact time"), "")</f>
        <v>1.1970000000000001</v>
      </c>
      <c r="U10" s="29">
        <f>IF(ISNUMBER(_xll.PIArcVal(U$5,$C10, 0,"TPI","exact time"))=TRUE,_xll.PIArcVal(U$5,$C10, 0,"TPI","exact time"),"")</f>
        <v>56.015999999999998</v>
      </c>
      <c r="V10" s="9">
        <f>IF(ISNUMBER(_xll.PIArcVal(U$5,$D10, 0,"TPI","exact time"))=TRUE, _xll.PIArcVal(U$5,$D10, 0,"TPI","exact time"), "")</f>
        <v>55.908000000000001</v>
      </c>
      <c r="W10" s="29">
        <f>IF(ISNUMBER(_xll.PIArcVal(W$5,$C10, 0,"TPI","exact time"))=TRUE,_xll.PIArcVal(W$5,$C10, 0,"TPI","exact time"),"")</f>
        <v>1.107</v>
      </c>
      <c r="X10" s="9">
        <f>IF(ISNUMBER(_xll.PIArcVal(W$5,$D10, 0,"TPI","exact time"))=TRUE, _xll.PIArcVal(W$5,$D10, 0,"TPI","exact time"), "")</f>
        <v>1.4350000000000001</v>
      </c>
      <c r="Y10" s="29">
        <f>IF(ISNUMBER(_xll.PIArcVal(Y$5,$C10, 0,"TPI","exact time"))=TRUE,_xll.PIArcVal(Y$5,$C10, 0,"TPI","exact time"),"")</f>
        <v>2.83</v>
      </c>
      <c r="Z10" s="9">
        <f>IF(ISNUMBER(_xll.PIArcVal(Z$5,$D10, 0,"TPI","exact time"))=TRUE, _xll.PIArcVal(Z$5,$D10, 0,"TPI","exact time"), "")</f>
        <v>1.99</v>
      </c>
    </row>
    <row r="11" spans="1:26" ht="13.5" thickBot="1" x14ac:dyDescent="0.25">
      <c r="A11">
        <f t="shared" si="3"/>
        <v>5</v>
      </c>
      <c r="B11" s="28">
        <f t="shared" si="0"/>
        <v>46252</v>
      </c>
      <c r="C11" s="30">
        <f t="shared" si="1"/>
        <v>46252.3125</v>
      </c>
      <c r="D11" s="30">
        <f t="shared" si="2"/>
        <v>46252.8125</v>
      </c>
      <c r="E11" s="29">
        <f>IF(ISNUMBER(_xll.PIArcVal(E$5,$C11, 0,"TPI","exact time"))=TRUE,_xll.PIArcVal(E$5,$C11, 0,"TPI","exact time"),"")</f>
        <v>22.5</v>
      </c>
      <c r="F11" s="9">
        <f>IF(ISNUMBER(_xll.PIArcVal(E$5,$D11, 0,"TPI","exact time"))=TRUE, _xll.PIArcVal(E$5,$D11, 0,"TPI","exact time"), "")</f>
        <v>24.085999999999999</v>
      </c>
      <c r="G11" s="29">
        <f>IF(ISNUMBER(_xll.PIArcVal(G$5,$C11, 0,"TPI","exact time"))=TRUE,_xll.PIArcVal(G$5,$C11, 0,"TPI","exact time"),"")</f>
        <v>2.5670000000000002</v>
      </c>
      <c r="H11" s="9">
        <f>IF(ISNUMBER(_xll.PIArcVal(G$5,$D11, 0,"TPI","exact time"))=TRUE, _xll.PIArcVal(G$5,$D11, 0,"TPI","exact time"), "")</f>
        <v>1.821</v>
      </c>
      <c r="I11" s="29">
        <f>IF(ISNUMBER(_xll.PIArcVal(I$5,$C11, 0,"TPI","exact time"))=TRUE,_xll.PIArcVal(I$5,$C11, 0,"TPI","exact time"),"")</f>
        <v>27.76</v>
      </c>
      <c r="J11" s="9">
        <f>IF(ISNUMBER(_xll.PIArcVal(I$5,$D11, 0,"TPI","exact time"))=TRUE, _xll.PIArcVal(I$5,$D11, 0,"TPI","exact time"), "")</f>
        <v>28.67</v>
      </c>
      <c r="K11" s="29">
        <f>IF(ISNUMBER(_xll.PIArcVal(K$5,$C11, 0,"TPI","exact time"))=TRUE,_xll.PIArcVal(K$5,$C11, 0,"TPI","exact time"),"")</f>
        <v>21.212</v>
      </c>
      <c r="L11" s="9">
        <f>IF(ISNUMBER(_xll.PIArcVal(K$5,$D11, 0,"TPI","exact time"))=TRUE, _xll.PIArcVal(K$5,$D11, 0,"TPI","exact time"), "")</f>
        <v>25.276</v>
      </c>
      <c r="M11" s="29">
        <f>IF(ISNUMBER(_xll.PIArcVal(M$5,$C11, 0,"TPI","exact time"))=TRUE,_xll.PIArcVal(M$5,$C11, 0,"TPI","exact time"),"")</f>
        <v>3.2000000000000001E-2</v>
      </c>
      <c r="N11" s="9">
        <f>IF(ISNUMBER(_xll.PIArcVal(M$5,$D11, 0,"TPI","exact time"))=TRUE, _xll.PIArcVal(M$5,$D11, 0,"TPI","exact time"), "")</f>
        <v>5.2999999999999999E-2</v>
      </c>
      <c r="O11" s="29">
        <f>IF(ISNUMBER(_xll.PIArcVal(O$5,$C11, 0,"TPI","exact time"))=TRUE,_xll.PIArcVal(O$5,$C11, 0,"TPI","exact time"),"")</f>
        <v>30.01</v>
      </c>
      <c r="P11" s="9">
        <f>IF(ISNUMBER(_xll.PIArcVal(O$5,$D11, 0,"TPI","exact time"))=TRUE, _xll.PIArcVal(O$5,$D11, 0,"TPI","exact time"), "")</f>
        <v>29.66</v>
      </c>
      <c r="Q11" s="29">
        <f>IF(ISNUMBER(_xll.PIArcVal(Q$5,$C11, 0,"TPI","exact time"))=TRUE,_xll.PIArcVal(Q$5,$C11, 0,"TPI","exact time"),"")</f>
        <v>12.68</v>
      </c>
      <c r="R11" s="29">
        <f>IF(ISNUMBER(_xll.PIArcVal(R$5,$D11, 0,"TPI","exact time"))=TRUE, _xll.PIArcVal(R$5,$D11, 0,"TPI","exact time"), "")</f>
        <v>12.48</v>
      </c>
      <c r="S11" s="29">
        <f>IF(ISNUMBER(_xll.PIArcVal(S$5,$C11, 0,"TPI","exact time"))=TRUE,_xll.PIArcVal(S$5,$C11, 0,"TPI","exact time"),"")</f>
        <v>0.84099999999999997</v>
      </c>
      <c r="T11" s="9">
        <f>IF(ISNUMBER(_xll.PIArcVal(S$5,$D11, 0,"TPI","exact time"))=TRUE, _xll.PIArcVal(S$5,$D11, 0,"TPI","exact time"), "")</f>
        <v>0.51100000000000001</v>
      </c>
      <c r="U11" s="29">
        <f>IF(ISNUMBER(_xll.PIArcVal(U$5,$C11, 0,"TPI","exact time"))=TRUE,_xll.PIArcVal(U$5,$C11, 0,"TPI","exact time"),"")</f>
        <v>55.356999999999999</v>
      </c>
      <c r="V11" s="9">
        <f>IF(ISNUMBER(_xll.PIArcVal(U$5,$D11, 0,"TPI","exact time"))=TRUE, _xll.PIArcVal(U$5,$D11, 0,"TPI","exact time"), "")</f>
        <v>57.058999999999997</v>
      </c>
      <c r="W11" s="29">
        <f>IF(ISNUMBER(_xll.PIArcVal(W$5,$C11, 0,"TPI","exact time"))=TRUE,_xll.PIArcVal(W$5,$C11, 0,"TPI","exact time"),"")</f>
        <v>1.1439999999999999</v>
      </c>
      <c r="X11" s="9">
        <f>IF(ISNUMBER(_xll.PIArcVal(W$5,$D11, 0,"TPI","exact time"))=TRUE, _xll.PIArcVal(W$5,$D11, 0,"TPI","exact time"), "")</f>
        <v>0.64800000000000002</v>
      </c>
      <c r="Y11" s="29">
        <f>IF(ISNUMBER(_xll.PIArcVal(Y$5,$C11, 0,"TPI","exact time"))=TRUE,_xll.PIArcVal(Y$5,$C11, 0,"TPI","exact time"),"")</f>
        <v>3.98</v>
      </c>
      <c r="Z11" s="9">
        <f>IF(ISNUMBER(_xll.PIArcVal(Z$5,$D11, 0,"TPI","exact time"))=TRUE, _xll.PIArcVal(Z$5,$D11, 0,"TPI","exact time"), "")</f>
        <v>2.62</v>
      </c>
    </row>
    <row r="12" spans="1:26" ht="13.5" thickBot="1" x14ac:dyDescent="0.25">
      <c r="A12">
        <f t="shared" si="3"/>
        <v>6</v>
      </c>
      <c r="B12" s="28">
        <f t="shared" si="0"/>
        <v>46253</v>
      </c>
      <c r="C12" s="30">
        <f t="shared" si="1"/>
        <v>46253.3125</v>
      </c>
      <c r="D12" s="30">
        <f t="shared" si="2"/>
        <v>46253.8125</v>
      </c>
      <c r="E12" s="29">
        <f>IF(ISNUMBER(_xll.PIArcVal(E$5,$C12, 0,"TPI","exact time"))=TRUE,_xll.PIArcVal(E$5,$C12, 0,"TPI","exact time"),"")</f>
        <v>22.401</v>
      </c>
      <c r="F12" s="9">
        <f>IF(ISNUMBER(_xll.PIArcVal(E$5,$D12, 0,"TPI","exact time"))=TRUE, _xll.PIArcVal(E$5,$D12, 0,"TPI","exact time"), "")</f>
        <v>22.599</v>
      </c>
      <c r="G12" s="29">
        <f>IF(ISNUMBER(_xll.PIArcVal(G$5,$C12, 0,"TPI","exact time"))=TRUE,_xll.PIArcVal(G$5,$C12, 0,"TPI","exact time"),"")</f>
        <v>0.96499999999999997</v>
      </c>
      <c r="H12" s="9">
        <f>IF(ISNUMBER(_xll.PIArcVal(G$5,$D12, 0,"TPI","exact time"))=TRUE, _xll.PIArcVal(G$5,$D12, 0,"TPI","exact time"), "")</f>
        <v>1.1180000000000001</v>
      </c>
      <c r="I12" s="29">
        <f>IF(ISNUMBER(_xll.PIArcVal(I$5,$C12, 0,"TPI","exact time"))=TRUE,_xll.PIArcVal(I$5,$C12, 0,"TPI","exact time"),"")</f>
        <v>30.71</v>
      </c>
      <c r="J12" s="9">
        <f>IF(ISNUMBER(_xll.PIArcVal(I$5,$D12, 0,"TPI","exact time"))=TRUE, _xll.PIArcVal(I$5,$D12, 0,"TPI","exact time"), "")</f>
        <v>30.82</v>
      </c>
      <c r="K12" s="29">
        <f>IF(ISNUMBER(_xll.PIArcVal(K$5,$C12, 0,"TPI","exact time"))=TRUE,_xll.PIArcVal(K$5,$C12, 0,"TPI","exact time"),"")</f>
        <v>23.591000000000001</v>
      </c>
      <c r="L12" s="9">
        <f>IF(ISNUMBER(_xll.PIArcVal(K$5,$D12, 0,"TPI","exact time"))=TRUE, _xll.PIArcVal(K$5,$D12, 0,"TPI","exact time"), "")</f>
        <v>23.491</v>
      </c>
      <c r="M12" s="29">
        <f>IF(ISNUMBER(_xll.PIArcVal(M$5,$C12, 0,"TPI","exact time"))=TRUE,_xll.PIArcVal(M$5,$C12, 0,"TPI","exact time"),"")</f>
        <v>2.9000000000000001E-2</v>
      </c>
      <c r="N12" s="9">
        <f>IF(ISNUMBER(_xll.PIArcVal(M$5,$D12, 0,"TPI","exact time"))=TRUE, _xll.PIArcVal(M$5,$D12, 0,"TPI","exact time"), "")</f>
        <v>5.0999999999999997E-2</v>
      </c>
      <c r="O12" s="29">
        <f>IF(ISNUMBER(_xll.PIArcVal(O$5,$C12, 0,"TPI","exact time"))=TRUE,_xll.PIArcVal(O$5,$C12, 0,"TPI","exact time"),"")</f>
        <v>30.43</v>
      </c>
      <c r="P12" s="9">
        <f>IF(ISNUMBER(_xll.PIArcVal(O$5,$D12, 0,"TPI","exact time"))=TRUE, _xll.PIArcVal(O$5,$D12, 0,"TPI","exact time"), "")</f>
        <v>31.43</v>
      </c>
      <c r="Q12" s="29">
        <f>IF(ISNUMBER(_xll.PIArcVal(Q$5,$C12, 0,"TPI","exact time"))=TRUE,_xll.PIArcVal(Q$5,$C12, 0,"TPI","exact time"),"")</f>
        <v>11.52</v>
      </c>
      <c r="R12" s="29">
        <f>IF(ISNUMBER(_xll.PIArcVal(R$5,$D12, 0,"TPI","exact time"))=TRUE, _xll.PIArcVal(R$5,$D12, 0,"TPI","exact time"), "")</f>
        <v>9.24</v>
      </c>
      <c r="S12" s="29">
        <f>IF(ISNUMBER(_xll.PIArcVal(S$5,$C12, 0,"TPI","exact time"))=TRUE,_xll.PIArcVal(S$5,$C12, 0,"TPI","exact time"),"")</f>
        <v>0.48599999999999999</v>
      </c>
      <c r="T12" s="9">
        <f>IF(ISNUMBER(_xll.PIArcVal(S$5,$D12, 0,"TPI","exact time"))=TRUE, _xll.PIArcVal(S$5,$D12, 0,"TPI","exact time"), "")</f>
        <v>0.46600000000000003</v>
      </c>
      <c r="U12" s="29">
        <f>IF(ISNUMBER(_xll.PIArcVal(U$5,$C12, 0,"TPI","exact time"))=TRUE,_xll.PIArcVal(U$5,$C12, 0,"TPI","exact time"),"")</f>
        <v>57.497999999999998</v>
      </c>
      <c r="V12" s="9">
        <f>IF(ISNUMBER(_xll.PIArcVal(U$5,$D12, 0,"TPI","exact time"))=TRUE, _xll.PIArcVal(U$5,$D12, 0,"TPI","exact time"), "")</f>
        <v>57.186</v>
      </c>
      <c r="W12" s="29">
        <f>IF(ISNUMBER(_xll.PIArcVal(W$5,$C12, 0,"TPI","exact time"))=TRUE,_xll.PIArcVal(W$5,$C12, 0,"TPI","exact time"),"")</f>
        <v>0.57299999999999995</v>
      </c>
      <c r="X12" s="9">
        <f>IF(ISNUMBER(_xll.PIArcVal(W$5,$D12, 0,"TPI","exact time"))=TRUE, _xll.PIArcVal(W$5,$D12, 0,"TPI","exact time"), "")</f>
        <v>0.65</v>
      </c>
      <c r="Y12" s="29">
        <f>IF(ISNUMBER(_xll.PIArcVal(Y$5,$C12, 0,"TPI","exact time"))=TRUE,_xll.PIArcVal(Y$5,$C12, 0,"TPI","exact time"),"")</f>
        <v>2.08</v>
      </c>
      <c r="Z12" s="9">
        <f>IF(ISNUMBER(_xll.PIArcVal(Z$5,$D12, 0,"TPI","exact time"))=TRUE, _xll.PIArcVal(Z$5,$D12, 0,"TPI","exact time"), "")</f>
        <v>2.46</v>
      </c>
    </row>
    <row r="13" spans="1:26" ht="13.5" thickBot="1" x14ac:dyDescent="0.25">
      <c r="A13">
        <f t="shared" si="3"/>
        <v>7</v>
      </c>
      <c r="B13" s="28">
        <f t="shared" si="0"/>
        <v>46254</v>
      </c>
      <c r="C13" s="30">
        <f t="shared" si="1"/>
        <v>46254.3125</v>
      </c>
      <c r="D13" s="30">
        <f t="shared" si="2"/>
        <v>46254.8125</v>
      </c>
      <c r="E13" s="29">
        <f>IF(ISNUMBER(_xll.PIArcVal(E$5,$C13, 0,"TPI","exact time"))=TRUE,_xll.PIArcVal(E$5,$C13, 0,"TPI","exact time"),"")</f>
        <v>21.242999999999999</v>
      </c>
      <c r="F13" s="9">
        <f>IF(ISNUMBER(_xll.PIArcVal(E$5,$D13, 0,"TPI","exact time"))=TRUE, _xll.PIArcVal(E$5,$D13, 0,"TPI","exact time"), "")</f>
        <v>23.193999999999999</v>
      </c>
      <c r="G13" s="29">
        <f>IF(ISNUMBER(_xll.PIArcVal(G$5,$C13, 0,"TPI","exact time"))=TRUE,_xll.PIArcVal(G$5,$C13, 0,"TPI","exact time"),"")</f>
        <v>1.2949999999999999</v>
      </c>
      <c r="H13" s="9">
        <f>IF(ISNUMBER(_xll.PIArcVal(G$5,$D13, 0,"TPI","exact time"))=TRUE, _xll.PIArcVal(G$5,$D13, 0,"TPI","exact time"), "")</f>
        <v>1.2709999999999999</v>
      </c>
      <c r="I13" s="29">
        <f>IF(ISNUMBER(_xll.PIArcVal(I$5,$C13, 0,"TPI","exact time"))=TRUE,_xll.PIArcVal(I$5,$C13, 0,"TPI","exact time"),"")</f>
        <v>29.01</v>
      </c>
      <c r="J13" s="9">
        <f>IF(ISNUMBER(_xll.PIArcVal(I$5,$D13, 0,"TPI","exact time"))=TRUE, _xll.PIArcVal(I$5,$D13, 0,"TPI","exact time"), "")</f>
        <v>28.32</v>
      </c>
      <c r="K13" s="29">
        <f>IF(ISNUMBER(_xll.PIArcVal(K$5,$C13, 0,"TPI","exact time"))=TRUE,_xll.PIArcVal(K$5,$C13, 0,"TPI","exact time"),"")</f>
        <v>22.138999999999999</v>
      </c>
      <c r="L13" s="9">
        <f>IF(ISNUMBER(_xll.PIArcVal(K$5,$D13, 0,"TPI","exact time"))=TRUE, _xll.PIArcVal(K$5,$D13, 0,"TPI","exact time"), "")</f>
        <v>23.69</v>
      </c>
      <c r="M13" s="29">
        <f>IF(ISNUMBER(_xll.PIArcVal(M$5,$C13, 0,"TPI","exact time"))=TRUE,_xll.PIArcVal(M$5,$C13, 0,"TPI","exact time"),"")</f>
        <v>4.3999999999999997E-2</v>
      </c>
      <c r="N13" s="9">
        <f>IF(ISNUMBER(_xll.PIArcVal(M$5,$D13, 0,"TPI","exact time"))=TRUE, _xll.PIArcVal(M$5,$D13, 0,"TPI","exact time"), "")</f>
        <v>4.2000000000000003E-2</v>
      </c>
      <c r="O13" s="29">
        <f>IF(ISNUMBER(_xll.PIArcVal(O$5,$C13, 0,"TPI","exact time"))=TRUE,_xll.PIArcVal(O$5,$C13, 0,"TPI","exact time"),"")</f>
        <v>30.03</v>
      </c>
      <c r="P13" s="9">
        <f>IF(ISNUMBER(_xll.PIArcVal(O$5,$D13, 0,"TPI","exact time"))=TRUE, _xll.PIArcVal(O$5,$D13, 0,"TPI","exact time"), "")</f>
        <v>28.87</v>
      </c>
      <c r="Q13" s="29">
        <f>IF(ISNUMBER(_xll.PIArcVal(Q$5,$C13, 0,"TPI","exact time"))=TRUE,_xll.PIArcVal(Q$5,$C13, 0,"TPI","exact time"),"")</f>
        <v>11.64</v>
      </c>
      <c r="R13" s="29">
        <f>IF(ISNUMBER(_xll.PIArcVal(R$5,$D13, 0,"TPI","exact time"))=TRUE, _xll.PIArcVal(R$5,$D13, 0,"TPI","exact time"), "")</f>
        <v>12.96</v>
      </c>
      <c r="S13" s="29">
        <f>IF(ISNUMBER(_xll.PIArcVal(S$5,$C13, 0,"TPI","exact time"))=TRUE,_xll.PIArcVal(S$5,$C13, 0,"TPI","exact time"),"")</f>
        <v>0.53</v>
      </c>
      <c r="T13" s="9">
        <f>IF(ISNUMBER(_xll.PIArcVal(S$5,$D13, 0,"TPI","exact time"))=TRUE, _xll.PIArcVal(S$5,$D13, 0,"TPI","exact time"), "")</f>
        <v>0.79800000000000004</v>
      </c>
      <c r="U13" s="29">
        <f>IF(ISNUMBER(_xll.PIArcVal(U$5,$C13, 0,"TPI","exact time"))=TRUE,_xll.PIArcVal(U$5,$C13, 0,"TPI","exact time"),"")</f>
        <v>56.895000000000003</v>
      </c>
      <c r="V13" s="9">
        <f>IF(ISNUMBER(_xll.PIArcVal(U$5,$D13, 0,"TPI","exact time"))=TRUE, _xll.PIArcVal(U$5,$D13, 0,"TPI","exact time"), "")</f>
        <v>54.981000000000002</v>
      </c>
      <c r="W13" s="29">
        <f>IF(ISNUMBER(_xll.PIArcVal(W$5,$C13, 0,"TPI","exact time"))=TRUE,_xll.PIArcVal(W$5,$C13, 0,"TPI","exact time"),"")</f>
        <v>0.84299999999999997</v>
      </c>
      <c r="X13" s="9">
        <f>IF(ISNUMBER(_xll.PIArcVal(W$5,$D13, 0,"TPI","exact time"))=TRUE, _xll.PIArcVal(W$5,$D13, 0,"TPI","exact time"), "")</f>
        <v>2.41</v>
      </c>
      <c r="Y13" s="29">
        <f>IF(ISNUMBER(_xll.PIArcVal(Y$5,$C13, 0,"TPI","exact time"))=TRUE,_xll.PIArcVal(Y$5,$C13, 0,"TPI","exact time"),"")</f>
        <v>2.4500000000000002</v>
      </c>
      <c r="Z13" s="9">
        <f>IF(ISNUMBER(_xll.PIArcVal(Z$5,$D13, 0,"TPI","exact time"))=TRUE, _xll.PIArcVal(Z$5,$D13, 0,"TPI","exact time"), "")</f>
        <v>1.94</v>
      </c>
    </row>
    <row r="14" spans="1:26" ht="13.5" thickBot="1" x14ac:dyDescent="0.25">
      <c r="A14">
        <f t="shared" si="3"/>
        <v>8</v>
      </c>
      <c r="B14" s="28">
        <f t="shared" si="0"/>
        <v>46255</v>
      </c>
      <c r="C14" s="30">
        <f t="shared" si="1"/>
        <v>46255.3125</v>
      </c>
      <c r="D14" s="30">
        <f t="shared" si="2"/>
        <v>46255.8125</v>
      </c>
      <c r="E14" s="29" t="str">
        <f>IF(ISNUMBER(_xll.PIArcVal(E$5,$C14, 0,"TPI","exact time"))=TRUE,_xll.PIArcVal(E$5,$C14, 0,"TPI","exact time"),"")</f>
        <v/>
      </c>
      <c r="F14" s="9">
        <f>IF(ISNUMBER(_xll.PIArcVal(E$5,$D14, 0,"TPI","exact time"))=TRUE, _xll.PIArcVal(E$5,$D14, 0,"TPI","exact time"), "")</f>
        <v>23.591000000000001</v>
      </c>
      <c r="G14" s="29" t="str">
        <f>IF(ISNUMBER(_xll.PIArcVal(G$5,$C14, 0,"TPI","exact time"))=TRUE,_xll.PIArcVal(G$5,$C14, 0,"TPI","exact time"),"")</f>
        <v/>
      </c>
      <c r="H14" s="9">
        <f>IF(ISNUMBER(_xll.PIArcVal(G$5,$D14, 0,"TPI","exact time"))=TRUE, _xll.PIArcVal(G$5,$D14, 0,"TPI","exact time"), "")</f>
        <v>1.1879999999999999</v>
      </c>
      <c r="I14" s="29" t="str">
        <f>IF(ISNUMBER(_xll.PIArcVal(I$5,$C14, 0,"TPI","exact time"))=TRUE,_xll.PIArcVal(I$5,$C14, 0,"TPI","exact time"),"")</f>
        <v/>
      </c>
      <c r="J14" s="9">
        <f>IF(ISNUMBER(_xll.PIArcVal(I$5,$D14, 0,"TPI","exact time"))=TRUE, _xll.PIArcVal(I$5,$D14, 0,"TPI","exact time"), "")</f>
        <v>29.69</v>
      </c>
      <c r="K14" s="29" t="str">
        <f>IF(ISNUMBER(_xll.PIArcVal(K$5,$C14, 0,"TPI","exact time"))=TRUE,_xll.PIArcVal(K$5,$C14, 0,"TPI","exact time"),"")</f>
        <v/>
      </c>
      <c r="L14" s="9">
        <f>IF(ISNUMBER(_xll.PIArcVal(K$5,$D14, 0,"TPI","exact time"))=TRUE, _xll.PIArcVal(K$5,$D14, 0,"TPI","exact time"), "")</f>
        <v>25.474</v>
      </c>
      <c r="M14" s="29" t="str">
        <f>IF(ISNUMBER(_xll.PIArcVal(M$5,$C14, 0,"TPI","exact time"))=TRUE,_xll.PIArcVal(M$5,$C14, 0,"TPI","exact time"),"")</f>
        <v/>
      </c>
      <c r="N14" s="9">
        <f>IF(ISNUMBER(_xll.PIArcVal(M$5,$D14, 0,"TPI","exact time"))=TRUE, _xll.PIArcVal(M$5,$D14, 0,"TPI","exact time"), "")</f>
        <v>0.05</v>
      </c>
      <c r="O14" s="29" t="str">
        <f>IF(ISNUMBER(_xll.PIArcVal(O$5,$C14, 0,"TPI","exact time"))=TRUE,_xll.PIArcVal(O$5,$C14, 0,"TPI","exact time"),"")</f>
        <v/>
      </c>
      <c r="P14" s="9">
        <f>IF(ISNUMBER(_xll.PIArcVal(O$5,$D14, 0,"TPI","exact time"))=TRUE, _xll.PIArcVal(O$5,$D14, 0,"TPI","exact time"), "")</f>
        <v>29.77</v>
      </c>
      <c r="Q14" s="29" t="str">
        <f>IF(ISNUMBER(_xll.PIArcVal(Q$5,$C14, 0,"TPI","exact time"))=TRUE,_xll.PIArcVal(Q$5,$C14, 0,"TPI","exact time"),"")</f>
        <v/>
      </c>
      <c r="R14" s="29">
        <f>IF(ISNUMBER(_xll.PIArcVal(R$5,$D14, 0,"TPI","exact time"))=TRUE, _xll.PIArcVal(R$5,$D14, 0,"TPI","exact time"), "")</f>
        <v>11.3</v>
      </c>
      <c r="S14" s="29" t="str">
        <f>IF(ISNUMBER(_xll.PIArcVal(S$5,$C14, 0,"TPI","exact time"))=TRUE,_xll.PIArcVal(S$5,$C14, 0,"TPI","exact time"),"")</f>
        <v/>
      </c>
      <c r="T14" s="9">
        <f>IF(ISNUMBER(_xll.PIArcVal(S$5,$D14, 0,"TPI","exact time"))=TRUE, _xll.PIArcVal(S$5,$D14, 0,"TPI","exact time"), "")</f>
        <v>0.73399999999999999</v>
      </c>
      <c r="U14" s="29" t="str">
        <f>IF(ISNUMBER(_xll.PIArcVal(U$5,$C14, 0,"TPI","exact time"))=TRUE,_xll.PIArcVal(U$5,$C14, 0,"TPI","exact time"),"")</f>
        <v/>
      </c>
      <c r="V14" s="9">
        <f>IF(ISNUMBER(_xll.PIArcVal(U$5,$D14, 0,"TPI","exact time"))=TRUE, _xll.PIArcVal(U$5,$D14, 0,"TPI","exact time"), "")</f>
        <v>55.753999999999998</v>
      </c>
      <c r="W14" s="29" t="str">
        <f>IF(ISNUMBER(_xll.PIArcVal(W$5,$C14, 0,"TPI","exact time"))=TRUE,_xll.PIArcVal(W$5,$C14, 0,"TPI","exact time"),"")</f>
        <v/>
      </c>
      <c r="X14" s="9">
        <f>IF(ISNUMBER(_xll.PIArcVal(W$5,$D14, 0,"TPI","exact time"))=TRUE, _xll.PIArcVal(W$5,$D14, 0,"TPI","exact time"), "")</f>
        <v>1.889</v>
      </c>
      <c r="Y14" s="29" t="str">
        <f>IF(ISNUMBER(_xll.PIArcVal(Y$5,$C14, 0,"TPI","exact time"))=TRUE,_xll.PIArcVal(Y$5,$C14, 0,"TPI","exact time"),"")</f>
        <v/>
      </c>
      <c r="Z14" s="9">
        <f>IF(ISNUMBER(_xll.PIArcVal(Z$5,$D14, 0,"TPI","exact time"))=TRUE, _xll.PIArcVal(Z$5,$D14, 0,"TPI","exact time"), "")</f>
        <v>1.85</v>
      </c>
    </row>
    <row r="15" spans="1:26" ht="13.5" thickBot="1" x14ac:dyDescent="0.25">
      <c r="A15">
        <f t="shared" si="3"/>
        <v>9</v>
      </c>
      <c r="B15" s="28">
        <f>+B16-1</f>
        <v>46256</v>
      </c>
      <c r="C15" s="30">
        <f t="shared" si="1"/>
        <v>46256.3125</v>
      </c>
      <c r="D15" s="30">
        <f t="shared" si="2"/>
        <v>46256.8125</v>
      </c>
      <c r="E15" s="29">
        <f>IF(ISNUMBER(_xll.PIArcVal(E$5,$C15, 0,"TPI","exact time"))=TRUE,_xll.PIArcVal(E$5,$C15, 0,"TPI","exact time"),"")</f>
        <v>24.175000000000001</v>
      </c>
      <c r="F15" s="9">
        <f>IF(ISNUMBER(_xll.PIArcVal(E$5,$D15, 0,"TPI","exact time"))=TRUE, _xll.PIArcVal(E$5,$D15, 0,"TPI","exact time"), "")</f>
        <v>23.88</v>
      </c>
      <c r="G15" s="29">
        <f>IF(ISNUMBER(_xll.PIArcVal(G$5,$C15, 0,"TPI","exact time"))=TRUE,_xll.PIArcVal(G$5,$C15, 0,"TPI","exact time"),"")</f>
        <v>1.6910000000000001</v>
      </c>
      <c r="H15" s="9">
        <f>IF(ISNUMBER(_xll.PIArcVal(G$5,$D15, 0,"TPI","exact time"))=TRUE, _xll.PIArcVal(G$5,$D15, 0,"TPI","exact time"), "")</f>
        <v>1.782</v>
      </c>
      <c r="I15" s="29">
        <f>IF(ISNUMBER(_xll.PIArcVal(I$5,$C15, 0,"TPI","exact time"))=TRUE,_xll.PIArcVal(I$5,$C15, 0,"TPI","exact time"),"")</f>
        <v>28</v>
      </c>
      <c r="J15" s="9">
        <f>IF(ISNUMBER(_xll.PIArcVal(I$5,$D15, 0,"TPI","exact time"))=TRUE, _xll.PIArcVal(I$5,$D15, 0,"TPI","exact time"), "")</f>
        <v>27.25</v>
      </c>
      <c r="K15" s="29">
        <f>IF(ISNUMBER(_xll.PIArcVal(K$5,$C15, 0,"TPI","exact time"))=TRUE,_xll.PIArcVal(K$5,$C15, 0,"TPI","exact time"),"")</f>
        <v>23.376999999999999</v>
      </c>
      <c r="L15" s="9">
        <f>IF(ISNUMBER(_xll.PIArcVal(K$5,$D15, 0,"TPI","exact time"))=TRUE, _xll.PIArcVal(K$5,$D15, 0,"TPI","exact time"), "")</f>
        <v>22.786000000000001</v>
      </c>
      <c r="M15" s="29">
        <f>IF(ISNUMBER(_xll.PIArcVal(M$5,$C15, 0,"TPI","exact time"))=TRUE,_xll.PIArcVal(M$5,$C15, 0,"TPI","exact time"),"")</f>
        <v>6.7000000000000004E-2</v>
      </c>
      <c r="N15" s="9">
        <f>IF(ISNUMBER(_xll.PIArcVal(M$5,$D15, 0,"TPI","exact time"))=TRUE, _xll.PIArcVal(M$5,$D15, 0,"TPI","exact time"), "")</f>
        <v>0.104</v>
      </c>
      <c r="O15" s="29">
        <f>IF(ISNUMBER(_xll.PIArcVal(O$5,$C15, 0,"TPI","exact time"))=TRUE,_xll.PIArcVal(O$5,$C15, 0,"TPI","exact time"),"")</f>
        <v>28.91</v>
      </c>
      <c r="P15" s="9">
        <f>IF(ISNUMBER(_xll.PIArcVal(O$5,$D15, 0,"TPI","exact time"))=TRUE, _xll.PIArcVal(O$5,$D15, 0,"TPI","exact time"), "")</f>
        <v>28.84</v>
      </c>
      <c r="Q15" s="29">
        <f>IF(ISNUMBER(_xll.PIArcVal(Q$5,$C15, 0,"TPI","exact time"))=TRUE,_xll.PIArcVal(Q$5,$C15, 0,"TPI","exact time"),"")</f>
        <v>12.7</v>
      </c>
      <c r="R15" s="29">
        <f>IF(ISNUMBER(_xll.PIArcVal(R$5,$D15, 0,"TPI","exact time"))=TRUE, _xll.PIArcVal(R$5,$D15, 0,"TPI","exact time"), "")</f>
        <v>12.7</v>
      </c>
      <c r="S15" s="29" t="str">
        <f>IF(ISNUMBER(_xll.PIArcVal(S$5,$C15, 0,"TPI","exact time"))=TRUE,_xll.PIArcVal(S$5,$C15, 0,"TPI","exact time"),"")</f>
        <v/>
      </c>
      <c r="T15" s="9">
        <f>IF(ISNUMBER(_xll.PIArcVal(S$5,$D15, 0,"TPI","exact time"))=TRUE, _xll.PIArcVal(S$5,$D15, 0,"TPI","exact time"), "")</f>
        <v>2.198</v>
      </c>
      <c r="U15" s="29" t="str">
        <f>IF(ISNUMBER(_xll.PIArcVal(U$5,$C15, 0,"TPI","exact time"))=TRUE,_xll.PIArcVal(U$5,$C15, 0,"TPI","exact time"),"")</f>
        <v/>
      </c>
      <c r="V15" s="9">
        <f>IF(ISNUMBER(_xll.PIArcVal(U$5,$D15, 0,"TPI","exact time"))=TRUE, _xll.PIArcVal(U$5,$D15, 0,"TPI","exact time"), "")</f>
        <v>51.384</v>
      </c>
      <c r="W15" s="29" t="str">
        <f>IF(ISNUMBER(_xll.PIArcVal(W$5,$C15, 0,"TPI","exact time"))=TRUE,_xll.PIArcVal(W$5,$C15, 0,"TPI","exact time"),"")</f>
        <v/>
      </c>
      <c r="X15" s="9">
        <f>IF(ISNUMBER(_xll.PIArcVal(W$5,$D15, 0,"TPI","exact time"))=TRUE, _xll.PIArcVal(W$5,$D15, 0,"TPI","exact time"), "")</f>
        <v>4.452</v>
      </c>
      <c r="Y15" s="29" t="str">
        <f>IF(ISNUMBER(_xll.PIArcVal(Y$5,$C15, 0,"TPI","exact time"))=TRUE,_xll.PIArcVal(Y$5,$C15, 0,"TPI","exact time"),"")</f>
        <v/>
      </c>
      <c r="Z15" s="9">
        <f>IF(ISNUMBER(_xll.PIArcVal(Z$5,$D15, 0,"TPI","exact time"))=TRUE, _xll.PIArcVal(Z$5,$D15, 0,"TPI","exact time"), "")</f>
        <v>1.8</v>
      </c>
    </row>
    <row r="16" spans="1:26" ht="13.5" thickBot="1" x14ac:dyDescent="0.25">
      <c r="A16">
        <f t="shared" si="3"/>
        <v>10</v>
      </c>
      <c r="B16" s="28">
        <f t="shared" si="0"/>
        <v>46257</v>
      </c>
      <c r="C16" s="30">
        <f>+B16+7.5/24</f>
        <v>46257.3125</v>
      </c>
      <c r="D16" s="30">
        <f>+B16+19.5/24</f>
        <v>46257.8125</v>
      </c>
      <c r="E16" s="29">
        <f>IF(ISNUMBER(_xll.PIArcVal(E$5,$C16, 0,"TPI","exact time"))=TRUE,_xll.PIArcVal(E$5,$C16, 0,"TPI","exact time"),"")</f>
        <v>21.393000000000001</v>
      </c>
      <c r="F16" s="9">
        <f>IF(ISNUMBER(_xll.PIArcVal(E$5,$D16, 0,"TPI","exact time"))=TRUE, _xll.PIArcVal(E$5,$D16, 0,"TPI","exact time"), "")</f>
        <v>21.492000000000001</v>
      </c>
      <c r="G16" s="29">
        <f>IF(ISNUMBER(_xll.PIArcVal(G$5,$C16, 0,"TPI","exact time"))=TRUE,_xll.PIArcVal(G$5,$C16, 0,"TPI","exact time"),"")</f>
        <v>1.86</v>
      </c>
      <c r="H16" s="9">
        <f>IF(ISNUMBER(_xll.PIArcVal(G$5,$D16, 0,"TPI","exact time"))=TRUE, _xll.PIArcVal(G$5,$D16, 0,"TPI","exact time"), "")</f>
        <v>3.2440000000000002</v>
      </c>
      <c r="I16" s="29">
        <f>IF(ISNUMBER(_xll.PIArcVal(I$5,$C16, 0,"TPI","exact time"))=TRUE,_xll.PIArcVal(I$5,$C16, 0,"TPI","exact time"),"")</f>
        <v>27.75</v>
      </c>
      <c r="J16" s="9">
        <f>IF(ISNUMBER(_xll.PIArcVal(I$5,$D16, 0,"TPI","exact time"))=TRUE, _xll.PIArcVal(I$5,$D16, 0,"TPI","exact time"), "")</f>
        <v>28.32</v>
      </c>
      <c r="K16" s="29">
        <f>IF(ISNUMBER(_xll.PIArcVal(K$5,$C16, 0,"TPI","exact time"))=TRUE,_xll.PIArcVal(K$5,$C16, 0,"TPI","exact time"),"")</f>
        <v>22.486999999999998</v>
      </c>
      <c r="L16" s="9">
        <f>IF(ISNUMBER(_xll.PIArcVal(K$5,$D16, 0,"TPI","exact time"))=TRUE, _xll.PIArcVal(K$5,$D16, 0,"TPI","exact time"), "")</f>
        <v>22.786000000000001</v>
      </c>
      <c r="M16" s="29">
        <f>IF(ISNUMBER(_xll.PIArcVal(M$5,$C16, 0,"TPI","exact time"))=TRUE,_xll.PIArcVal(M$5,$C16, 0,"TPI","exact time"),"")</f>
        <v>0.106</v>
      </c>
      <c r="N16" s="9">
        <f>IF(ISNUMBER(_xll.PIArcVal(M$5,$D16, 0,"TPI","exact time"))=TRUE, _xll.PIArcVal(M$5,$D16, 0,"TPI","exact time"), "")</f>
        <v>7.6999999999999999E-2</v>
      </c>
      <c r="O16" s="29">
        <f>IF(ISNUMBER(_xll.PIArcVal(O$5,$C16, 0,"TPI","exact time"))=TRUE,_xll.PIArcVal(O$5,$C16, 0,"TPI","exact time"),"")</f>
        <v>30.01</v>
      </c>
      <c r="P16" s="9">
        <f>IF(ISNUMBER(_xll.PIArcVal(O$5,$D16, 0,"TPI","exact time"))=TRUE, _xll.PIArcVal(O$5,$D16, 0,"TPI","exact time"), "")</f>
        <v>29.97</v>
      </c>
      <c r="Q16" s="29">
        <f>IF(ISNUMBER(_xll.PIArcVal(Q$5,$C16, 0,"TPI","exact time"))=TRUE,_xll.PIArcVal(Q$5,$C16, 0,"TPI","exact time"),"")</f>
        <v>12.7</v>
      </c>
      <c r="R16" s="29">
        <f>IF(ISNUMBER(_xll.PIArcVal(R$5,$D16, 0,"TPI","exact time"))=TRUE, _xll.PIArcVal(R$5,$D16, 0,"TPI","exact time"), "")</f>
        <v>13.96</v>
      </c>
      <c r="S16" s="29">
        <f>IF(ISNUMBER(_xll.PIArcVal(S$5,$C16, 0,"TPI","exact time"))=TRUE,_xll.PIArcVal(S$5,$C16, 0,"TPI","exact time"),"")</f>
        <v>0.53300000000000003</v>
      </c>
      <c r="T16" s="9">
        <f>IF(ISNUMBER(_xll.PIArcVal(S$5,$D16, 0,"TPI","exact time"))=TRUE, _xll.PIArcVal(S$5,$D16, 0,"TPI","exact time"), "")</f>
        <v>0.72599999999999998</v>
      </c>
      <c r="U16" s="29">
        <f>IF(ISNUMBER(_xll.PIArcVal(U$5,$C16, 0,"TPI","exact time"))=TRUE,_xll.PIArcVal(U$5,$C16, 0,"TPI","exact time"),"")</f>
        <v>57.165999999999997</v>
      </c>
      <c r="V16" s="9">
        <f>IF(ISNUMBER(_xll.PIArcVal(U$5,$D16, 0,"TPI","exact time"))=TRUE, _xll.PIArcVal(U$5,$D16, 0,"TPI","exact time"), "")</f>
        <v>56.784999999999997</v>
      </c>
      <c r="W16" s="29">
        <f>IF(ISNUMBER(_xll.PIArcVal(W$5,$C16, 0,"TPI","exact time"))=TRUE,_xll.PIArcVal(W$5,$C16, 0,"TPI","exact time"),"")</f>
        <v>0.86399999999999999</v>
      </c>
      <c r="X16" s="9">
        <f>IF(ISNUMBER(_xll.PIArcVal(W$5,$D16, 0,"TPI","exact time"))=TRUE, _xll.PIArcVal(W$5,$D16, 0,"TPI","exact time"), "")</f>
        <v>0.93100000000000005</v>
      </c>
      <c r="Y16" s="29">
        <f>IF(ISNUMBER(_xll.PIArcVal(Y$5,$C16, 0,"TPI","exact time"))=TRUE,_xll.PIArcVal(Y$5,$C16, 0,"TPI","exact time"),"")</f>
        <v>1.95</v>
      </c>
      <c r="Z16" s="9">
        <f>IF(ISNUMBER(_xll.PIArcVal(Z$5,$D16, 0,"TPI","exact time"))=TRUE, _xll.PIArcVal(Z$5,$D16, 0,"TPI","exact time"), "")</f>
        <v>2.2000000000000002</v>
      </c>
    </row>
    <row r="17" spans="1:26" ht="13.5" thickBot="1" x14ac:dyDescent="0.25">
      <c r="A17">
        <f t="shared" si="3"/>
        <v>11</v>
      </c>
      <c r="B17" s="28">
        <f t="shared" si="0"/>
        <v>46258</v>
      </c>
      <c r="C17" s="30">
        <f t="shared" si="1"/>
        <v>46258.3125</v>
      </c>
      <c r="D17" s="30">
        <f t="shared" si="2"/>
        <v>46258.8125</v>
      </c>
      <c r="E17" s="29">
        <f>IF(ISNUMBER(_xll.PIArcVal(E$5,$C17, 0,"TPI","exact time"))=TRUE,_xll.PIArcVal(E$5,$C17, 0,"TPI","exact time"),"")</f>
        <v>21.640999999999998</v>
      </c>
      <c r="F17" s="9">
        <f>IF(ISNUMBER(_xll.PIArcVal(E$5,$D17, 0,"TPI","exact time"))=TRUE, _xll.PIArcVal(E$5,$D17, 0,"TPI","exact time"), "")</f>
        <v>22.542999999999999</v>
      </c>
      <c r="G17" s="29">
        <f>IF(ISNUMBER(_xll.PIArcVal(G$5,$C17, 0,"TPI","exact time"))=TRUE,_xll.PIArcVal(G$5,$C17, 0,"TPI","exact time"),"")</f>
        <v>2.0419999999999998</v>
      </c>
      <c r="H17" s="9">
        <f>IF(ISNUMBER(_xll.PIArcVal(G$5,$D17, 0,"TPI","exact time"))=TRUE, _xll.PIArcVal(G$5,$D17, 0,"TPI","exact time"), "")</f>
        <v>2.032</v>
      </c>
      <c r="I17" s="29">
        <f>IF(ISNUMBER(_xll.PIArcVal(I$5,$C17, 0,"TPI","exact time"))=TRUE,_xll.PIArcVal(I$5,$C17, 0,"TPI","exact time"),"")</f>
        <v>28.26</v>
      </c>
      <c r="J17" s="9">
        <f>IF(ISNUMBER(_xll.PIArcVal(I$5,$D17, 0,"TPI","exact time"))=TRUE, _xll.PIArcVal(I$5,$D17, 0,"TPI","exact time"), "")</f>
        <v>28.09</v>
      </c>
      <c r="K17" s="29">
        <f>IF(ISNUMBER(_xll.PIArcVal(K$5,$C17, 0,"TPI","exact time"))=TRUE,_xll.PIArcVal(K$5,$C17, 0,"TPI","exact time"),"")</f>
        <v>22.885000000000002</v>
      </c>
      <c r="L17" s="9">
        <f>IF(ISNUMBER(_xll.PIArcVal(K$5,$D17, 0,"TPI","exact time"))=TRUE, _xll.PIArcVal(K$5,$D17, 0,"TPI","exact time"), "")</f>
        <v>24.132000000000001</v>
      </c>
      <c r="M17" s="29">
        <f>IF(ISNUMBER(_xll.PIArcVal(M$5,$C17, 0,"TPI","exact time"))=TRUE,_xll.PIArcVal(M$5,$C17, 0,"TPI","exact time"),"")</f>
        <v>9.0999999999999998E-2</v>
      </c>
      <c r="N17" s="9">
        <f>IF(ISNUMBER(_xll.PIArcVal(M$5,$D17, 0,"TPI","exact time"))=TRUE, _xll.PIArcVal(M$5,$D17, 0,"TPI","exact time"), "")</f>
        <v>3.5000000000000003E-2</v>
      </c>
      <c r="O17" s="29">
        <f>IF(ISNUMBER(_xll.PIArcVal(O$5,$C17, 0,"TPI","exact time"))=TRUE,_xll.PIArcVal(O$5,$C17, 0,"TPI","exact time"),"")</f>
        <v>29.3</v>
      </c>
      <c r="P17" s="9">
        <f>IF(ISNUMBER(_xll.PIArcVal(O$5,$D17, 0,"TPI","exact time"))=TRUE, _xll.PIArcVal(O$5,$D17, 0,"TPI","exact time"), "")</f>
        <v>28.79</v>
      </c>
      <c r="Q17" s="29">
        <f>IF(ISNUMBER(_xll.PIArcVal(Q$5,$C17, 0,"TPI","exact time"))=TRUE,_xll.PIArcVal(Q$5,$C17, 0,"TPI","exact time"),"")</f>
        <v>14.38</v>
      </c>
      <c r="R17" s="29">
        <f>IF(ISNUMBER(_xll.PIArcVal(R$5,$D17, 0,"TPI","exact time"))=TRUE, _xll.PIArcVal(R$5,$D17, 0,"TPI","exact time"), "")</f>
        <v>14.48</v>
      </c>
      <c r="S17" s="29">
        <f>IF(ISNUMBER(_xll.PIArcVal(S$5,$C17, 0,"TPI","exact time"))=TRUE,_xll.PIArcVal(S$5,$C17, 0,"TPI","exact time"),"")</f>
        <v>0.64500000000000002</v>
      </c>
      <c r="T17" s="9">
        <f>IF(ISNUMBER(_xll.PIArcVal(S$5,$D17, 0,"TPI","exact time"))=TRUE, _xll.PIArcVal(S$5,$D17, 0,"TPI","exact time"), "")</f>
        <v>1.099</v>
      </c>
      <c r="U17" s="29">
        <f>IF(ISNUMBER(_xll.PIArcVal(U$5,$C17, 0,"TPI","exact time"))=TRUE,_xll.PIArcVal(U$5,$C17, 0,"TPI","exact time"),"")</f>
        <v>57.445</v>
      </c>
      <c r="V17" s="9">
        <f>IF(ISNUMBER(_xll.PIArcVal(U$5,$D17, 0,"TPI","exact time"))=TRUE, _xll.PIArcVal(U$5,$D17, 0,"TPI","exact time"), "")</f>
        <v>56.451000000000001</v>
      </c>
      <c r="W17" s="29">
        <f>IF(ISNUMBER(_xll.PIArcVal(W$5,$C17, 0,"TPI","exact time"))=TRUE,_xll.PIArcVal(W$5,$C17, 0,"TPI","exact time"),"")</f>
        <v>0.80100000000000005</v>
      </c>
      <c r="X17" s="9">
        <f>IF(ISNUMBER(_xll.PIArcVal(W$5,$D17, 0,"TPI","exact time"))=TRUE, _xll.PIArcVal(W$5,$D17, 0,"TPI","exact time"), "")</f>
        <v>1.28</v>
      </c>
      <c r="Y17" s="29">
        <f>IF(ISNUMBER(_xll.PIArcVal(Y$5,$C17, 0,"TPI","exact time"))=TRUE,_xll.PIArcVal(Y$5,$C17, 0,"TPI","exact time"),"")</f>
        <v>1.48</v>
      </c>
      <c r="Z17" s="9">
        <f>IF(ISNUMBER(_xll.PIArcVal(Z$5,$D17, 0,"TPI","exact time"))=TRUE, _xll.PIArcVal(Z$5,$D17, 0,"TPI","exact time"), "")</f>
        <v>1.54</v>
      </c>
    </row>
    <row r="18" spans="1:26" ht="13.5" thickBot="1" x14ac:dyDescent="0.25">
      <c r="A18">
        <f t="shared" si="3"/>
        <v>12</v>
      </c>
      <c r="B18" s="28">
        <f t="shared" si="0"/>
        <v>46259</v>
      </c>
      <c r="C18" s="30">
        <f t="shared" si="1"/>
        <v>46259.3125</v>
      </c>
      <c r="D18" s="30">
        <f t="shared" si="2"/>
        <v>46259.8125</v>
      </c>
      <c r="E18" s="29">
        <f>IF(ISNUMBER(_xll.PIArcVal(E$5,$C18, 0,"TPI","exact time"))=TRUE,_xll.PIArcVal(E$5,$C18, 0,"TPI","exact time"),"")</f>
        <v>21.724</v>
      </c>
      <c r="F18" s="9">
        <f>IF(ISNUMBER(_xll.PIArcVal(E$5,$D18, 0,"TPI","exact time"))=TRUE, _xll.PIArcVal(E$5,$D18, 0,"TPI","exact time"), "")</f>
        <v>22.189</v>
      </c>
      <c r="G18" s="29">
        <f>IF(ISNUMBER(_xll.PIArcVal(G$5,$C18, 0,"TPI","exact time"))=TRUE,_xll.PIArcVal(G$5,$C18, 0,"TPI","exact time"),"")</f>
        <v>5.9749999999999996</v>
      </c>
      <c r="H18" s="9">
        <f>IF(ISNUMBER(_xll.PIArcVal(G$5,$D18, 0,"TPI","exact time"))=TRUE, _xll.PIArcVal(G$5,$D18, 0,"TPI","exact time"), "")</f>
        <v>2.98</v>
      </c>
      <c r="I18" s="29">
        <f>IF(ISNUMBER(_xll.PIArcVal(I$5,$C18, 0,"TPI","exact time"))=TRUE,_xll.PIArcVal(I$5,$C18, 0,"TPI","exact time"),"")</f>
        <v>26.67</v>
      </c>
      <c r="J18" s="9">
        <f>IF(ISNUMBER(_xll.PIArcVal(I$5,$D18, 0,"TPI","exact time"))=TRUE, _xll.PIArcVal(I$5,$D18, 0,"TPI","exact time"), "")</f>
        <v>25.99</v>
      </c>
      <c r="K18" s="29">
        <f>IF(ISNUMBER(_xll.PIArcVal(K$5,$C18, 0,"TPI","exact time"))=TRUE,_xll.PIArcVal(K$5,$C18, 0,"TPI","exact time"),"")</f>
        <v>22.841000000000001</v>
      </c>
      <c r="L18" s="9">
        <f>IF(ISNUMBER(_xll.PIArcVal(K$5,$D18, 0,"TPI","exact time"))=TRUE, _xll.PIArcVal(K$5,$D18, 0,"TPI","exact time"), "")</f>
        <v>22.885000000000002</v>
      </c>
      <c r="M18" s="29">
        <f>IF(ISNUMBER(_xll.PIArcVal(M$5,$C18, 0,"TPI","exact time"))=TRUE,_xll.PIArcVal(M$5,$C18, 0,"TPI","exact time"),"")</f>
        <v>6.7000000000000004E-2</v>
      </c>
      <c r="N18" s="9">
        <f>IF(ISNUMBER(_xll.PIArcVal(M$5,$D18, 0,"TPI","exact time"))=TRUE, _xll.PIArcVal(M$5,$D18, 0,"TPI","exact time"), "")</f>
        <v>7.5999999999999998E-2</v>
      </c>
      <c r="O18" s="29">
        <f>IF(ISNUMBER(_xll.PIArcVal(O$5,$C18, 0,"TPI","exact time"))=TRUE,_xll.PIArcVal(O$5,$C18, 0,"TPI","exact time"),"")</f>
        <v>28.91</v>
      </c>
      <c r="P18" s="9">
        <f>IF(ISNUMBER(_xll.PIArcVal(O$5,$D18, 0,"TPI","exact time"))=TRUE, _xll.PIArcVal(O$5,$D18, 0,"TPI","exact time"), "")</f>
        <v>28.51</v>
      </c>
      <c r="Q18" s="29">
        <f>IF(ISNUMBER(_xll.PIArcVal(Q$5,$C18, 0,"TPI","exact time"))=TRUE,_xll.PIArcVal(Q$5,$C18, 0,"TPI","exact time"),"")</f>
        <v>14.12</v>
      </c>
      <c r="R18" s="29">
        <f>IF(ISNUMBER(_xll.PIArcVal(R$5,$D18, 0,"TPI","exact time"))=TRUE, _xll.PIArcVal(R$5,$D18, 0,"TPI","exact time"), "")</f>
        <v>13.72</v>
      </c>
      <c r="S18" s="29">
        <f>IF(ISNUMBER(_xll.PIArcVal(S$5,$C18, 0,"TPI","exact time"))=TRUE,_xll.PIArcVal(S$5,$C18, 0,"TPI","exact time"),"")</f>
        <v>0.92800000000000005</v>
      </c>
      <c r="T18" s="9">
        <f>IF(ISNUMBER(_xll.PIArcVal(S$5,$D18, 0,"TPI","exact time"))=TRUE, _xll.PIArcVal(S$5,$D18, 0,"TPI","exact time"), "")</f>
        <v>0.78200000000000003</v>
      </c>
      <c r="U18" s="29">
        <f>IF(ISNUMBER(_xll.PIArcVal(U$5,$C18, 0,"TPI","exact time"))=TRUE,_xll.PIArcVal(U$5,$C18, 0,"TPI","exact time"),"")</f>
        <v>57.02</v>
      </c>
      <c r="V18" s="9">
        <f>IF(ISNUMBER(_xll.PIArcVal(U$5,$D18, 0,"TPI","exact time"))=TRUE, _xll.PIArcVal(U$5,$D18, 0,"TPI","exact time"), "")</f>
        <v>57.246000000000002</v>
      </c>
      <c r="W18" s="29">
        <f>IF(ISNUMBER(_xll.PIArcVal(W$5,$C18, 0,"TPI","exact time"))=TRUE,_xll.PIArcVal(W$5,$C18, 0,"TPI","exact time"),"")</f>
        <v>1.0820000000000001</v>
      </c>
      <c r="X18" s="9">
        <f>IF(ISNUMBER(_xll.PIArcVal(W$5,$D18, 0,"TPI","exact time"))=TRUE, _xll.PIArcVal(W$5,$D18, 0,"TPI","exact time"), "")</f>
        <v>0.85699999999999998</v>
      </c>
      <c r="Y18" s="29">
        <f>IF(ISNUMBER(_xll.PIArcVal(Y$5,$C18, 0,"TPI","exact time"))=TRUE,_xll.PIArcVal(Y$5,$C18, 0,"TPI","exact time"),"")</f>
        <v>1.23</v>
      </c>
      <c r="Z18" s="9">
        <f>IF(ISNUMBER(_xll.PIArcVal(Z$5,$D18, 0,"TPI","exact time"))=TRUE, _xll.PIArcVal(Z$5,$D18, 0,"TPI","exact time"), "")</f>
        <v>1.52</v>
      </c>
    </row>
    <row r="19" spans="1:26" ht="13.5" thickBot="1" x14ac:dyDescent="0.25">
      <c r="A19">
        <f t="shared" si="3"/>
        <v>13</v>
      </c>
      <c r="B19" s="28">
        <f t="shared" si="0"/>
        <v>46260</v>
      </c>
      <c r="C19" s="30">
        <f t="shared" si="1"/>
        <v>46260.3125</v>
      </c>
      <c r="D19" s="30">
        <f t="shared" si="2"/>
        <v>46260.8125</v>
      </c>
      <c r="E19" s="29">
        <f>IF(ISNUMBER(_xll.PIArcVal(E$5,$C19, 0,"TPI","exact time"))=TRUE,_xll.PIArcVal(E$5,$C19, 0,"TPI","exact time"),"")</f>
        <v>22.251999999999999</v>
      </c>
      <c r="F19" s="9">
        <f>IF(ISNUMBER(_xll.PIArcVal(E$5,$D19, 0,"TPI","exact time"))=TRUE, _xll.PIArcVal(E$5,$D19, 0,"TPI","exact time"), "")</f>
        <v>22.593</v>
      </c>
      <c r="G19" s="29">
        <f>IF(ISNUMBER(_xll.PIArcVal(G$5,$C19, 0,"TPI","exact time"))=TRUE,_xll.PIArcVal(G$5,$C19, 0,"TPI","exact time"),"")</f>
        <v>2.2480000000000002</v>
      </c>
      <c r="H19" s="9">
        <f>IF(ISNUMBER(_xll.PIArcVal(G$5,$D19, 0,"TPI","exact time"))=TRUE, _xll.PIArcVal(G$5,$D19, 0,"TPI","exact time"), "")</f>
        <v>4.2629999999999999</v>
      </c>
      <c r="I19" s="29">
        <f>IF(ISNUMBER(_xll.PIArcVal(I$5,$C19, 0,"TPI","exact time"))=TRUE,_xll.PIArcVal(I$5,$C19, 0,"TPI","exact time"),"")</f>
        <v>27.56</v>
      </c>
      <c r="J19" s="9">
        <f>IF(ISNUMBER(_xll.PIArcVal(I$5,$D19, 0,"TPI","exact time"))=TRUE, _xll.PIArcVal(I$5,$D19, 0,"TPI","exact time"), "")</f>
        <v>25.83</v>
      </c>
      <c r="K19" s="29">
        <f>IF(ISNUMBER(_xll.PIArcVal(K$5,$C19, 0,"TPI","exact time"))=TRUE,_xll.PIArcVal(K$5,$C19, 0,"TPI","exact time"),"")</f>
        <v>23.391999999999999</v>
      </c>
      <c r="L19" s="9">
        <f>IF(ISNUMBER(_xll.PIArcVal(K$5,$D19, 0,"TPI","exact time"))=TRUE, _xll.PIArcVal(K$5,$D19, 0,"TPI","exact time"), "")</f>
        <v>23.785</v>
      </c>
      <c r="M19" s="29">
        <f>IF(ISNUMBER(_xll.PIArcVal(M$5,$C19, 0,"TPI","exact time"))=TRUE,_xll.PIArcVal(M$5,$C19, 0,"TPI","exact time"),"")</f>
        <v>4.9000000000000002E-2</v>
      </c>
      <c r="N19" s="9">
        <f>IF(ISNUMBER(_xll.PIArcVal(M$5,$D19, 0,"TPI","exact time"))=TRUE, _xll.PIArcVal(M$5,$D19, 0,"TPI","exact time"), "")</f>
        <v>8.5999999999999993E-2</v>
      </c>
      <c r="O19" s="29">
        <f>IF(ISNUMBER(_xll.PIArcVal(O$5,$C19, 0,"TPI","exact time"))=TRUE,_xll.PIArcVal(O$5,$C19, 0,"TPI","exact time"),"")</f>
        <v>28.42</v>
      </c>
      <c r="P19" s="9">
        <f>IF(ISNUMBER(_xll.PIArcVal(O$5,$D19, 0,"TPI","exact time"))=TRUE, _xll.PIArcVal(O$5,$D19, 0,"TPI","exact time"), "")</f>
        <v>29.19</v>
      </c>
      <c r="Q19" s="29">
        <f>IF(ISNUMBER(_xll.PIArcVal(Q$5,$C19, 0,"TPI","exact time"))=TRUE,_xll.PIArcVal(Q$5,$C19, 0,"TPI","exact time"),"")</f>
        <v>13.02</v>
      </c>
      <c r="R19" s="29">
        <f>IF(ISNUMBER(_xll.PIArcVal(R$5,$D19, 0,"TPI","exact time"))=TRUE, _xll.PIArcVal(R$5,$D19, 0,"TPI","exact time"), "")</f>
        <v>12.28</v>
      </c>
      <c r="S19" s="29">
        <f>IF(ISNUMBER(_xll.PIArcVal(S$5,$C19, 0,"TPI","exact time"))=TRUE,_xll.PIArcVal(S$5,$C19, 0,"TPI","exact time"),"")</f>
        <v>0.56999999999999995</v>
      </c>
      <c r="T19" s="9">
        <f>IF(ISNUMBER(_xll.PIArcVal(S$5,$D19, 0,"TPI","exact time"))=TRUE, _xll.PIArcVal(S$5,$D19, 0,"TPI","exact time"), "")</f>
        <v>0.53700000000000003</v>
      </c>
      <c r="U19" s="29">
        <f>IF(ISNUMBER(_xll.PIArcVal(U$5,$C19, 0,"TPI","exact time"))=TRUE,_xll.PIArcVal(U$5,$C19, 0,"TPI","exact time"),"")</f>
        <v>58.036999999999999</v>
      </c>
      <c r="V19" s="9">
        <f>IF(ISNUMBER(_xll.PIArcVal(U$5,$D19, 0,"TPI","exact time"))=TRUE, _xll.PIArcVal(U$5,$D19, 0,"TPI","exact time"), "")</f>
        <v>57.472000000000001</v>
      </c>
      <c r="W19" s="29">
        <f>IF(ISNUMBER(_xll.PIArcVal(W$5,$C19, 0,"TPI","exact time"))=TRUE,_xll.PIArcVal(W$5,$C19, 0,"TPI","exact time"),"")</f>
        <v>0.65</v>
      </c>
      <c r="X19" s="9">
        <f>IF(ISNUMBER(_xll.PIArcVal(W$5,$D19, 0,"TPI","exact time"))=TRUE, _xll.PIArcVal(W$5,$D19, 0,"TPI","exact time"), "")</f>
        <v>0.71199999999999997</v>
      </c>
      <c r="Y19" s="29">
        <f>IF(ISNUMBER(_xll.PIArcVal(Y$5,$C19, 0,"TPI","exact time"))=TRUE,_xll.PIArcVal(Y$5,$C19, 0,"TPI","exact time"),"")</f>
        <v>0.91</v>
      </c>
      <c r="Z19" s="9">
        <f>IF(ISNUMBER(_xll.PIArcVal(Z$5,$D19, 0,"TPI","exact time"))=TRUE, _xll.PIArcVal(Z$5,$D19, 0,"TPI","exact time"), "")</f>
        <v>1.76</v>
      </c>
    </row>
    <row r="20" spans="1:26" ht="13.5" thickBot="1" x14ac:dyDescent="0.25">
      <c r="A20">
        <f t="shared" si="3"/>
        <v>14</v>
      </c>
      <c r="B20" s="28">
        <f t="shared" si="0"/>
        <v>46261</v>
      </c>
      <c r="C20" s="30">
        <f t="shared" si="1"/>
        <v>46261.3125</v>
      </c>
      <c r="D20" s="30">
        <f t="shared" si="2"/>
        <v>46261.8125</v>
      </c>
      <c r="E20" s="29">
        <f>IF(ISNUMBER(_xll.PIArcVal(E$5,$C20, 0,"TPI","exact time"))=TRUE,_xll.PIArcVal(E$5,$C20, 0,"TPI","exact time"),"")</f>
        <v>22.55</v>
      </c>
      <c r="F20" s="9">
        <f>IF(ISNUMBER(_xll.PIArcVal(E$5,$D20, 0,"TPI","exact time"))=TRUE, _xll.PIArcVal(E$5,$D20, 0,"TPI","exact time"), "")</f>
        <v>23.88</v>
      </c>
      <c r="G20" s="29">
        <f>IF(ISNUMBER(_xll.PIArcVal(G$5,$C20, 0,"TPI","exact time"))=TRUE,_xll.PIArcVal(G$5,$C20, 0,"TPI","exact time"),"")</f>
        <v>2.2709999999999999</v>
      </c>
      <c r="H20" s="9">
        <f>IF(ISNUMBER(_xll.PIArcVal(G$5,$D20, 0,"TPI","exact time"))=TRUE, _xll.PIArcVal(G$5,$D20, 0,"TPI","exact time"), "")</f>
        <v>1.7969999999999999</v>
      </c>
      <c r="I20" s="29">
        <f>IF(ISNUMBER(_xll.PIArcVal(I$5,$C20, 0,"TPI","exact time"))=TRUE,_xll.PIArcVal(I$5,$C20, 0,"TPI","exact time"),"")</f>
        <v>28.12</v>
      </c>
      <c r="J20" s="9">
        <f>IF(ISNUMBER(_xll.PIArcVal(I$5,$D20, 0,"TPI","exact time"))=TRUE, _xll.PIArcVal(I$5,$D20, 0,"TPI","exact time"), "")</f>
        <v>29.42</v>
      </c>
      <c r="K20" s="29">
        <f>IF(ISNUMBER(_xll.PIArcVal(K$5,$C20, 0,"TPI","exact time"))=TRUE,_xll.PIArcVal(K$5,$C20, 0,"TPI","exact time"),"")</f>
        <v>23.541</v>
      </c>
      <c r="L20" s="9">
        <f>IF(ISNUMBER(_xll.PIArcVal(K$5,$D20, 0,"TPI","exact time"))=TRUE, _xll.PIArcVal(K$5,$D20, 0,"TPI","exact time"), "")</f>
        <v>22.288</v>
      </c>
      <c r="M20" s="29">
        <f>IF(ISNUMBER(_xll.PIArcVal(M$5,$C20, 0,"TPI","exact time"))=TRUE,_xll.PIArcVal(M$5,$C20, 0,"TPI","exact time"),"")</f>
        <v>0.05</v>
      </c>
      <c r="N20" s="9">
        <f>IF(ISNUMBER(_xll.PIArcVal(M$5,$D20, 0,"TPI","exact time"))=TRUE, _xll.PIArcVal(M$5,$D20, 0,"TPI","exact time"), "")</f>
        <v>2.7E-2</v>
      </c>
      <c r="O20" s="29">
        <f>IF(ISNUMBER(_xll.PIArcVal(O$5,$C20, 0,"TPI","exact time"))=TRUE,_xll.PIArcVal(O$5,$C20, 0,"TPI","exact time"),"")</f>
        <v>29.26</v>
      </c>
      <c r="P20" s="9">
        <f>IF(ISNUMBER(_xll.PIArcVal(O$5,$D20, 0,"TPI","exact time"))=TRUE, _xll.PIArcVal(O$5,$D20, 0,"TPI","exact time"), "")</f>
        <v>30.57</v>
      </c>
      <c r="Q20" s="29">
        <f>IF(ISNUMBER(_xll.PIArcVal(Q$5,$C20, 0,"TPI","exact time"))=TRUE,_xll.PIArcVal(Q$5,$C20, 0,"TPI","exact time"),"")</f>
        <v>13.62</v>
      </c>
      <c r="R20" s="29">
        <f>IF(ISNUMBER(_xll.PIArcVal(R$5,$D20, 0,"TPI","exact time"))=TRUE, _xll.PIArcVal(R$5,$D20, 0,"TPI","exact time"), "")</f>
        <v>12.16</v>
      </c>
      <c r="S20" s="29" t="str">
        <f>IF(ISNUMBER(_xll.PIArcVal(S$5,$C20, 0,"TPI","exact time"))=TRUE,_xll.PIArcVal(S$5,$C20, 0,"TPI","exact time"),"")</f>
        <v/>
      </c>
      <c r="T20" s="9">
        <f>IF(ISNUMBER(_xll.PIArcVal(S$5,$D20, 0,"TPI","exact time"))=TRUE, _xll.PIArcVal(S$5,$D20, 0,"TPI","exact time"), "")</f>
        <v>0.44400000000000001</v>
      </c>
      <c r="U20" s="29" t="str">
        <f>IF(ISNUMBER(_xll.PIArcVal(U$5,$C20, 0,"TPI","exact time"))=TRUE,_xll.PIArcVal(U$5,$C20, 0,"TPI","exact time"),"")</f>
        <v/>
      </c>
      <c r="V20" s="9">
        <f>IF(ISNUMBER(_xll.PIArcVal(U$5,$D20, 0,"TPI","exact time"))=TRUE, _xll.PIArcVal(U$5,$D20, 0,"TPI","exact time"), "")</f>
        <v>57.484999999999999</v>
      </c>
      <c r="W20" s="29" t="str">
        <f>IF(ISNUMBER(_xll.PIArcVal(W$5,$C20, 0,"TPI","exact time"))=TRUE,_xll.PIArcVal(W$5,$C20, 0,"TPI","exact time"),"")</f>
        <v/>
      </c>
      <c r="X20" s="9">
        <f>IF(ISNUMBER(_xll.PIArcVal(W$5,$D20, 0,"TPI","exact time"))=TRUE, _xll.PIArcVal(W$5,$D20, 0,"TPI","exact time"), "")</f>
        <v>0.84</v>
      </c>
      <c r="Y20" s="29" t="str">
        <f>IF(ISNUMBER(_xll.PIArcVal(Y$5,$C20, 0,"TPI","exact time"))=TRUE,_xll.PIArcVal(Y$5,$C20, 0,"TPI","exact time"),"")</f>
        <v/>
      </c>
      <c r="Z20" s="9">
        <f>IF(ISNUMBER(_xll.PIArcVal(Z$5,$D20, 0,"TPI","exact time"))=TRUE, _xll.PIArcVal(Z$5,$D20, 0,"TPI","exact time"), "")</f>
        <v>1.58</v>
      </c>
    </row>
    <row r="21" spans="1:26" ht="13.5" thickBot="1" x14ac:dyDescent="0.25">
      <c r="A21">
        <f t="shared" si="3"/>
        <v>15</v>
      </c>
      <c r="B21" s="28">
        <f t="shared" si="0"/>
        <v>46262</v>
      </c>
      <c r="C21" s="30">
        <f t="shared" si="1"/>
        <v>46262.3125</v>
      </c>
      <c r="D21" s="30">
        <f t="shared" si="2"/>
        <v>46262.8125</v>
      </c>
      <c r="E21" s="29">
        <f>IF(ISNUMBER(_xll.PIArcVal(E$5,$C21, 0,"TPI","exact time"))=TRUE,_xll.PIArcVal(E$5,$C21, 0,"TPI","exact time"),"")</f>
        <v>23.491</v>
      </c>
      <c r="F21" s="9">
        <f>IF(ISNUMBER(_xll.PIArcVal(E$5,$D21, 0,"TPI","exact time"))=TRUE, _xll.PIArcVal(E$5,$D21, 0,"TPI","exact time"), "")</f>
        <v>22.542999999999999</v>
      </c>
      <c r="G21" s="29">
        <f>IF(ISNUMBER(_xll.PIArcVal(G$5,$C21, 0,"TPI","exact time"))=TRUE,_xll.PIArcVal(G$5,$C21, 0,"TPI","exact time"),"")</f>
        <v>1.99</v>
      </c>
      <c r="H21" s="9">
        <f>IF(ISNUMBER(_xll.PIArcVal(G$5,$D21, 0,"TPI","exact time"))=TRUE, _xll.PIArcVal(G$5,$D21, 0,"TPI","exact time"), "")</f>
        <v>1.716</v>
      </c>
      <c r="I21" s="29">
        <f>IF(ISNUMBER(_xll.PIArcVal(I$5,$C21, 0,"TPI","exact time"))=TRUE,_xll.PIArcVal(I$5,$C21, 0,"TPI","exact time"),"")</f>
        <v>29.52</v>
      </c>
      <c r="J21" s="9">
        <f>IF(ISNUMBER(_xll.PIArcVal(I$5,$D21, 0,"TPI","exact time"))=TRUE, _xll.PIArcVal(I$5,$D21, 0,"TPI","exact time"), "")</f>
        <v>29.59</v>
      </c>
      <c r="K21" s="29">
        <f>IF(ISNUMBER(_xll.PIArcVal(K$5,$C21, 0,"TPI","exact time"))=TRUE,_xll.PIArcVal(K$5,$C21, 0,"TPI","exact time"),"")</f>
        <v>23.565999999999999</v>
      </c>
      <c r="L21" s="9">
        <f>IF(ISNUMBER(_xll.PIArcVal(K$5,$D21, 0,"TPI","exact time"))=TRUE, _xll.PIArcVal(K$5,$D21, 0,"TPI","exact time"), "")</f>
        <v>22.196000000000002</v>
      </c>
      <c r="M21" s="29">
        <f>IF(ISNUMBER(_xll.PIArcVal(M$5,$C21, 0,"TPI","exact time"))=TRUE,_xll.PIArcVal(M$5,$C21, 0,"TPI","exact time"),"")</f>
        <v>0.152</v>
      </c>
      <c r="N21" s="9">
        <f>IF(ISNUMBER(_xll.PIArcVal(M$5,$D21, 0,"TPI","exact time"))=TRUE, _xll.PIArcVal(M$5,$D21, 0,"TPI","exact time"), "")</f>
        <v>0.13700000000000001</v>
      </c>
      <c r="O21" s="29">
        <f>IF(ISNUMBER(_xll.PIArcVal(O$5,$C21, 0,"TPI","exact time"))=TRUE,_xll.PIArcVal(O$5,$C21, 0,"TPI","exact time"),"")</f>
        <v>30.46</v>
      </c>
      <c r="P21" s="9">
        <f>IF(ISNUMBER(_xll.PIArcVal(O$5,$D21, 0,"TPI","exact time"))=TRUE, _xll.PIArcVal(O$5,$D21, 0,"TPI","exact time"), "")</f>
        <v>30.12</v>
      </c>
      <c r="Q21" s="29">
        <f>IF(ISNUMBER(_xll.PIArcVal(Q$5,$C21, 0,"TPI","exact time"))=TRUE,_xll.PIArcVal(Q$5,$C21, 0,"TPI","exact time"),"")</f>
        <v>12.74</v>
      </c>
      <c r="R21" s="29">
        <f>IF(ISNUMBER(_xll.PIArcVal(R$5,$D21, 0,"TPI","exact time"))=TRUE, _xll.PIArcVal(R$5,$D21, 0,"TPI","exact time"), "")</f>
        <v>14.2</v>
      </c>
      <c r="S21" s="29">
        <f>IF(ISNUMBER(_xll.PIArcVal(S$5,$C21, 0,"TPI","exact time"))=TRUE,_xll.PIArcVal(S$5,$C21, 0,"TPI","exact time"),"")</f>
        <v>0.47499999999999998</v>
      </c>
      <c r="T21" s="9">
        <f>IF(ISNUMBER(_xll.PIArcVal(S$5,$D21, 0,"TPI","exact time"))=TRUE, _xll.PIArcVal(S$5,$D21, 0,"TPI","exact time"), "")</f>
        <v>0.41899999999999998</v>
      </c>
      <c r="U21" s="29">
        <f>IF(ISNUMBER(_xll.PIArcVal(U$5,$C21, 0,"TPI","exact time"))=TRUE,_xll.PIArcVal(U$5,$C21, 0,"TPI","exact time"),"")</f>
        <v>57.438000000000002</v>
      </c>
      <c r="V21" s="9">
        <f>IF(ISNUMBER(_xll.PIArcVal(U$5,$D21, 0,"TPI","exact time"))=TRUE, _xll.PIArcVal(U$5,$D21, 0,"TPI","exact time"), "")</f>
        <v>57.631999999999998</v>
      </c>
      <c r="W21" s="29">
        <f>IF(ISNUMBER(_xll.PIArcVal(W$5,$C21, 0,"TPI","exact time"))=TRUE,_xll.PIArcVal(W$5,$C21, 0,"TPI","exact time"),"")</f>
        <v>0.65400000000000003</v>
      </c>
      <c r="X21" s="9">
        <f>IF(ISNUMBER(_xll.PIArcVal(W$5,$D21, 0,"TPI","exact time"))=TRUE, _xll.PIArcVal(W$5,$D21, 0,"TPI","exact time"), "")</f>
        <v>0.67500000000000004</v>
      </c>
      <c r="Y21" s="29">
        <f>IF(ISNUMBER(_xll.PIArcVal(Y$5,$C21, 0,"TPI","exact time"))=TRUE,_xll.PIArcVal(Y$5,$C21, 0,"TPI","exact time"),"")</f>
        <v>2.02</v>
      </c>
      <c r="Z21" s="9">
        <f>IF(ISNUMBER(_xll.PIArcVal(Z$5,$D21, 0,"TPI","exact time"))=TRUE, _xll.PIArcVal(Z$5,$D21, 0,"TPI","exact time"), "")</f>
        <v>1.72</v>
      </c>
    </row>
    <row r="22" spans="1:26" ht="13.5" thickBot="1" x14ac:dyDescent="0.25">
      <c r="A22">
        <f t="shared" si="3"/>
        <v>16</v>
      </c>
      <c r="B22" s="28">
        <f t="shared" si="0"/>
        <v>46263</v>
      </c>
      <c r="C22" s="30">
        <f t="shared" si="1"/>
        <v>46263.3125</v>
      </c>
      <c r="D22" s="30">
        <f t="shared" si="2"/>
        <v>46263.8125</v>
      </c>
      <c r="E22" s="29">
        <f>IF(ISNUMBER(_xll.PIArcVal(E$5,$C22, 0,"TPI","exact time"))=TRUE,_xll.PIArcVal(E$5,$C22, 0,"TPI","exact time"),"")</f>
        <v>19.701000000000001</v>
      </c>
      <c r="F22" s="9">
        <f>IF(ISNUMBER(_xll.PIArcVal(E$5,$D22, 0,"TPI","exact time"))=TRUE, _xll.PIArcVal(E$5,$D22, 0,"TPI","exact time"), "")</f>
        <v>20.995000000000001</v>
      </c>
      <c r="G22" s="29">
        <f>IF(ISNUMBER(_xll.PIArcVal(G$5,$C22, 0,"TPI","exact time"))=TRUE,_xll.PIArcVal(G$5,$C22, 0,"TPI","exact time"),"")</f>
        <v>1.3540000000000001</v>
      </c>
      <c r="H22" s="9">
        <f>IF(ISNUMBER(_xll.PIArcVal(G$5,$D22, 0,"TPI","exact time"))=TRUE, _xll.PIArcVal(G$5,$D22, 0,"TPI","exact time"), "")</f>
        <v>0.95399999999999996</v>
      </c>
      <c r="I22" s="29">
        <f>IF(ISNUMBER(_xll.PIArcVal(I$5,$C22, 0,"TPI","exact time"))=TRUE,_xll.PIArcVal(I$5,$C22, 0,"TPI","exact time"),"")</f>
        <v>27.3</v>
      </c>
      <c r="J22" s="9">
        <f>IF(ISNUMBER(_xll.PIArcVal(I$5,$D22, 0,"TPI","exact time"))=TRUE, _xll.PIArcVal(I$5,$D22, 0,"TPI","exact time"), "")</f>
        <v>30.37</v>
      </c>
      <c r="K22" s="29">
        <f>IF(ISNUMBER(_xll.PIArcVal(K$5,$C22, 0,"TPI","exact time"))=TRUE,_xll.PIArcVal(K$5,$C22, 0,"TPI","exact time"),"")</f>
        <v>20.398</v>
      </c>
      <c r="L22" s="9">
        <f>IF(ISNUMBER(_xll.PIArcVal(K$5,$D22, 0,"TPI","exact time"))=TRUE, _xll.PIArcVal(K$5,$D22, 0,"TPI","exact time"), "")</f>
        <v>21.393000000000001</v>
      </c>
      <c r="M22" s="29">
        <f>IF(ISNUMBER(_xll.PIArcVal(M$5,$C22, 0,"TPI","exact time"))=TRUE,_xll.PIArcVal(M$5,$C22, 0,"TPI","exact time"),"")</f>
        <v>7.6999999999999999E-2</v>
      </c>
      <c r="N22" s="9">
        <f>IF(ISNUMBER(_xll.PIArcVal(M$5,$D22, 0,"TPI","exact time"))=TRUE, _xll.PIArcVal(M$5,$D22, 0,"TPI","exact time"), "")</f>
        <v>7.8E-2</v>
      </c>
      <c r="O22" s="29">
        <f>IF(ISNUMBER(_xll.PIArcVal(O$5,$C22, 0,"TPI","exact time"))=TRUE,_xll.PIArcVal(O$5,$C22, 0,"TPI","exact time"),"")</f>
        <v>28.54</v>
      </c>
      <c r="P22" s="9">
        <f>IF(ISNUMBER(_xll.PIArcVal(O$5,$D22, 0,"TPI","exact time"))=TRUE, _xll.PIArcVal(O$5,$D22, 0,"TPI","exact time"), "")</f>
        <v>31.25</v>
      </c>
      <c r="Q22" s="29">
        <f>IF(ISNUMBER(_xll.PIArcVal(Q$5,$C22, 0,"TPI","exact time"))=TRUE,_xll.PIArcVal(Q$5,$C22, 0,"TPI","exact time"),"")</f>
        <v>15.18</v>
      </c>
      <c r="R22" s="29">
        <f>IF(ISNUMBER(_xll.PIArcVal(R$5,$D22, 0,"TPI","exact time"))=TRUE, _xll.PIArcVal(R$5,$D22, 0,"TPI","exact time"), "")</f>
        <v>13.16</v>
      </c>
      <c r="S22" s="29">
        <f>IF(ISNUMBER(_xll.PIArcVal(S$5,$C22, 0,"TPI","exact time"))=TRUE,_xll.PIArcVal(S$5,$C22, 0,"TPI","exact time"),"")</f>
        <v>0.45900000000000002</v>
      </c>
      <c r="T22" s="9">
        <f>IF(ISNUMBER(_xll.PIArcVal(S$5,$D22, 0,"TPI","exact time"))=TRUE, _xll.PIArcVal(S$5,$D22, 0,"TPI","exact time"), "")</f>
        <v>0.45400000000000001</v>
      </c>
      <c r="U22" s="29">
        <f>IF(ISNUMBER(_xll.PIArcVal(U$5,$C22, 0,"TPI","exact time"))=TRUE,_xll.PIArcVal(U$5,$C22, 0,"TPI","exact time"),"")</f>
        <v>57.127000000000002</v>
      </c>
      <c r="V22" s="9">
        <f>IF(ISNUMBER(_xll.PIArcVal(U$5,$D22, 0,"TPI","exact time"))=TRUE, _xll.PIArcVal(U$5,$D22, 0,"TPI","exact time"), "")</f>
        <v>56.825000000000003</v>
      </c>
      <c r="W22" s="29">
        <f>IF(ISNUMBER(_xll.PIArcVal(W$5,$C22, 0,"TPI","exact time"))=TRUE,_xll.PIArcVal(W$5,$C22, 0,"TPI","exact time"),"")</f>
        <v>0.82099999999999995</v>
      </c>
      <c r="X22" s="9">
        <f>IF(ISNUMBER(_xll.PIArcVal(W$5,$D22, 0,"TPI","exact time"))=TRUE, _xll.PIArcVal(W$5,$D22, 0,"TPI","exact time"), "")</f>
        <v>1.1319999999999999</v>
      </c>
      <c r="Y22" s="29">
        <f>IF(ISNUMBER(_xll.PIArcVal(Y$5,$C22, 0,"TPI","exact time"))=TRUE,_xll.PIArcVal(Y$5,$C22, 0,"TPI","exact time"),"")</f>
        <v>2.2000000000000002</v>
      </c>
      <c r="Z22" s="9">
        <f>IF(ISNUMBER(_xll.PIArcVal(Z$5,$D22, 0,"TPI","exact time"))=TRUE, _xll.PIArcVal(Z$5,$D22, 0,"TPI","exact time"), "")</f>
        <v>2.04</v>
      </c>
    </row>
    <row r="23" spans="1:26" ht="13.5" thickBot="1" x14ac:dyDescent="0.25">
      <c r="A23">
        <f t="shared" si="3"/>
        <v>17</v>
      </c>
      <c r="B23" s="28">
        <f t="shared" si="0"/>
        <v>46264</v>
      </c>
      <c r="C23" s="30">
        <f t="shared" si="1"/>
        <v>46264.3125</v>
      </c>
      <c r="D23" s="30">
        <f t="shared" si="2"/>
        <v>46264.8125</v>
      </c>
      <c r="E23" s="29">
        <f>IF(ISNUMBER(_xll.PIArcVal(E$5,$C23, 0,"TPI","exact time"))=TRUE,_xll.PIArcVal(E$5,$C23, 0,"TPI","exact time"),"")</f>
        <v>20</v>
      </c>
      <c r="F23" s="9">
        <f>IF(ISNUMBER(_xll.PIArcVal(E$5,$D23, 0,"TPI","exact time"))=TRUE, _xll.PIArcVal(E$5,$D23, 0,"TPI","exact time"), "")</f>
        <v>23.084</v>
      </c>
      <c r="G23" s="29">
        <f>IF(ISNUMBER(_xll.PIArcVal(G$5,$C23, 0,"TPI","exact time"))=TRUE,_xll.PIArcVal(G$5,$C23, 0,"TPI","exact time"),"")</f>
        <v>0.97099999999999997</v>
      </c>
      <c r="H23" s="9">
        <f>IF(ISNUMBER(_xll.PIArcVal(G$5,$D23, 0,"TPI","exact time"))=TRUE, _xll.PIArcVal(G$5,$D23, 0,"TPI","exact time"), "")</f>
        <v>1.677</v>
      </c>
      <c r="I23" s="29">
        <f>IF(ISNUMBER(_xll.PIArcVal(I$5,$C23, 0,"TPI","exact time"))=TRUE,_xll.PIArcVal(I$5,$C23, 0,"TPI","exact time"),"")</f>
        <v>28.38</v>
      </c>
      <c r="J23" s="9">
        <f>IF(ISNUMBER(_xll.PIArcVal(I$5,$D23, 0,"TPI","exact time"))=TRUE, _xll.PIArcVal(I$5,$D23, 0,"TPI","exact time"), "")</f>
        <v>29.28</v>
      </c>
      <c r="K23" s="29">
        <f>IF(ISNUMBER(_xll.PIArcVal(K$5,$C23, 0,"TPI","exact time"))=TRUE,_xll.PIArcVal(K$5,$C23, 0,"TPI","exact time"),"")</f>
        <v>22.288</v>
      </c>
      <c r="L23" s="9">
        <f>IF(ISNUMBER(_xll.PIArcVal(K$5,$D23, 0,"TPI","exact time"))=TRUE, _xll.PIArcVal(K$5,$D23, 0,"TPI","exact time"), "")</f>
        <v>24.675999999999998</v>
      </c>
      <c r="M23" s="29">
        <f>IF(ISNUMBER(_xll.PIArcVal(M$5,$C23, 0,"TPI","exact time"))=TRUE,_xll.PIArcVal(M$5,$C23, 0,"TPI","exact time"),"")</f>
        <v>9.7000000000000003E-2</v>
      </c>
      <c r="N23" s="9">
        <f>IF(ISNUMBER(_xll.PIArcVal(M$5,$D23, 0,"TPI","exact time"))=TRUE, _xll.PIArcVal(M$5,$D23, 0,"TPI","exact time"), "")</f>
        <v>0.125</v>
      </c>
      <c r="O23" s="29">
        <f>IF(ISNUMBER(_xll.PIArcVal(O$5,$C23, 0,"TPI","exact time"))=TRUE,_xll.PIArcVal(O$5,$C23, 0,"TPI","exact time"),"")</f>
        <v>29.79</v>
      </c>
      <c r="P23" s="9">
        <f>IF(ISNUMBER(_xll.PIArcVal(O$5,$D23, 0,"TPI","exact time"))=TRUE, _xll.PIArcVal(O$5,$D23, 0,"TPI","exact time"), "")</f>
        <v>30.15</v>
      </c>
      <c r="Q23" s="29">
        <f>IF(ISNUMBER(_xll.PIArcVal(Q$5,$C23, 0,"TPI","exact time"))=TRUE,_xll.PIArcVal(Q$5,$C23, 0,"TPI","exact time"),"")</f>
        <v>13.02</v>
      </c>
      <c r="R23" s="29">
        <f>IF(ISNUMBER(_xll.PIArcVal(R$5,$D23, 0,"TPI","exact time"))=TRUE, _xll.PIArcVal(R$5,$D23, 0,"TPI","exact time"), "")</f>
        <v>10.44</v>
      </c>
      <c r="S23" s="29">
        <f>IF(ISNUMBER(_xll.PIArcVal(S$5,$C23, 0,"TPI","exact time"))=TRUE,_xll.PIArcVal(S$5,$C23, 0,"TPI","exact time"),"")</f>
        <v>0.60099999999999998</v>
      </c>
      <c r="T23" s="9">
        <f>IF(ISNUMBER(_xll.PIArcVal(S$5,$D23, 0,"TPI","exact time"))=TRUE, _xll.PIArcVal(S$5,$D23, 0,"TPI","exact time"), "")</f>
        <v>0.56100000000000005</v>
      </c>
      <c r="U23" s="29">
        <f>IF(ISNUMBER(_xll.PIArcVal(U$5,$C23, 0,"TPI","exact time"))=TRUE,_xll.PIArcVal(U$5,$C23, 0,"TPI","exact time"),"")</f>
        <v>53.348999999999997</v>
      </c>
      <c r="V23" s="9">
        <f>IF(ISNUMBER(_xll.PIArcVal(U$5,$D23, 0,"TPI","exact time"))=TRUE, _xll.PIArcVal(U$5,$D23, 0,"TPI","exact time"), "")</f>
        <v>55.825000000000003</v>
      </c>
      <c r="W23" s="29">
        <f>IF(ISNUMBER(_xll.PIArcVal(W$5,$C23, 0,"TPI","exact time"))=TRUE,_xll.PIArcVal(W$5,$C23, 0,"TPI","exact time"),"")</f>
        <v>3.4649999999999999</v>
      </c>
      <c r="X23" s="9">
        <f>IF(ISNUMBER(_xll.PIArcVal(W$5,$D23, 0,"TPI","exact time"))=TRUE, _xll.PIArcVal(W$5,$D23, 0,"TPI","exact time"), "")</f>
        <v>1.8089999999999999</v>
      </c>
      <c r="Y23" s="29">
        <f>IF(ISNUMBER(_xll.PIArcVal(Y$5,$C23, 0,"TPI","exact time"))=TRUE,_xll.PIArcVal(Y$5,$C23, 0,"TPI","exact time"),"")</f>
        <v>2.64</v>
      </c>
      <c r="Z23" s="9">
        <f>IF(ISNUMBER(_xll.PIArcVal(Z$5,$D23, 0,"TPI","exact time"))=TRUE, _xll.PIArcVal(Z$5,$D23, 0,"TPI","exact time"), "")</f>
        <v>2.12</v>
      </c>
    </row>
    <row r="24" spans="1:26" ht="13.5" thickBot="1" x14ac:dyDescent="0.25">
      <c r="A24">
        <f t="shared" si="3"/>
        <v>18</v>
      </c>
      <c r="B24" s="28">
        <f>+B25-1</f>
        <v>46265</v>
      </c>
      <c r="C24" s="30">
        <f t="shared" si="1"/>
        <v>46265.3125</v>
      </c>
      <c r="D24" s="30">
        <f t="shared" si="2"/>
        <v>46265.8125</v>
      </c>
      <c r="E24" s="29">
        <f>IF(ISNUMBER(_xll.PIArcVal(E$5,$C24, 0,"TPI","exact time"))=TRUE,_xll.PIArcVal(E$5,$C24, 0,"TPI","exact time"),"")</f>
        <v>21.457999999999998</v>
      </c>
      <c r="F24" s="9" t="str">
        <f>IF(ISNUMBER(_xll.PIArcVal(E$5,$D24, 0,"TPI","exact time"))=TRUE, _xll.PIArcVal(E$5,$D24, 0,"TPI","exact time"), "")</f>
        <v/>
      </c>
      <c r="G24" s="29">
        <f>IF(ISNUMBER(_xll.PIArcVal(G$5,$C24, 0,"TPI","exact time"))=TRUE,_xll.PIArcVal(G$5,$C24, 0,"TPI","exact time"),"")</f>
        <v>1.538</v>
      </c>
      <c r="H24" s="9" t="str">
        <f>IF(ISNUMBER(_xll.PIArcVal(G$5,$D24, 0,"TPI","exact time"))=TRUE, _xll.PIArcVal(G$5,$D24, 0,"TPI","exact time"), "")</f>
        <v/>
      </c>
      <c r="I24" s="29">
        <f>IF(ISNUMBER(_xll.PIArcVal(I$5,$C24, 0,"TPI","exact time"))=TRUE,_xll.PIArcVal(I$5,$C24, 0,"TPI","exact time"),"")</f>
        <v>27</v>
      </c>
      <c r="J24" s="9" t="str">
        <f>IF(ISNUMBER(_xll.PIArcVal(I$5,$D24, 0,"TPI","exact time"))=TRUE, _xll.PIArcVal(I$5,$D24, 0,"TPI","exact time"), "")</f>
        <v/>
      </c>
      <c r="K24" s="29">
        <f>IF(ISNUMBER(_xll.PIArcVal(K$5,$C24, 0,"TPI","exact time"))=TRUE,_xll.PIArcVal(K$5,$C24, 0,"TPI","exact time"),"")</f>
        <v>21.358000000000001</v>
      </c>
      <c r="L24" s="9" t="str">
        <f>IF(ISNUMBER(_xll.PIArcVal(K$5,$D24, 0,"TPI","exact time"))=TRUE, _xll.PIArcVal(K$5,$D24, 0,"TPI","exact time"), "")</f>
        <v/>
      </c>
      <c r="M24" s="29">
        <f>IF(ISNUMBER(_xll.PIArcVal(M$5,$C24, 0,"TPI","exact time"))=TRUE,_xll.PIArcVal(M$5,$C24, 0,"TPI","exact time"),"")</f>
        <v>0.10299999999999999</v>
      </c>
      <c r="N24" s="9" t="str">
        <f>IF(ISNUMBER(_xll.PIArcVal(M$5,$D24, 0,"TPI","exact time"))=TRUE, _xll.PIArcVal(M$5,$D24, 0,"TPI","exact time"), "")</f>
        <v/>
      </c>
      <c r="O24" s="29">
        <f>IF(ISNUMBER(_xll.PIArcVal(O$5,$C24, 0,"TPI","exact time"))=TRUE,_xll.PIArcVal(O$5,$C24, 0,"TPI","exact time"),"")</f>
        <v>28.73</v>
      </c>
      <c r="P24" s="9" t="str">
        <f>IF(ISNUMBER(_xll.PIArcVal(O$5,$D24, 0,"TPI","exact time"))=TRUE, _xll.PIArcVal(O$5,$D24, 0,"TPI","exact time"), "")</f>
        <v/>
      </c>
      <c r="Q24" s="29">
        <f>IF(ISNUMBER(_xll.PIArcVal(Q$5,$C24, 0,"TPI","exact time"))=TRUE,_xll.PIArcVal(Q$5,$C24, 0,"TPI","exact time"),"")</f>
        <v>14.3</v>
      </c>
      <c r="R24" s="29" t="str">
        <f>IF(ISNUMBER(_xll.PIArcVal(R$5,$D24, 0,"TPI","exact time"))=TRUE, _xll.PIArcVal(R$5,$D24, 0,"TPI","exact time"), "")</f>
        <v/>
      </c>
      <c r="S24" s="29" t="str">
        <f>IF(ISNUMBER(_xll.PIArcVal(S$5,$C24, 0,"TPI","exact time"))=TRUE,_xll.PIArcVal(S$5,$C24, 0,"TPI","exact time"),"")</f>
        <v/>
      </c>
      <c r="T24" s="9" t="str">
        <f>IF(ISNUMBER(_xll.PIArcVal(S$5,$D24, 0,"TPI","exact time"))=TRUE, _xll.PIArcVal(S$5,$D24, 0,"TPI","exact time"), "")</f>
        <v/>
      </c>
      <c r="U24" s="29" t="str">
        <f>IF(ISNUMBER(_xll.PIArcVal(U$5,$C24, 0,"TPI","exact time"))=TRUE,_xll.PIArcVal(U$5,$C24, 0,"TPI","exact time"),"")</f>
        <v/>
      </c>
      <c r="V24" s="9" t="str">
        <f>IF(ISNUMBER(_xll.PIArcVal(U$5,$D24, 0,"TPI","exact time"))=TRUE, _xll.PIArcVal(U$5,$D24, 0,"TPI","exact time"), "")</f>
        <v/>
      </c>
      <c r="W24" s="29" t="str">
        <f>IF(ISNUMBER(_xll.PIArcVal(W$5,$C24, 0,"TPI","exact time"))=TRUE,_xll.PIArcVal(W$5,$C24, 0,"TPI","exact time"),"")</f>
        <v/>
      </c>
      <c r="X24" s="9" t="str">
        <f>IF(ISNUMBER(_xll.PIArcVal(W$5,$D24, 0,"TPI","exact time"))=TRUE, _xll.PIArcVal(W$5,$D24, 0,"TPI","exact time"), "")</f>
        <v/>
      </c>
      <c r="Y24" s="29" t="str">
        <f>IF(ISNUMBER(_xll.PIArcVal(Y$5,$C24, 0,"TPI","exact time"))=TRUE,_xll.PIArcVal(Y$5,$C24, 0,"TPI","exact time"),"")</f>
        <v/>
      </c>
      <c r="Z24" s="9" t="str">
        <f>IF(ISNUMBER(_xll.PIArcVal(Z$5,$D24, 0,"TPI","exact time"))=TRUE, _xll.PIArcVal(Z$5,$D24, 0,"TPI","exact time"), "")</f>
        <v/>
      </c>
    </row>
    <row r="25" spans="1:26" ht="13.5" thickBot="1" x14ac:dyDescent="0.25">
      <c r="A25">
        <f t="shared" si="3"/>
        <v>19</v>
      </c>
      <c r="B25" s="28">
        <f t="shared" si="0"/>
        <v>46266</v>
      </c>
      <c r="C25" s="30">
        <f t="shared" si="1"/>
        <v>46266.3125</v>
      </c>
      <c r="D25" s="30">
        <f t="shared" si="2"/>
        <v>46266.8125</v>
      </c>
      <c r="E25" s="29" t="str">
        <f>IF(ISNUMBER(_xll.PIArcVal(E$5,$C25, 0,"TPI","exact time"))=TRUE,_xll.PIArcVal(E$5,$C25, 0,"TPI","exact time"),"")</f>
        <v/>
      </c>
      <c r="F25" s="9">
        <f>IF(ISNUMBER(_xll.PIArcVal(E$5,$D25, 0,"TPI","exact time"))=TRUE, _xll.PIArcVal(E$5,$D25, 0,"TPI","exact time"), "")</f>
        <v>21.108000000000001</v>
      </c>
      <c r="G25" s="29" t="str">
        <f>IF(ISNUMBER(_xll.PIArcVal(G$5,$C25, 0,"TPI","exact time"))=TRUE,_xll.PIArcVal(G$5,$C25, 0,"TPI","exact time"),"")</f>
        <v/>
      </c>
      <c r="H25" s="9">
        <f>IF(ISNUMBER(_xll.PIArcVal(G$5,$D25, 0,"TPI","exact time"))=TRUE, _xll.PIArcVal(G$5,$D25, 0,"TPI","exact time"), "")</f>
        <v>2.657</v>
      </c>
      <c r="I25" s="29" t="str">
        <f>IF(ISNUMBER(_xll.PIArcVal(I$5,$C25, 0,"TPI","exact time"))=TRUE,_xll.PIArcVal(I$5,$C25, 0,"TPI","exact time"),"")</f>
        <v/>
      </c>
      <c r="J25" s="9">
        <f>IF(ISNUMBER(_xll.PIArcVal(I$5,$D25, 0,"TPI","exact time"))=TRUE, _xll.PIArcVal(I$5,$D25, 0,"TPI","exact time"), "")</f>
        <v>28.95</v>
      </c>
      <c r="K25" s="29" t="str">
        <f>IF(ISNUMBER(_xll.PIArcVal(K$5,$C25, 0,"TPI","exact time"))=TRUE,_xll.PIArcVal(K$5,$C25, 0,"TPI","exact time"),"")</f>
        <v/>
      </c>
      <c r="L25" s="9">
        <f>IF(ISNUMBER(_xll.PIArcVal(K$5,$D25, 0,"TPI","exact time"))=TRUE, _xll.PIArcVal(K$5,$D25, 0,"TPI","exact time"), "")</f>
        <v>22.564</v>
      </c>
      <c r="M25" s="29" t="str">
        <f>IF(ISNUMBER(_xll.PIArcVal(M$5,$C25, 0,"TPI","exact time"))=TRUE,_xll.PIArcVal(M$5,$C25, 0,"TPI","exact time"),"")</f>
        <v/>
      </c>
      <c r="N25" s="9">
        <f>IF(ISNUMBER(_xll.PIArcVal(M$5,$D25, 0,"TPI","exact time"))=TRUE, _xll.PIArcVal(M$5,$D25, 0,"TPI","exact time"), "")</f>
        <v>5.3999999999999999E-2</v>
      </c>
      <c r="O25" s="29" t="str">
        <f>IF(ISNUMBER(_xll.PIArcVal(O$5,$C25, 0,"TPI","exact time"))=TRUE,_xll.PIArcVal(O$5,$C25, 0,"TPI","exact time"),"")</f>
        <v/>
      </c>
      <c r="P25" s="9">
        <f>IF(ISNUMBER(_xll.PIArcVal(O$5,$D25, 0,"TPI","exact time"))=TRUE, _xll.PIArcVal(O$5,$D25, 0,"TPI","exact time"), "")</f>
        <v>28.59</v>
      </c>
      <c r="Q25" s="29" t="str">
        <f>IF(ISNUMBER(_xll.PIArcVal(Q$5,$C25, 0,"TPI","exact time"))=TRUE,_xll.PIArcVal(Q$5,$C25, 0,"TPI","exact time"),"")</f>
        <v/>
      </c>
      <c r="R25" s="29">
        <f>IF(ISNUMBER(_xll.PIArcVal(R$5,$D25, 0,"TPI","exact time"))=TRUE, _xll.PIArcVal(R$5,$D25, 0,"TPI","exact time"), "")</f>
        <v>15.96</v>
      </c>
      <c r="S25" s="29" t="str">
        <f>IF(ISNUMBER(_xll.PIArcVal(S$5,$C25, 0,"TPI","exact time"))=TRUE,_xll.PIArcVal(S$5,$C25, 0,"TPI","exact time"),"")</f>
        <v/>
      </c>
      <c r="T25" s="9">
        <f>IF(ISNUMBER(_xll.PIArcVal(S$5,$D25, 0,"TPI","exact time"))=TRUE, _xll.PIArcVal(S$5,$D25, 0,"TPI","exact time"), "")</f>
        <v>0.60699999999999998</v>
      </c>
      <c r="U25" s="29" t="str">
        <f>IF(ISNUMBER(_xll.PIArcVal(U$5,$C25, 0,"TPI","exact time"))=TRUE,_xll.PIArcVal(U$5,$C25, 0,"TPI","exact time"),"")</f>
        <v/>
      </c>
      <c r="V25" s="9">
        <f>IF(ISNUMBER(_xll.PIArcVal(U$5,$D25, 0,"TPI","exact time"))=TRUE, _xll.PIArcVal(U$5,$D25, 0,"TPI","exact time"), "")</f>
        <v>55.411000000000001</v>
      </c>
      <c r="W25" s="29" t="str">
        <f>IF(ISNUMBER(_xll.PIArcVal(W$5,$C25, 0,"TPI","exact time"))=TRUE,_xll.PIArcVal(W$5,$C25, 0,"TPI","exact time"),"")</f>
        <v/>
      </c>
      <c r="X25" s="9">
        <f>IF(ISNUMBER(_xll.PIArcVal(W$5,$D25, 0,"TPI","exact time"))=TRUE, _xll.PIArcVal(W$5,$D25, 0,"TPI","exact time"), "")</f>
        <v>1.6519999999999999</v>
      </c>
      <c r="Y25" s="29" t="str">
        <f>IF(ISNUMBER(_xll.PIArcVal(Y$5,$C25, 0,"TPI","exact time"))=TRUE,_xll.PIArcVal(Y$5,$C25, 0,"TPI","exact time"),"")</f>
        <v/>
      </c>
      <c r="Z25" s="9">
        <f>IF(ISNUMBER(_xll.PIArcVal(Z$5,$D25, 0,"TPI","exact time"))=TRUE, _xll.PIArcVal(Z$5,$D25, 0,"TPI","exact time"), "")</f>
        <v>3.09</v>
      </c>
    </row>
    <row r="26" spans="1:26" ht="13.5" thickBot="1" x14ac:dyDescent="0.25">
      <c r="A26">
        <f t="shared" si="3"/>
        <v>20</v>
      </c>
      <c r="B26" s="28">
        <f t="shared" si="0"/>
        <v>46267</v>
      </c>
      <c r="C26" s="30">
        <f>+B26+7.5/24</f>
        <v>46267.3125</v>
      </c>
      <c r="D26" s="30">
        <f>+B26+19.5/24</f>
        <v>46267.8125</v>
      </c>
      <c r="E26" s="29">
        <f>IF(ISNUMBER(_xll.PIArcVal(E$5,$C26, 0,"TPI","exact time"))=TRUE,_xll.PIArcVal(E$5,$C26, 0,"TPI","exact time"),"")</f>
        <v>23.391999999999999</v>
      </c>
      <c r="F26" s="9">
        <f>IF(ISNUMBER(_xll.PIArcVal(E$5,$D26, 0,"TPI","exact time"))=TRUE, _xll.PIArcVal(E$5,$D26, 0,"TPI","exact time"), "")</f>
        <v>23.292999999999999</v>
      </c>
      <c r="G26" s="29">
        <f>IF(ISNUMBER(_xll.PIArcVal(G$5,$C26, 0,"TPI","exact time"))=TRUE,_xll.PIArcVal(G$5,$C26, 0,"TPI","exact time"),"")</f>
        <v>2.6150000000000002</v>
      </c>
      <c r="H26" s="9">
        <f>IF(ISNUMBER(_xll.PIArcVal(G$5,$D26, 0,"TPI","exact time"))=TRUE, _xll.PIArcVal(G$5,$D26, 0,"TPI","exact time"), "")</f>
        <v>2.73</v>
      </c>
      <c r="I26" s="29">
        <f>IF(ISNUMBER(_xll.PIArcVal(I$5,$C26, 0,"TPI","exact time"))=TRUE,_xll.PIArcVal(I$5,$C26, 0,"TPI","exact time"),"")</f>
        <v>26.88</v>
      </c>
      <c r="J26" s="9">
        <f>IF(ISNUMBER(_xll.PIArcVal(I$5,$D26, 0,"TPI","exact time"))=TRUE, _xll.PIArcVal(I$5,$D26, 0,"TPI","exact time"), "")</f>
        <v>28.44</v>
      </c>
      <c r="K26" s="29">
        <f>IF(ISNUMBER(_xll.PIArcVal(K$5,$C26, 0,"TPI","exact time"))=TRUE,_xll.PIArcVal(K$5,$C26, 0,"TPI","exact time"),"")</f>
        <v>23.491</v>
      </c>
      <c r="L26" s="9">
        <f>IF(ISNUMBER(_xll.PIArcVal(K$5,$D26, 0,"TPI","exact time"))=TRUE, _xll.PIArcVal(K$5,$D26, 0,"TPI","exact time"), "")</f>
        <v>19.402999999999999</v>
      </c>
      <c r="M26" s="29">
        <f>IF(ISNUMBER(_xll.PIArcVal(M$5,$C26, 0,"TPI","exact time"))=TRUE,_xll.PIArcVal(M$5,$C26, 0,"TPI","exact time"),"")</f>
        <v>7.5999999999999998E-2</v>
      </c>
      <c r="N26" s="9">
        <f>IF(ISNUMBER(_xll.PIArcVal(M$5,$D26, 0,"TPI","exact time"))=TRUE, _xll.PIArcVal(M$5,$D26, 0,"TPI","exact time"), "")</f>
        <v>4.5999999999999999E-2</v>
      </c>
      <c r="O26" s="29">
        <f>IF(ISNUMBER(_xll.PIArcVal(O$5,$C26, 0,"TPI","exact time"))=TRUE,_xll.PIArcVal(O$5,$C26, 0,"TPI","exact time"),"")</f>
        <v>26.89</v>
      </c>
      <c r="P26" s="9">
        <f>IF(ISNUMBER(_xll.PIArcVal(O$5,$D26, 0,"TPI","exact time"))=TRUE, _xll.PIArcVal(O$5,$D26, 0,"TPI","exact time"), "")</f>
        <v>29.21</v>
      </c>
      <c r="Q26" s="29">
        <f>IF(ISNUMBER(_xll.PIArcVal(Q$5,$C26, 0,"TPI","exact time"))=TRUE,_xll.PIArcVal(Q$5,$C26, 0,"TPI","exact time"),"")</f>
        <v>14.24</v>
      </c>
      <c r="R26" s="29">
        <f>IF(ISNUMBER(_xll.PIArcVal(R$5,$D26, 0,"TPI","exact time"))=TRUE, _xll.PIArcVal(R$5,$D26, 0,"TPI","exact time"), "")</f>
        <v>18.72</v>
      </c>
      <c r="S26" s="29" t="str">
        <f>IF(ISNUMBER(_xll.PIArcVal(S$5,$C26, 0,"TPI","exact time"))=TRUE,_xll.PIArcVal(S$5,$C26, 0,"TPI","exact time"),"")</f>
        <v/>
      </c>
      <c r="T26" s="9">
        <f>IF(ISNUMBER(_xll.PIArcVal(S$5,$D26, 0,"TPI","exact time"))=TRUE, _xll.PIArcVal(S$5,$D26, 0,"TPI","exact time"), "")</f>
        <v>0.68</v>
      </c>
      <c r="U26" s="29" t="str">
        <f>IF(ISNUMBER(_xll.PIArcVal(U$5,$C26, 0,"TPI","exact time"))=TRUE,_xll.PIArcVal(U$5,$C26, 0,"TPI","exact time"),"")</f>
        <v/>
      </c>
      <c r="V26" s="9">
        <f>IF(ISNUMBER(_xll.PIArcVal(U$5,$D26, 0,"TPI","exact time"))=TRUE, _xll.PIArcVal(U$5,$D26, 0,"TPI","exact time"), "")</f>
        <v>56.656999999999996</v>
      </c>
      <c r="W26" s="29" t="str">
        <f>IF(ISNUMBER(_xll.PIArcVal(W$5,$C26, 0,"TPI","exact time"))=TRUE,_xll.PIArcVal(W$5,$C26, 0,"TPI","exact time"),"")</f>
        <v/>
      </c>
      <c r="X26" s="9">
        <f>IF(ISNUMBER(_xll.PIArcVal(W$5,$D26, 0,"TPI","exact time"))=TRUE, _xll.PIArcVal(W$5,$D26, 0,"TPI","exact time"), "")</f>
        <v>1.099</v>
      </c>
      <c r="Y26" s="29" t="str">
        <f>IF(ISNUMBER(_xll.PIArcVal(Y$5,$C26, 0,"TPI","exact time"))=TRUE,_xll.PIArcVal(Y$5,$C26, 0,"TPI","exact time"),"")</f>
        <v/>
      </c>
      <c r="Z26" s="9">
        <f>IF(ISNUMBER(_xll.PIArcVal(Z$5,$D26, 0,"TPI","exact time"))=TRUE, _xll.PIArcVal(Z$5,$D26, 0,"TPI","exact time"), "")</f>
        <v>2.11</v>
      </c>
    </row>
    <row r="27" spans="1:26" ht="13.5" thickBot="1" x14ac:dyDescent="0.25">
      <c r="A27">
        <f t="shared" si="3"/>
        <v>21</v>
      </c>
      <c r="B27" s="28">
        <f t="shared" si="0"/>
        <v>46268</v>
      </c>
      <c r="C27" s="30">
        <f t="shared" si="1"/>
        <v>46268.3125</v>
      </c>
      <c r="D27" s="30">
        <f t="shared" si="2"/>
        <v>46268.8125</v>
      </c>
      <c r="E27" s="29">
        <f>IF(ISNUMBER(_xll.PIArcVal(E$5,$C27, 0,"TPI","exact time"))=TRUE,_xll.PIArcVal(E$5,$C27, 0,"TPI","exact time"),"")</f>
        <v>23.431999999999999</v>
      </c>
      <c r="F27" s="9">
        <f>IF(ISNUMBER(_xll.PIArcVal(E$5,$D27, 0,"TPI","exact time"))=TRUE, _xll.PIArcVal(E$5,$D27, 0,"TPI","exact time"), "")</f>
        <v>21.99</v>
      </c>
      <c r="G27" s="29">
        <f>IF(ISNUMBER(_xll.PIArcVal(G$5,$C27, 0,"TPI","exact time"))=TRUE,_xll.PIArcVal(G$5,$C27, 0,"TPI","exact time"),"")</f>
        <v>2.0859999999999999</v>
      </c>
      <c r="H27" s="9">
        <f>IF(ISNUMBER(_xll.PIArcVal(G$5,$D27, 0,"TPI","exact time"))=TRUE, _xll.PIArcVal(G$5,$D27, 0,"TPI","exact time"), "")</f>
        <v>2.048</v>
      </c>
      <c r="I27" s="29">
        <f>IF(ISNUMBER(_xll.PIArcVal(I$5,$C27, 0,"TPI","exact time"))=TRUE,_xll.PIArcVal(I$5,$C27, 0,"TPI","exact time"),"")</f>
        <v>30</v>
      </c>
      <c r="J27" s="9">
        <f>IF(ISNUMBER(_xll.PIArcVal(I$5,$D27, 0,"TPI","exact time"))=TRUE, _xll.PIArcVal(I$5,$D27, 0,"TPI","exact time"), "")</f>
        <v>30.22</v>
      </c>
      <c r="K27" s="29">
        <f>IF(ISNUMBER(_xll.PIArcVal(K$5,$C27, 0,"TPI","exact time"))=TRUE,_xll.PIArcVal(K$5,$C27, 0,"TPI","exact time"),"")</f>
        <v>23.382999999999999</v>
      </c>
      <c r="L27" s="9">
        <f>IF(ISNUMBER(_xll.PIArcVal(K$5,$D27, 0,"TPI","exact time"))=TRUE, _xll.PIArcVal(K$5,$D27, 0,"TPI","exact time"), "")</f>
        <v>22.786000000000001</v>
      </c>
      <c r="M27" s="29">
        <f>IF(ISNUMBER(_xll.PIArcVal(M$5,$C27, 0,"TPI","exact time"))=TRUE,_xll.PIArcVal(M$5,$C27, 0,"TPI","exact time"),"")</f>
        <v>7.2999999999999995E-2</v>
      </c>
      <c r="N27" s="9">
        <f>IF(ISNUMBER(_xll.PIArcVal(M$5,$D27, 0,"TPI","exact time"))=TRUE, _xll.PIArcVal(M$5,$D27, 0,"TPI","exact time"), "")</f>
        <v>4.1000000000000002E-2</v>
      </c>
      <c r="O27" s="29">
        <f>IF(ISNUMBER(_xll.PIArcVal(O$5,$C27, 0,"TPI","exact time"))=TRUE,_xll.PIArcVal(O$5,$C27, 0,"TPI","exact time"),"")</f>
        <v>31.46</v>
      </c>
      <c r="P27" s="9">
        <f>IF(ISNUMBER(_xll.PIArcVal(O$5,$D27, 0,"TPI","exact time"))=TRUE, _xll.PIArcVal(O$5,$D27, 0,"TPI","exact time"), "")</f>
        <v>31.29</v>
      </c>
      <c r="Q27" s="29">
        <f>IF(ISNUMBER(_xll.PIArcVal(Q$5,$C27, 0,"TPI","exact time"))=TRUE,_xll.PIArcVal(Q$5,$C27, 0,"TPI","exact time"),"")</f>
        <v>9.48</v>
      </c>
      <c r="R27" s="29">
        <f>IF(ISNUMBER(_xll.PIArcVal(R$5,$D27, 0,"TPI","exact time"))=TRUE, _xll.PIArcVal(R$5,$D27, 0,"TPI","exact time"), "")</f>
        <v>11</v>
      </c>
      <c r="S27" s="29">
        <f>IF(ISNUMBER(_xll.PIArcVal(S$5,$C27, 0,"TPI","exact time"))=TRUE,_xll.PIArcVal(S$5,$C27, 0,"TPI","exact time"),"")</f>
        <v>0.92400000000000004</v>
      </c>
      <c r="T27" s="9">
        <f>IF(ISNUMBER(_xll.PIArcVal(S$5,$D27, 0,"TPI","exact time"))=TRUE, _xll.PIArcVal(S$5,$D27, 0,"TPI","exact time"), "")</f>
        <v>0.56999999999999995</v>
      </c>
      <c r="U27" s="29">
        <f>IF(ISNUMBER(_xll.PIArcVal(U$5,$C27, 0,"TPI","exact time"))=TRUE,_xll.PIArcVal(U$5,$C27, 0,"TPI","exact time"),"")</f>
        <v>55.795999999999999</v>
      </c>
      <c r="V27" s="9">
        <f>IF(ISNUMBER(_xll.PIArcVal(U$5,$D27, 0,"TPI","exact time"))=TRUE, _xll.PIArcVal(U$5,$D27, 0,"TPI","exact time"), "")</f>
        <v>57.256999999999998</v>
      </c>
      <c r="W27" s="29">
        <f>IF(ISNUMBER(_xll.PIArcVal(W$5,$C27, 0,"TPI","exact time"))=TRUE,_xll.PIArcVal(W$5,$C27, 0,"TPI","exact time"),"")</f>
        <v>1.2390000000000001</v>
      </c>
      <c r="X27" s="9">
        <f>IF(ISNUMBER(_xll.PIArcVal(W$5,$D27, 0,"TPI","exact time"))=TRUE, _xll.PIArcVal(W$5,$D27, 0,"TPI","exact time"), "")</f>
        <v>0.83199999999999996</v>
      </c>
      <c r="Y27" s="29">
        <f>IF(ISNUMBER(_xll.PIArcVal(Y$5,$C27, 0,"TPI","exact time"))=TRUE,_xll.PIArcVal(Y$5,$C27, 0,"TPI","exact time"),"")</f>
        <v>2.94</v>
      </c>
      <c r="Z27" s="9">
        <f>IF(ISNUMBER(_xll.PIArcVal(Z$5,$D27, 0,"TPI","exact time"))=TRUE, _xll.PIArcVal(Z$5,$D27, 0,"TPI","exact time"), "")</f>
        <v>1.82</v>
      </c>
    </row>
    <row r="28" spans="1:26" ht="13.5" thickBot="1" x14ac:dyDescent="0.25">
      <c r="A28">
        <f t="shared" si="3"/>
        <v>22</v>
      </c>
      <c r="B28" s="28">
        <f t="shared" si="0"/>
        <v>46269</v>
      </c>
      <c r="C28" s="30">
        <f t="shared" si="1"/>
        <v>46269.3125</v>
      </c>
      <c r="D28" s="30">
        <f t="shared" si="2"/>
        <v>46269.8125</v>
      </c>
      <c r="E28" s="29">
        <f>IF(ISNUMBER(_xll.PIArcVal(E$5,$C28, 0,"TPI","exact time"))=TRUE,_xll.PIArcVal(E$5,$C28, 0,"TPI","exact time"),"")</f>
        <v>18.905000000000001</v>
      </c>
      <c r="F28" s="9">
        <f>IF(ISNUMBER(_xll.PIArcVal(E$5,$D28, 0,"TPI","exact time"))=TRUE, _xll.PIArcVal(E$5,$D28, 0,"TPI","exact time"), "")</f>
        <v>23.681000000000001</v>
      </c>
      <c r="G28" s="29">
        <f>IF(ISNUMBER(_xll.PIArcVal(G$5,$C28, 0,"TPI","exact time"))=TRUE,_xll.PIArcVal(G$5,$C28, 0,"TPI","exact time"),"")</f>
        <v>1.381</v>
      </c>
      <c r="H28" s="9">
        <f>IF(ISNUMBER(_xll.PIArcVal(G$5,$D28, 0,"TPI","exact time"))=TRUE, _xll.PIArcVal(G$5,$D28, 0,"TPI","exact time"), "")</f>
        <v>2.2570000000000001</v>
      </c>
      <c r="I28" s="29">
        <f>IF(ISNUMBER(_xll.PIArcVal(I$5,$C28, 0,"TPI","exact time"))=TRUE,_xll.PIArcVal(I$5,$C28, 0,"TPI","exact time"),"")</f>
        <v>29.32</v>
      </c>
      <c r="J28" s="9">
        <f>IF(ISNUMBER(_xll.PIArcVal(I$5,$D28, 0,"TPI","exact time"))=TRUE, _xll.PIArcVal(I$5,$D28, 0,"TPI","exact time"), "")</f>
        <v>30.21</v>
      </c>
      <c r="K28" s="29">
        <f>IF(ISNUMBER(_xll.PIArcVal(K$5,$C28, 0,"TPI","exact time"))=TRUE,_xll.PIArcVal(K$5,$C28, 0,"TPI","exact time"),"")</f>
        <v>21.640999999999998</v>
      </c>
      <c r="L28" s="9">
        <f>IF(ISNUMBER(_xll.PIArcVal(K$5,$D28, 0,"TPI","exact time"))=TRUE, _xll.PIArcVal(K$5,$D28, 0,"TPI","exact time"), "")</f>
        <v>25.173999999999999</v>
      </c>
      <c r="M28" s="29">
        <f>IF(ISNUMBER(_xll.PIArcVal(M$5,$C28, 0,"TPI","exact time"))=TRUE,_xll.PIArcVal(M$5,$C28, 0,"TPI","exact time"),"")</f>
        <v>0.14099999999999999</v>
      </c>
      <c r="N28" s="9">
        <f>IF(ISNUMBER(_xll.PIArcVal(M$5,$D28, 0,"TPI","exact time"))=TRUE, _xll.PIArcVal(M$5,$D28, 0,"TPI","exact time"), "")</f>
        <v>5.1999999999999998E-2</v>
      </c>
      <c r="O28" s="29">
        <f>IF(ISNUMBER(_xll.PIArcVal(O$5,$C28, 0,"TPI","exact time"))=TRUE,_xll.PIArcVal(O$5,$C28, 0,"TPI","exact time"),"")</f>
        <v>29.01</v>
      </c>
      <c r="P28" s="9">
        <f>IF(ISNUMBER(_xll.PIArcVal(O$5,$D28, 0,"TPI","exact time"))=TRUE, _xll.PIArcVal(O$5,$D28, 0,"TPI","exact time"), "")</f>
        <v>31.45</v>
      </c>
      <c r="Q28" s="29">
        <f>IF(ISNUMBER(_xll.PIArcVal(Q$5,$C28, 0,"TPI","exact time"))=TRUE,_xll.PIArcVal(Q$5,$C28, 0,"TPI","exact time"),"")</f>
        <v>13.56</v>
      </c>
      <c r="R28" s="29">
        <f>IF(ISNUMBER(_xll.PIArcVal(R$5,$D28, 0,"TPI","exact time"))=TRUE, _xll.PIArcVal(R$5,$D28, 0,"TPI","exact time"), "")</f>
        <v>8.14</v>
      </c>
      <c r="S28" s="29">
        <f>IF(ISNUMBER(_xll.PIArcVal(S$5,$C28, 0,"TPI","exact time"))=TRUE,_xll.PIArcVal(S$5,$C28, 0,"TPI","exact time"),"")</f>
        <v>0.39300000000000002</v>
      </c>
      <c r="T28" s="9">
        <f>IF(ISNUMBER(_xll.PIArcVal(S$5,$D28, 0,"TPI","exact time"))=TRUE, _xll.PIArcVal(S$5,$D28, 0,"TPI","exact time"), "")</f>
        <v>0.46800000000000003</v>
      </c>
      <c r="U28" s="29">
        <f>IF(ISNUMBER(_xll.PIArcVal(U$5,$C28, 0,"TPI","exact time"))=TRUE,_xll.PIArcVal(U$5,$C28, 0,"TPI","exact time"),"")</f>
        <v>57.517000000000003</v>
      </c>
      <c r="V28" s="9">
        <f>IF(ISNUMBER(_xll.PIArcVal(U$5,$D28, 0,"TPI","exact time"))=TRUE, _xll.PIArcVal(U$5,$D28, 0,"TPI","exact time"), "")</f>
        <v>57.222999999999999</v>
      </c>
      <c r="W28" s="29">
        <f>IF(ISNUMBER(_xll.PIArcVal(W$5,$C28, 0,"TPI","exact time"))=TRUE,_xll.PIArcVal(W$5,$C28, 0,"TPI","exact time"),"")</f>
        <v>0.53300000000000003</v>
      </c>
      <c r="X28" s="9">
        <f>IF(ISNUMBER(_xll.PIArcVal(W$5,$D28, 0,"TPI","exact time"))=TRUE, _xll.PIArcVal(W$5,$D28, 0,"TPI","exact time"), "")</f>
        <v>0.63900000000000001</v>
      </c>
      <c r="Y28" s="29">
        <f>IF(ISNUMBER(_xll.PIArcVal(Y$5,$C28, 0,"TPI","exact time"))=TRUE,_xll.PIArcVal(Y$5,$C28, 0,"TPI","exact time"),"")</f>
        <v>2.25</v>
      </c>
      <c r="Z28" s="9">
        <f>IF(ISNUMBER(_xll.PIArcVal(Z$5,$D28, 0,"TPI","exact time"))=TRUE, _xll.PIArcVal(Z$5,$D28, 0,"TPI","exact time"), "")</f>
        <v>2.42</v>
      </c>
    </row>
    <row r="29" spans="1:26" ht="13.5" thickBot="1" x14ac:dyDescent="0.25">
      <c r="A29">
        <f t="shared" si="3"/>
        <v>23</v>
      </c>
      <c r="B29" s="28">
        <f t="shared" si="0"/>
        <v>46270</v>
      </c>
      <c r="C29" s="30">
        <f t="shared" si="1"/>
        <v>46270.3125</v>
      </c>
      <c r="D29" s="30">
        <f t="shared" si="2"/>
        <v>46270.8125</v>
      </c>
      <c r="E29" s="29">
        <f>IF(ISNUMBER(_xll.PIArcVal(E$5,$C29, 0,"TPI","exact time"))=TRUE,_xll.PIArcVal(E$5,$C29, 0,"TPI","exact time"),"")</f>
        <v>17.710999999999999</v>
      </c>
      <c r="F29" s="9">
        <f>IF(ISNUMBER(_xll.PIArcVal(E$5,$D29, 0,"TPI","exact time"))=TRUE, _xll.PIArcVal(E$5,$D29, 0,"TPI","exact time"), "")</f>
        <v>23.971</v>
      </c>
      <c r="G29" s="29">
        <f>IF(ISNUMBER(_xll.PIArcVal(G$5,$C29, 0,"TPI","exact time"))=TRUE,_xll.PIArcVal(G$5,$C29, 0,"TPI","exact time"),"")</f>
        <v>2.0019999999999998</v>
      </c>
      <c r="H29" s="9">
        <f>IF(ISNUMBER(_xll.PIArcVal(G$5,$D29, 0,"TPI","exact time"))=TRUE, _xll.PIArcVal(G$5,$D29, 0,"TPI","exact time"), "")</f>
        <v>1.4410000000000001</v>
      </c>
      <c r="I29" s="29">
        <f>IF(ISNUMBER(_xll.PIArcVal(I$5,$C29, 0,"TPI","exact time"))=TRUE,_xll.PIArcVal(I$5,$C29, 0,"TPI","exact time"),"")</f>
        <v>27.77</v>
      </c>
      <c r="J29" s="9">
        <f>IF(ISNUMBER(_xll.PIArcVal(I$5,$D29, 0,"TPI","exact time"))=TRUE, _xll.PIArcVal(I$5,$D29, 0,"TPI","exact time"), "")</f>
        <v>28.66</v>
      </c>
      <c r="K29" s="29">
        <f>IF(ISNUMBER(_xll.PIArcVal(K$5,$C29, 0,"TPI","exact time"))=TRUE,_xll.PIArcVal(K$5,$C29, 0,"TPI","exact time"),"")</f>
        <v>22.138999999999999</v>
      </c>
      <c r="L29" s="9">
        <f>IF(ISNUMBER(_xll.PIArcVal(K$5,$D29, 0,"TPI","exact time"))=TRUE, _xll.PIArcVal(K$5,$D29, 0,"TPI","exact time"), "")</f>
        <v>26.068999999999999</v>
      </c>
      <c r="M29" s="29">
        <f>IF(ISNUMBER(_xll.PIArcVal(M$5,$C29, 0,"TPI","exact time"))=TRUE,_xll.PIArcVal(M$5,$C29, 0,"TPI","exact time"),"")</f>
        <v>0.57699999999999996</v>
      </c>
      <c r="N29" s="9">
        <f>IF(ISNUMBER(_xll.PIArcVal(M$5,$D29, 0,"TPI","exact time"))=TRUE, _xll.PIArcVal(M$5,$D29, 0,"TPI","exact time"), "")</f>
        <v>4.9000000000000002E-2</v>
      </c>
      <c r="O29" s="29">
        <f>IF(ISNUMBER(_xll.PIArcVal(O$5,$C29, 0,"TPI","exact time"))=TRUE,_xll.PIArcVal(O$5,$C29, 0,"TPI","exact time"),"")</f>
        <v>28.44</v>
      </c>
      <c r="P29" s="9">
        <f>IF(ISNUMBER(_xll.PIArcVal(O$5,$D29, 0,"TPI","exact time"))=TRUE, _xll.PIArcVal(O$5,$D29, 0,"TPI","exact time"), "")</f>
        <v>30.07</v>
      </c>
      <c r="Q29" s="29">
        <f>IF(ISNUMBER(_xll.PIArcVal(Q$5,$C29, 0,"TPI","exact time"))=TRUE,_xll.PIArcVal(Q$5,$C29, 0,"TPI","exact time"),"")</f>
        <v>14.24</v>
      </c>
      <c r="R29" s="29">
        <f>IF(ISNUMBER(_xll.PIArcVal(R$5,$D29, 0,"TPI","exact time"))=TRUE, _xll.PIArcVal(R$5,$D29, 0,"TPI","exact time"), "")</f>
        <v>7.18</v>
      </c>
      <c r="S29" s="29">
        <f>IF(ISNUMBER(_xll.PIArcVal(S$5,$C29, 0,"TPI","exact time"))=TRUE,_xll.PIArcVal(S$5,$C29, 0,"TPI","exact time"),"")</f>
        <v>0.41199999999999998</v>
      </c>
      <c r="T29" s="9">
        <f>IF(ISNUMBER(_xll.PIArcVal(S$5,$D29, 0,"TPI","exact time"))=TRUE, _xll.PIArcVal(S$5,$D29, 0,"TPI","exact time"), "")</f>
        <v>0.65100000000000002</v>
      </c>
      <c r="U29" s="29">
        <f>IF(ISNUMBER(_xll.PIArcVal(U$5,$C29, 0,"TPI","exact time"))=TRUE,_xll.PIArcVal(U$5,$C29, 0,"TPI","exact time"),"")</f>
        <v>57.93</v>
      </c>
      <c r="V29" s="9">
        <f>IF(ISNUMBER(_xll.PIArcVal(U$5,$D29, 0,"TPI","exact time"))=TRUE, _xll.PIArcVal(U$5,$D29, 0,"TPI","exact time"), "")</f>
        <v>57.598999999999997</v>
      </c>
      <c r="W29" s="29">
        <f>IF(ISNUMBER(_xll.PIArcVal(W$5,$C29, 0,"TPI","exact time"))=TRUE,_xll.PIArcVal(W$5,$C29, 0,"TPI","exact time"),"")</f>
        <v>0.57399999999999995</v>
      </c>
      <c r="X29" s="9">
        <f>IF(ISNUMBER(_xll.PIArcVal(W$5,$D29, 0,"TPI","exact time"))=TRUE, _xll.PIArcVal(W$5,$D29, 0,"TPI","exact time"), "")</f>
        <v>0.72899999999999998</v>
      </c>
      <c r="Y29" s="29">
        <f>IF(ISNUMBER(_xll.PIArcVal(Y$5,$C29, 0,"TPI","exact time"))=TRUE,_xll.PIArcVal(Y$5,$C29, 0,"TPI","exact time"),"")</f>
        <v>1.45</v>
      </c>
      <c r="Z29" s="9">
        <f>IF(ISNUMBER(_xll.PIArcVal(Z$5,$D29, 0,"TPI","exact time"))=TRUE, _xll.PIArcVal(Z$5,$D29, 0,"TPI","exact time"), "")</f>
        <v>1.37</v>
      </c>
    </row>
    <row r="30" spans="1:26" ht="13.5" thickBot="1" x14ac:dyDescent="0.25">
      <c r="A30">
        <f t="shared" si="3"/>
        <v>24</v>
      </c>
      <c r="B30" s="28">
        <f t="shared" si="0"/>
        <v>46271</v>
      </c>
      <c r="C30" s="30">
        <f t="shared" si="1"/>
        <v>46271.3125</v>
      </c>
      <c r="D30" s="30">
        <f t="shared" si="2"/>
        <v>46271.8125</v>
      </c>
      <c r="E30" s="29">
        <f>IF(ISNUMBER(_xll.PIArcVal(E$5,$C30, 0,"TPI","exact time"))=TRUE,_xll.PIArcVal(E$5,$C30, 0,"TPI","exact time"),"")</f>
        <v>21.791</v>
      </c>
      <c r="F30" s="9">
        <f>IF(ISNUMBER(_xll.PIArcVal(E$5,$D30, 0,"TPI","exact time"))=TRUE, _xll.PIArcVal(E$5,$D30, 0,"TPI","exact time"), "")</f>
        <v>24.57</v>
      </c>
      <c r="G30" s="29">
        <f>IF(ISNUMBER(_xll.PIArcVal(G$5,$C30, 0,"TPI","exact time"))=TRUE,_xll.PIArcVal(G$5,$C30, 0,"TPI","exact time"),"")</f>
        <v>3.226</v>
      </c>
      <c r="H30" s="9">
        <f>IF(ISNUMBER(_xll.PIArcVal(G$5,$D30, 0,"TPI","exact time"))=TRUE, _xll.PIArcVal(G$5,$D30, 0,"TPI","exact time"), "")</f>
        <v>2.9020000000000001</v>
      </c>
      <c r="I30" s="29">
        <f>IF(ISNUMBER(_xll.PIArcVal(I$5,$C30, 0,"TPI","exact time"))=TRUE,_xll.PIArcVal(I$5,$C30, 0,"TPI","exact time"),"")</f>
        <v>26.86</v>
      </c>
      <c r="J30" s="9">
        <f>IF(ISNUMBER(_xll.PIArcVal(I$5,$D30, 0,"TPI","exact time"))=TRUE, _xll.PIArcVal(I$5,$D30, 0,"TPI","exact time"), "")</f>
        <v>26.57</v>
      </c>
      <c r="K30" s="29">
        <f>IF(ISNUMBER(_xll.PIArcVal(K$5,$C30, 0,"TPI","exact time"))=TRUE,_xll.PIArcVal(K$5,$C30, 0,"TPI","exact time"),"")</f>
        <v>23.431999999999999</v>
      </c>
      <c r="L30" s="9">
        <f>IF(ISNUMBER(_xll.PIArcVal(K$5,$D30, 0,"TPI","exact time"))=TRUE, _xll.PIArcVal(K$5,$D30, 0,"TPI","exact time"), "")</f>
        <v>25.37</v>
      </c>
      <c r="M30" s="29">
        <f>IF(ISNUMBER(_xll.PIArcVal(M$5,$C30, 0,"TPI","exact time"))=TRUE,_xll.PIArcVal(M$5,$C30, 0,"TPI","exact time"),"")</f>
        <v>3.9E-2</v>
      </c>
      <c r="N30" s="9">
        <f>IF(ISNUMBER(_xll.PIArcVal(M$5,$D30, 0,"TPI","exact time"))=TRUE, _xll.PIArcVal(M$5,$D30, 0,"TPI","exact time"), "")</f>
        <v>4.9000000000000002E-2</v>
      </c>
      <c r="O30" s="29">
        <f>IF(ISNUMBER(_xll.PIArcVal(O$5,$C30, 0,"TPI","exact time"))=TRUE,_xll.PIArcVal(O$5,$C30, 0,"TPI","exact time"),"")</f>
        <v>29.09</v>
      </c>
      <c r="P30" s="9">
        <f>IF(ISNUMBER(_xll.PIArcVal(O$5,$D30, 0,"TPI","exact time"))=TRUE, _xll.PIArcVal(O$5,$D30, 0,"TPI","exact time"), "")</f>
        <v>28.68</v>
      </c>
      <c r="Q30" s="29">
        <f>IF(ISNUMBER(_xll.PIArcVal(Q$5,$C30, 0,"TPI","exact time"))=TRUE,_xll.PIArcVal(Q$5,$C30, 0,"TPI","exact time"),"")</f>
        <v>10.42</v>
      </c>
      <c r="R30" s="29">
        <f>IF(ISNUMBER(_xll.PIArcVal(R$5,$D30, 0,"TPI","exact time"))=TRUE, _xll.PIArcVal(R$5,$D30, 0,"TPI","exact time"), "")</f>
        <v>8.52</v>
      </c>
      <c r="S30" s="29">
        <f>IF(ISNUMBER(_xll.PIArcVal(S$5,$C30, 0,"TPI","exact time"))=TRUE,_xll.PIArcVal(S$5,$C30, 0,"TPI","exact time"),"")</f>
        <v>0.71699999999999997</v>
      </c>
      <c r="T30" s="9">
        <f>IF(ISNUMBER(_xll.PIArcVal(S$5,$D30, 0,"TPI","exact time"))=TRUE, _xll.PIArcVal(S$5,$D30, 0,"TPI","exact time"), "")</f>
        <v>0.52700000000000002</v>
      </c>
      <c r="U30" s="29">
        <f>IF(ISNUMBER(_xll.PIArcVal(U$5,$C30, 0,"TPI","exact time"))=TRUE,_xll.PIArcVal(U$5,$C30, 0,"TPI","exact time"),"")</f>
        <v>57.313000000000002</v>
      </c>
      <c r="V30" s="9">
        <f>IF(ISNUMBER(_xll.PIArcVal(U$5,$D30, 0,"TPI","exact time"))=TRUE, _xll.PIArcVal(U$5,$D30, 0,"TPI","exact time"), "")</f>
        <v>57.6</v>
      </c>
      <c r="W30" s="29">
        <f>IF(ISNUMBER(_xll.PIArcVal(W$5,$C30, 0,"TPI","exact time"))=TRUE,_xll.PIArcVal(W$5,$C30, 0,"TPI","exact time"),"")</f>
        <v>1.0660000000000001</v>
      </c>
      <c r="X30" s="9">
        <f>IF(ISNUMBER(_xll.PIArcVal(W$5,$D30, 0,"TPI","exact time"))=TRUE, _xll.PIArcVal(W$5,$D30, 0,"TPI","exact time"), "")</f>
        <v>0.72099999999999997</v>
      </c>
      <c r="Y30" s="29">
        <f>IF(ISNUMBER(_xll.PIArcVal(Y$5,$C30, 0,"TPI","exact time"))=TRUE,_xll.PIArcVal(Y$5,$C30, 0,"TPI","exact time"),"")</f>
        <v>1.04</v>
      </c>
      <c r="Z30" s="9">
        <f>IF(ISNUMBER(_xll.PIArcVal(Z$5,$D30, 0,"TPI","exact time"))=TRUE, _xll.PIArcVal(Z$5,$D30, 0,"TPI","exact time"), "")</f>
        <v>1.54</v>
      </c>
    </row>
    <row r="31" spans="1:26" ht="13.5" thickBot="1" x14ac:dyDescent="0.25">
      <c r="A31">
        <f t="shared" si="3"/>
        <v>25</v>
      </c>
      <c r="B31" s="28">
        <f t="shared" si="0"/>
        <v>46272</v>
      </c>
      <c r="C31" s="30">
        <f t="shared" si="1"/>
        <v>46272.3125</v>
      </c>
      <c r="D31" s="30">
        <f t="shared" si="2"/>
        <v>46272.8125</v>
      </c>
      <c r="E31" s="29">
        <f>IF(ISNUMBER(_xll.PIArcVal(E$5,$C31, 0,"TPI","exact time"))=TRUE,_xll.PIArcVal(E$5,$C31, 0,"TPI","exact time"),"")</f>
        <v>24.875</v>
      </c>
      <c r="F31" s="9">
        <f>IF(ISNUMBER(_xll.PIArcVal(E$5,$D31, 0,"TPI","exact time"))=TRUE, _xll.PIArcVal(E$5,$D31, 0,"TPI","exact time"), "")</f>
        <v>26.663</v>
      </c>
      <c r="G31" s="29">
        <f>IF(ISNUMBER(_xll.PIArcVal(G$5,$C31, 0,"TPI","exact time"))=TRUE,_xll.PIArcVal(G$5,$C31, 0,"TPI","exact time"),"")</f>
        <v>2.8490000000000002</v>
      </c>
      <c r="H31" s="9">
        <f>IF(ISNUMBER(_xll.PIArcVal(G$5,$D31, 0,"TPI","exact time"))=TRUE, _xll.PIArcVal(G$5,$D31, 0,"TPI","exact time"), "")</f>
        <v>1.901</v>
      </c>
      <c r="I31" s="29">
        <f>IF(ISNUMBER(_xll.PIArcVal(I$5,$C31, 0,"TPI","exact time"))=TRUE,_xll.PIArcVal(I$5,$C31, 0,"TPI","exact time"),"")</f>
        <v>27.3</v>
      </c>
      <c r="J31" s="9">
        <f>IF(ISNUMBER(_xll.PIArcVal(I$5,$D31, 0,"TPI","exact time"))=TRUE, _xll.PIArcVal(I$5,$D31, 0,"TPI","exact time"), "")</f>
        <v>27.66</v>
      </c>
      <c r="K31" s="29">
        <f>IF(ISNUMBER(_xll.PIArcVal(K$5,$C31, 0,"TPI","exact time"))=TRUE,_xll.PIArcVal(K$5,$C31, 0,"TPI","exact time"),"")</f>
        <v>26.068999999999999</v>
      </c>
      <c r="L31" s="9">
        <f>IF(ISNUMBER(_xll.PIArcVal(K$5,$D31, 0,"TPI","exact time"))=TRUE, _xll.PIArcVal(K$5,$D31, 0,"TPI","exact time"), "")</f>
        <v>26.465</v>
      </c>
      <c r="M31" s="29">
        <f>IF(ISNUMBER(_xll.PIArcVal(M$5,$C31, 0,"TPI","exact time"))=TRUE,_xll.PIArcVal(M$5,$C31, 0,"TPI","exact time"),"")</f>
        <v>6.5000000000000002E-2</v>
      </c>
      <c r="N31" s="9">
        <f>IF(ISNUMBER(_xll.PIArcVal(M$5,$D31, 0,"TPI","exact time"))=TRUE, _xll.PIArcVal(M$5,$D31, 0,"TPI","exact time"), "")</f>
        <v>5.8999999999999997E-2</v>
      </c>
      <c r="O31" s="29">
        <f>IF(ISNUMBER(_xll.PIArcVal(O$5,$C31, 0,"TPI","exact time"))=TRUE,_xll.PIArcVal(O$5,$C31, 0,"TPI","exact time"),"")</f>
        <v>27.87</v>
      </c>
      <c r="P31" s="9">
        <f>IF(ISNUMBER(_xll.PIArcVal(O$5,$D31, 0,"TPI","exact time"))=TRUE, _xll.PIArcVal(O$5,$D31, 0,"TPI","exact time"), "")</f>
        <v>28.96</v>
      </c>
      <c r="Q31" s="29">
        <f>IF(ISNUMBER(_xll.PIArcVal(Q$5,$C31, 0,"TPI","exact time"))=TRUE,_xll.PIArcVal(Q$5,$C31, 0,"TPI","exact time"),"")</f>
        <v>10.74</v>
      </c>
      <c r="R31" s="29">
        <f>IF(ISNUMBER(_xll.PIArcVal(R$5,$D31, 0,"TPI","exact time"))=TRUE, _xll.PIArcVal(R$5,$D31, 0,"TPI","exact time"), "")</f>
        <v>10.199999999999999</v>
      </c>
      <c r="S31" s="29">
        <f>IF(ISNUMBER(_xll.PIArcVal(S$5,$C31, 0,"TPI","exact time"))=TRUE,_xll.PIArcVal(S$5,$C31, 0,"TPI","exact time"),"")</f>
        <v>0.67900000000000005</v>
      </c>
      <c r="T31" s="9">
        <f>IF(ISNUMBER(_xll.PIArcVal(S$5,$D31, 0,"TPI","exact time"))=TRUE, _xll.PIArcVal(S$5,$D31, 0,"TPI","exact time"), "")</f>
        <v>0.48499999999999999</v>
      </c>
      <c r="U31" s="29">
        <f>IF(ISNUMBER(_xll.PIArcVal(U$5,$C31, 0,"TPI","exact time"))=TRUE,_xll.PIArcVal(U$5,$C31, 0,"TPI","exact time"),"")</f>
        <v>55.353000000000002</v>
      </c>
      <c r="V31" s="9">
        <f>IF(ISNUMBER(_xll.PIArcVal(U$5,$D31, 0,"TPI","exact time"))=TRUE, _xll.PIArcVal(U$5,$D31, 0,"TPI","exact time"), "")</f>
        <v>57.158999999999999</v>
      </c>
      <c r="W31" s="29">
        <f>IF(ISNUMBER(_xll.PIArcVal(W$5,$C31, 0,"TPI","exact time"))=TRUE,_xll.PIArcVal(W$5,$C31, 0,"TPI","exact time"),"")</f>
        <v>2.1579999999999999</v>
      </c>
      <c r="X31" s="9">
        <f>IF(ISNUMBER(_xll.PIArcVal(W$5,$D31, 0,"TPI","exact time"))=TRUE, _xll.PIArcVal(W$5,$D31, 0,"TPI","exact time"), "")</f>
        <v>0.68799999999999994</v>
      </c>
      <c r="Y31" s="29">
        <f>IF(ISNUMBER(_xll.PIArcVal(Y$5,$C31, 0,"TPI","exact time"))=TRUE,_xll.PIArcVal(Y$5,$C31, 0,"TPI","exact time"),"")</f>
        <v>2.0099999999999998</v>
      </c>
      <c r="Z31" s="9">
        <f>IF(ISNUMBER(_xll.PIArcVal(Z$5,$D31, 0,"TPI","exact time"))=TRUE, _xll.PIArcVal(Z$5,$D31, 0,"TPI","exact time"), "")</f>
        <v>2.4</v>
      </c>
    </row>
    <row r="32" spans="1:26" ht="13.5" thickBot="1" x14ac:dyDescent="0.25">
      <c r="A32">
        <f t="shared" si="3"/>
        <v>26</v>
      </c>
      <c r="B32" s="28">
        <f t="shared" si="0"/>
        <v>46273</v>
      </c>
      <c r="C32" s="30">
        <f t="shared" si="1"/>
        <v>46273.3125</v>
      </c>
      <c r="D32" s="30">
        <f t="shared" si="2"/>
        <v>46273.8125</v>
      </c>
      <c r="E32" s="29">
        <f>IF(ISNUMBER(_xll.PIArcVal(E$5,$C32, 0,"TPI","exact time"))=TRUE,_xll.PIArcVal(E$5,$C32, 0,"TPI","exact time"),"")</f>
        <v>23.122</v>
      </c>
      <c r="F32" s="9">
        <f>IF(ISNUMBER(_xll.PIArcVal(E$5,$D32, 0,"TPI","exact time"))=TRUE, _xll.PIArcVal(E$5,$D32, 0,"TPI","exact time"), "")</f>
        <v>25.068000000000001</v>
      </c>
      <c r="G32" s="29">
        <f>IF(ISNUMBER(_xll.PIArcVal(G$5,$C32, 0,"TPI","exact time"))=TRUE,_xll.PIArcVal(G$5,$C32, 0,"TPI","exact time"),"")</f>
        <v>3.302</v>
      </c>
      <c r="H32" s="9">
        <f>IF(ISNUMBER(_xll.PIArcVal(G$5,$D32, 0,"TPI","exact time"))=TRUE, _xll.PIArcVal(G$5,$D32, 0,"TPI","exact time"), "")</f>
        <v>3.0830000000000002</v>
      </c>
      <c r="I32" s="29">
        <f>IF(ISNUMBER(_xll.PIArcVal(I$5,$C32, 0,"TPI","exact time"))=TRUE,_xll.PIArcVal(I$5,$C32, 0,"TPI","exact time"),"")</f>
        <v>26.32</v>
      </c>
      <c r="J32" s="9">
        <f>IF(ISNUMBER(_xll.PIArcVal(I$5,$D32, 0,"TPI","exact time"))=TRUE, _xll.PIArcVal(I$5,$D32, 0,"TPI","exact time"), "")</f>
        <v>25.8</v>
      </c>
      <c r="K32" s="29">
        <f>IF(ISNUMBER(_xll.PIArcVal(K$5,$C32, 0,"TPI","exact time"))=TRUE,_xll.PIArcVal(K$5,$C32, 0,"TPI","exact time"),"")</f>
        <v>23.571999999999999</v>
      </c>
      <c r="L32" s="9">
        <f>IF(ISNUMBER(_xll.PIArcVal(K$5,$D32, 0,"TPI","exact time"))=TRUE, _xll.PIArcVal(K$5,$D32, 0,"TPI","exact time"), "")</f>
        <v>25.97</v>
      </c>
      <c r="M32" s="29">
        <f>IF(ISNUMBER(_xll.PIArcVal(M$5,$C32, 0,"TPI","exact time"))=TRUE,_xll.PIArcVal(M$5,$C32, 0,"TPI","exact time"),"")</f>
        <v>9.9000000000000005E-2</v>
      </c>
      <c r="N32" s="9">
        <f>IF(ISNUMBER(_xll.PIArcVal(M$5,$D32, 0,"TPI","exact time"))=TRUE, _xll.PIArcVal(M$5,$D32, 0,"TPI","exact time"), "")</f>
        <v>0.106</v>
      </c>
      <c r="O32" s="29">
        <f>IF(ISNUMBER(_xll.PIArcVal(O$5,$C32, 0,"TPI","exact time"))=TRUE,_xll.PIArcVal(O$5,$C32, 0,"TPI","exact time"),"")</f>
        <v>28.31</v>
      </c>
      <c r="P32" s="9">
        <f>IF(ISNUMBER(_xll.PIArcVal(O$5,$D32, 0,"TPI","exact time"))=TRUE, _xll.PIArcVal(O$5,$D32, 0,"TPI","exact time"), "")</f>
        <v>27.45</v>
      </c>
      <c r="Q32" s="29">
        <f>IF(ISNUMBER(_xll.PIArcVal(Q$5,$C32, 0,"TPI","exact time"))=TRUE,_xll.PIArcVal(Q$5,$C32, 0,"TPI","exact time"),"")</f>
        <v>14.64</v>
      </c>
      <c r="R32" s="29">
        <f>IF(ISNUMBER(_xll.PIArcVal(R$5,$D32, 0,"TPI","exact time"))=TRUE, _xll.PIArcVal(R$5,$D32, 0,"TPI","exact time"), "")</f>
        <v>11.24</v>
      </c>
      <c r="S32" s="29">
        <f>IF(ISNUMBER(_xll.PIArcVal(S$5,$C32, 0,"TPI","exact time"))=TRUE,_xll.PIArcVal(S$5,$C32, 0,"TPI","exact time"),"")</f>
        <v>0.54800000000000004</v>
      </c>
      <c r="T32" s="9">
        <f>IF(ISNUMBER(_xll.PIArcVal(S$5,$D32, 0,"TPI","exact time"))=TRUE, _xll.PIArcVal(S$5,$D32, 0,"TPI","exact time"), "")</f>
        <v>0.66200000000000003</v>
      </c>
      <c r="U32" s="29">
        <f>IF(ISNUMBER(_xll.PIArcVal(U$5,$C32, 0,"TPI","exact time"))=TRUE,_xll.PIArcVal(U$5,$C32, 0,"TPI","exact time"),"")</f>
        <v>57.23</v>
      </c>
      <c r="V32" s="9">
        <f>IF(ISNUMBER(_xll.PIArcVal(U$5,$D32, 0,"TPI","exact time"))=TRUE, _xll.PIArcVal(U$5,$D32, 0,"TPI","exact time"), "")</f>
        <v>56.963999999999999</v>
      </c>
      <c r="W32" s="29">
        <f>IF(ISNUMBER(_xll.PIArcVal(W$5,$C32, 0,"TPI","exact time"))=TRUE,_xll.PIArcVal(W$5,$C32, 0,"TPI","exact time"),"")</f>
        <v>0.93100000000000005</v>
      </c>
      <c r="X32" s="9">
        <f>IF(ISNUMBER(_xll.PIArcVal(W$5,$D32, 0,"TPI","exact time"))=TRUE, _xll.PIArcVal(W$5,$D32, 0,"TPI","exact time"), "")</f>
        <v>0.96899999999999997</v>
      </c>
      <c r="Y32" s="29">
        <f>IF(ISNUMBER(_xll.PIArcVal(Y$5,$C32, 0,"TPI","exact time"))=TRUE,_xll.PIArcVal(Y$5,$C32, 0,"TPI","exact time"),"")</f>
        <v>1.68</v>
      </c>
      <c r="Z32" s="9">
        <f>IF(ISNUMBER(_xll.PIArcVal(Z$5,$D32, 0,"TPI","exact time"))=TRUE, _xll.PIArcVal(Z$5,$D32, 0,"TPI","exact time"), "")</f>
        <v>1.9</v>
      </c>
    </row>
    <row r="33" spans="1:26" ht="13.5" thickBot="1" x14ac:dyDescent="0.25">
      <c r="A33">
        <f t="shared" si="3"/>
        <v>27</v>
      </c>
      <c r="B33" s="28">
        <f>+B34-1</f>
        <v>46274</v>
      </c>
      <c r="C33" s="30">
        <f t="shared" si="1"/>
        <v>46274.3125</v>
      </c>
      <c r="D33" s="30">
        <f t="shared" si="2"/>
        <v>46274.8125</v>
      </c>
      <c r="E33" s="29">
        <f>IF(ISNUMBER(_xll.PIArcVal(E$5,$C33, 0,"TPI","exact time"))=TRUE,_xll.PIArcVal(E$5,$C33, 0,"TPI","exact time"),"")</f>
        <v>25.128</v>
      </c>
      <c r="F33" s="9">
        <f>IF(ISNUMBER(_xll.PIArcVal(E$5,$D33, 0,"TPI","exact time"))=TRUE, _xll.PIArcVal(E$5,$D33, 0,"TPI","exact time"), "")</f>
        <v>24.337</v>
      </c>
      <c r="G33" s="29">
        <f>IF(ISNUMBER(_xll.PIArcVal(G$5,$C33, 0,"TPI","exact time"))=TRUE,_xll.PIArcVal(G$5,$C33, 0,"TPI","exact time"),"")</f>
        <v>3.9340000000000002</v>
      </c>
      <c r="H33" s="9">
        <f>IF(ISNUMBER(_xll.PIArcVal(G$5,$D33, 0,"TPI","exact time"))=TRUE, _xll.PIArcVal(G$5,$D33, 0,"TPI","exact time"), "")</f>
        <v>2.57</v>
      </c>
      <c r="I33" s="29">
        <f>IF(ISNUMBER(_xll.PIArcVal(I$5,$C33, 0,"TPI","exact time"))=TRUE,_xll.PIArcVal(I$5,$C33, 0,"TPI","exact time"),"")</f>
        <v>27.26</v>
      </c>
      <c r="J33" s="9">
        <f>IF(ISNUMBER(_xll.PIArcVal(I$5,$D33, 0,"TPI","exact time"))=TRUE, _xll.PIArcVal(I$5,$D33, 0,"TPI","exact time"), "")</f>
        <v>25.95</v>
      </c>
      <c r="K33" s="29">
        <f>IF(ISNUMBER(_xll.PIArcVal(K$5,$C33, 0,"TPI","exact time"))=TRUE,_xll.PIArcVal(K$5,$C33, 0,"TPI","exact time"),"")</f>
        <v>25.227</v>
      </c>
      <c r="L33" s="9">
        <f>IF(ISNUMBER(_xll.PIArcVal(K$5,$D33, 0,"TPI","exact time"))=TRUE, _xll.PIArcVal(K$5,$D33, 0,"TPI","exact time"), "")</f>
        <v>26.167000000000002</v>
      </c>
      <c r="M33" s="29">
        <f>IF(ISNUMBER(_xll.PIArcVal(M$5,$C33, 0,"TPI","exact time"))=TRUE,_xll.PIArcVal(M$5,$C33, 0,"TPI","exact time"),"")</f>
        <v>7.2999999999999995E-2</v>
      </c>
      <c r="N33" s="9">
        <f>IF(ISNUMBER(_xll.PIArcVal(M$5,$D33, 0,"TPI","exact time"))=TRUE, _xll.PIArcVal(M$5,$D33, 0,"TPI","exact time"), "")</f>
        <v>6.2E-2</v>
      </c>
      <c r="O33" s="29">
        <f>IF(ISNUMBER(_xll.PIArcVal(O$5,$C33, 0,"TPI","exact time"))=TRUE,_xll.PIArcVal(O$5,$C33, 0,"TPI","exact time"),"")</f>
        <v>28.8</v>
      </c>
      <c r="P33" s="9">
        <f>IF(ISNUMBER(_xll.PIArcVal(O$5,$D33, 0,"TPI","exact time"))=TRUE, _xll.PIArcVal(O$5,$D33, 0,"TPI","exact time"), "")</f>
        <v>28.28</v>
      </c>
      <c r="Q33" s="29">
        <f>IF(ISNUMBER(_xll.PIArcVal(Q$5,$C33, 0,"TPI","exact time"))=TRUE,_xll.PIArcVal(Q$5,$C33, 0,"TPI","exact time"),"")</f>
        <v>12.44</v>
      </c>
      <c r="R33" s="29">
        <f>IF(ISNUMBER(_xll.PIArcVal(R$5,$D33, 0,"TPI","exact time"))=TRUE, _xll.PIArcVal(R$5,$D33, 0,"TPI","exact time"), "")</f>
        <v>9.86</v>
      </c>
      <c r="S33" s="29">
        <f>IF(ISNUMBER(_xll.PIArcVal(S$5,$C33, 0,"TPI","exact time"))=TRUE,_xll.PIArcVal(S$5,$C33, 0,"TPI","exact time"),"")</f>
        <v>0.73699999999999999</v>
      </c>
      <c r="T33" s="9">
        <f>IF(ISNUMBER(_xll.PIArcVal(S$5,$D33, 0,"TPI","exact time"))=TRUE, _xll.PIArcVal(S$5,$D33, 0,"TPI","exact time"), "")</f>
        <v>0.96899999999999997</v>
      </c>
      <c r="U33" s="29">
        <f>IF(ISNUMBER(_xll.PIArcVal(U$5,$C33, 0,"TPI","exact time"))=TRUE,_xll.PIArcVal(U$5,$C33, 0,"TPI","exact time"),"")</f>
        <v>55.98</v>
      </c>
      <c r="V33" s="9">
        <f>IF(ISNUMBER(_xll.PIArcVal(U$5,$D33, 0,"TPI","exact time"))=TRUE, _xll.PIArcVal(U$5,$D33, 0,"TPI","exact time"), "")</f>
        <v>54.634999999999998</v>
      </c>
      <c r="W33" s="29">
        <f>IF(ISNUMBER(_xll.PIArcVal(W$5,$C33, 0,"TPI","exact time"))=TRUE,_xll.PIArcVal(W$5,$C33, 0,"TPI","exact time"),"")</f>
        <v>1.484</v>
      </c>
      <c r="X33" s="9">
        <f>IF(ISNUMBER(_xll.PIArcVal(W$5,$D33, 0,"TPI","exact time"))=TRUE, _xll.PIArcVal(W$5,$D33, 0,"TPI","exact time"), "")</f>
        <v>1.542</v>
      </c>
      <c r="Y33" s="29">
        <f>IF(ISNUMBER(_xll.PIArcVal(Y$5,$C33, 0,"TPI","exact time"))=TRUE,_xll.PIArcVal(Y$5,$C33, 0,"TPI","exact time"),"")</f>
        <v>2.34</v>
      </c>
      <c r="Z33" s="9">
        <f>IF(ISNUMBER(_xll.PIArcVal(Z$5,$D33, 0,"TPI","exact time"))=TRUE, _xll.PIArcVal(Z$5,$D33, 0,"TPI","exact time"), "")</f>
        <v>4.17</v>
      </c>
    </row>
    <row r="34" spans="1:26" ht="13.5" thickBot="1" x14ac:dyDescent="0.25">
      <c r="A34">
        <f t="shared" si="3"/>
        <v>28</v>
      </c>
      <c r="B34" s="28">
        <f t="shared" si="0"/>
        <v>46275</v>
      </c>
      <c r="C34" s="30">
        <f t="shared" si="1"/>
        <v>46275.3125</v>
      </c>
      <c r="D34" s="30">
        <f t="shared" si="2"/>
        <v>46275.8125</v>
      </c>
      <c r="E34" s="29" t="str">
        <f>IF(ISNUMBER(_xll.PIArcVal(E$5,$C34, 0,"TPI","exact time"))=TRUE,_xll.PIArcVal(E$5,$C34, 0,"TPI","exact time"),"")</f>
        <v/>
      </c>
      <c r="F34" s="9">
        <f>IF(ISNUMBER(_xll.PIArcVal(E$5,$D34, 0,"TPI","exact time"))=TRUE, _xll.PIArcVal(E$5,$D34, 0,"TPI","exact time"), "")</f>
        <v>26.792999999999999</v>
      </c>
      <c r="G34" s="29" t="str">
        <f>IF(ISNUMBER(_xll.PIArcVal(G$5,$C34, 0,"TPI","exact time"))=TRUE,_xll.PIArcVal(G$5,$C34, 0,"TPI","exact time"),"")</f>
        <v/>
      </c>
      <c r="H34" s="9">
        <f>IF(ISNUMBER(_xll.PIArcVal(G$5,$D34, 0,"TPI","exact time"))=TRUE, _xll.PIArcVal(G$5,$D34, 0,"TPI","exact time"), "")</f>
        <v>2.8439999999999999</v>
      </c>
      <c r="I34" s="29" t="str">
        <f>IF(ISNUMBER(_xll.PIArcVal(I$5,$C34, 0,"TPI","exact time"))=TRUE,_xll.PIArcVal(I$5,$C34, 0,"TPI","exact time"),"")</f>
        <v/>
      </c>
      <c r="J34" s="9">
        <f>IF(ISNUMBER(_xll.PIArcVal(I$5,$D34, 0,"TPI","exact time"))=TRUE, _xll.PIArcVal(I$5,$D34, 0,"TPI","exact time"), "")</f>
        <v>28.76</v>
      </c>
      <c r="K34" s="29" t="str">
        <f>IF(ISNUMBER(_xll.PIArcVal(K$5,$C34, 0,"TPI","exact time"))=TRUE,_xll.PIArcVal(K$5,$C34, 0,"TPI","exact time"),"")</f>
        <v/>
      </c>
      <c r="L34" s="9">
        <f>IF(ISNUMBER(_xll.PIArcVal(K$5,$D34, 0,"TPI","exact time"))=TRUE, _xll.PIArcVal(K$5,$D34, 0,"TPI","exact time"), "")</f>
        <v>27.766999999999999</v>
      </c>
      <c r="M34" s="29" t="str">
        <f>IF(ISNUMBER(_xll.PIArcVal(M$5,$C34, 0,"TPI","exact time"))=TRUE,_xll.PIArcVal(M$5,$C34, 0,"TPI","exact time"),"")</f>
        <v/>
      </c>
      <c r="N34" s="9">
        <f>IF(ISNUMBER(_xll.PIArcVal(M$5,$D34, 0,"TPI","exact time"))=TRUE, _xll.PIArcVal(M$5,$D34, 0,"TPI","exact time"), "")</f>
        <v>0.14499999999999999</v>
      </c>
      <c r="O34" s="29" t="str">
        <f>IF(ISNUMBER(_xll.PIArcVal(O$5,$C34, 0,"TPI","exact time"))=TRUE,_xll.PIArcVal(O$5,$C34, 0,"TPI","exact time"),"")</f>
        <v/>
      </c>
      <c r="P34" s="9">
        <f>IF(ISNUMBER(_xll.PIArcVal(O$5,$D34, 0,"TPI","exact time"))=TRUE, _xll.PIArcVal(O$5,$D34, 0,"TPI","exact time"), "")</f>
        <v>30.48</v>
      </c>
      <c r="Q34" s="29" t="str">
        <f>IF(ISNUMBER(_xll.PIArcVal(Q$5,$C34, 0,"TPI","exact time"))=TRUE,_xll.PIArcVal(Q$5,$C34, 0,"TPI","exact time"),"")</f>
        <v/>
      </c>
      <c r="R34" s="29">
        <f>IF(ISNUMBER(_xll.PIArcVal(R$5,$D34, 0,"TPI","exact time"))=TRUE, _xll.PIArcVal(R$5,$D34, 0,"TPI","exact time"), "")</f>
        <v>7.92</v>
      </c>
      <c r="S34" s="29" t="str">
        <f>IF(ISNUMBER(_xll.PIArcVal(S$5,$C34, 0,"TPI","exact time"))=TRUE,_xll.PIArcVal(S$5,$C34, 0,"TPI","exact time"),"")</f>
        <v/>
      </c>
      <c r="T34" s="9">
        <f>IF(ISNUMBER(_xll.PIArcVal(S$5,$D34, 0,"TPI","exact time"))=TRUE, _xll.PIArcVal(S$5,$D34, 0,"TPI","exact time"), "")</f>
        <v>0.76900000000000002</v>
      </c>
      <c r="U34" s="29" t="str">
        <f>IF(ISNUMBER(_xll.PIArcVal(U$5,$C34, 0,"TPI","exact time"))=TRUE,_xll.PIArcVal(U$5,$C34, 0,"TPI","exact time"),"")</f>
        <v/>
      </c>
      <c r="V34" s="9">
        <f>IF(ISNUMBER(_xll.PIArcVal(U$5,$D34, 0,"TPI","exact time"))=TRUE, _xll.PIArcVal(U$5,$D34, 0,"TPI","exact time"), "")</f>
        <v>55.16</v>
      </c>
      <c r="W34" s="29" t="str">
        <f>IF(ISNUMBER(_xll.PIArcVal(W$5,$C34, 0,"TPI","exact time"))=TRUE,_xll.PIArcVal(W$5,$C34, 0,"TPI","exact time"),"")</f>
        <v/>
      </c>
      <c r="X34" s="9">
        <f>IF(ISNUMBER(_xll.PIArcVal(W$5,$D34, 0,"TPI","exact time"))=TRUE, _xll.PIArcVal(W$5,$D34, 0,"TPI","exact time"), "")</f>
        <v>1.7390000000000001</v>
      </c>
      <c r="Y34" s="29" t="str">
        <f>IF(ISNUMBER(_xll.PIArcVal(Y$5,$C34, 0,"TPI","exact time"))=TRUE,_xll.PIArcVal(Y$5,$C34, 0,"TPI","exact time"),"")</f>
        <v/>
      </c>
      <c r="Z34" s="9">
        <f>IF(ISNUMBER(_xll.PIArcVal(Z$5,$D34, 0,"TPI","exact time"))=TRUE, _xll.PIArcVal(Z$5,$D34, 0,"TPI","exact time"), "")</f>
        <v>3.12</v>
      </c>
    </row>
    <row r="35" spans="1:26" ht="13.5" thickBot="1" x14ac:dyDescent="0.25">
      <c r="A35">
        <f t="shared" si="3"/>
        <v>29</v>
      </c>
      <c r="B35" s="28">
        <f t="shared" si="0"/>
        <v>46276</v>
      </c>
      <c r="C35" s="30">
        <f t="shared" si="1"/>
        <v>46276.3125</v>
      </c>
      <c r="D35" s="30">
        <f t="shared" si="2"/>
        <v>46276.8125</v>
      </c>
      <c r="E35" s="29">
        <f>IF(ISNUMBER(_xll.PIArcVal(E$5,$C35, 0,"TPI","exact time"))=TRUE,_xll.PIArcVal(E$5,$C35, 0,"TPI","exact time"),"")</f>
        <v>26.146000000000001</v>
      </c>
      <c r="F35" s="9">
        <f>IF(ISNUMBER(_xll.PIArcVal(E$5,$D35, 0,"TPI","exact time"))=TRUE, _xll.PIArcVal(E$5,$D35, 0,"TPI","exact time"), "")</f>
        <v>25.469000000000001</v>
      </c>
      <c r="G35" s="29">
        <f>IF(ISNUMBER(_xll.PIArcVal(G$5,$C35, 0,"TPI","exact time"))=TRUE,_xll.PIArcVal(G$5,$C35, 0,"TPI","exact time"),"")</f>
        <v>2.3490000000000002</v>
      </c>
      <c r="H35" s="9">
        <f>IF(ISNUMBER(_xll.PIArcVal(G$5,$D35, 0,"TPI","exact time"))=TRUE, _xll.PIArcVal(G$5,$D35, 0,"TPI","exact time"), "")</f>
        <v>2.7330000000000001</v>
      </c>
      <c r="I35" s="29">
        <f>IF(ISNUMBER(_xll.PIArcVal(I$5,$C35, 0,"TPI","exact time"))=TRUE,_xll.PIArcVal(I$5,$C35, 0,"TPI","exact time"),"")</f>
        <v>28.79</v>
      </c>
      <c r="J35" s="9">
        <f>IF(ISNUMBER(_xll.PIArcVal(I$5,$D35, 0,"TPI","exact time"))=TRUE, _xll.PIArcVal(I$5,$D35, 0,"TPI","exact time"), "")</f>
        <v>28.09</v>
      </c>
      <c r="K35" s="29">
        <f>IF(ISNUMBER(_xll.PIArcVal(K$5,$C35, 0,"TPI","exact time"))=TRUE,_xll.PIArcVal(K$5,$C35, 0,"TPI","exact time"),"")</f>
        <v>26.471</v>
      </c>
      <c r="L35" s="9">
        <f>IF(ISNUMBER(_xll.PIArcVal(K$5,$D35, 0,"TPI","exact time"))=TRUE, _xll.PIArcVal(K$5,$D35, 0,"TPI","exact time"), "")</f>
        <v>26.268000000000001</v>
      </c>
      <c r="M35" s="29">
        <f>IF(ISNUMBER(_xll.PIArcVal(M$5,$C35, 0,"TPI","exact time"))=TRUE,_xll.PIArcVal(M$5,$C35, 0,"TPI","exact time"),"")</f>
        <v>0.13700000000000001</v>
      </c>
      <c r="N35" s="9">
        <f>IF(ISNUMBER(_xll.PIArcVal(M$5,$D35, 0,"TPI","exact time"))=TRUE, _xll.PIArcVal(M$5,$D35, 0,"TPI","exact time"), "")</f>
        <v>8.5999999999999993E-2</v>
      </c>
      <c r="O35" s="29">
        <f>IF(ISNUMBER(_xll.PIArcVal(O$5,$C35, 0,"TPI","exact time"))=TRUE,_xll.PIArcVal(O$5,$C35, 0,"TPI","exact time"),"")</f>
        <v>29.78</v>
      </c>
      <c r="P35" s="9">
        <f>IF(ISNUMBER(_xll.PIArcVal(O$5,$D35, 0,"TPI","exact time"))=TRUE, _xll.PIArcVal(O$5,$D35, 0,"TPI","exact time"), "")</f>
        <v>29.04</v>
      </c>
      <c r="Q35" s="29">
        <f>IF(ISNUMBER(_xll.PIArcVal(Q$5,$C35, 0,"TPI","exact time"))=TRUE,_xll.PIArcVal(Q$5,$C35, 0,"TPI","exact time"),"")</f>
        <v>10.3</v>
      </c>
      <c r="R35" s="29">
        <f>IF(ISNUMBER(_xll.PIArcVal(R$5,$D35, 0,"TPI","exact time"))=TRUE, _xll.PIArcVal(R$5,$D35, 0,"TPI","exact time"), "")</f>
        <v>11</v>
      </c>
      <c r="S35" s="29">
        <f>IF(ISNUMBER(_xll.PIArcVal(S$5,$C35, 0,"TPI","exact time"))=TRUE,_xll.PIArcVal(S$5,$C35, 0,"TPI","exact time"),"")</f>
        <v>0.59899999999999998</v>
      </c>
      <c r="T35" s="9">
        <f>IF(ISNUMBER(_xll.PIArcVal(S$5,$D35, 0,"TPI","exact time"))=TRUE, _xll.PIArcVal(S$5,$D35, 0,"TPI","exact time"), "")</f>
        <v>0.58699999999999997</v>
      </c>
      <c r="U35" s="29">
        <f>IF(ISNUMBER(_xll.PIArcVal(U$5,$C35, 0,"TPI","exact time"))=TRUE,_xll.PIArcVal(U$5,$C35, 0,"TPI","exact time"),"")</f>
        <v>56.704999999999998</v>
      </c>
      <c r="V35" s="9">
        <f>IF(ISNUMBER(_xll.PIArcVal(U$5,$D35, 0,"TPI","exact time"))=TRUE, _xll.PIArcVal(U$5,$D35, 0,"TPI","exact time"), "")</f>
        <v>56.673000000000002</v>
      </c>
      <c r="W35" s="29">
        <f>IF(ISNUMBER(_xll.PIArcVal(W$5,$C35, 0,"TPI","exact time"))=TRUE,_xll.PIArcVal(W$5,$C35, 0,"TPI","exact time"),"")</f>
        <v>0.79200000000000004</v>
      </c>
      <c r="X35" s="9">
        <f>IF(ISNUMBER(_xll.PIArcVal(W$5,$D35, 0,"TPI","exact time"))=TRUE, _xll.PIArcVal(W$5,$D35, 0,"TPI","exact time"), "")</f>
        <v>0.66100000000000003</v>
      </c>
      <c r="Y35" s="29">
        <f>IF(ISNUMBER(_xll.PIArcVal(Y$5,$C35, 0,"TPI","exact time"))=TRUE,_xll.PIArcVal(Y$5,$C35, 0,"TPI","exact time"),"")</f>
        <v>2.79</v>
      </c>
      <c r="Z35" s="9">
        <f>IF(ISNUMBER(_xll.PIArcVal(Z$5,$D35, 0,"TPI","exact time"))=TRUE, _xll.PIArcVal(Z$5,$D35, 0,"TPI","exact time"), "")</f>
        <v>3.14</v>
      </c>
    </row>
    <row r="36" spans="1:26" ht="13.5" thickBot="1" x14ac:dyDescent="0.25">
      <c r="A36">
        <f t="shared" si="3"/>
        <v>30</v>
      </c>
      <c r="B36" s="28">
        <f t="shared" si="0"/>
        <v>46277</v>
      </c>
      <c r="C36" s="30">
        <f>+B36+7.5/24</f>
        <v>46277.3125</v>
      </c>
      <c r="D36" s="30">
        <f>+B36+19.5/24</f>
        <v>46277.8125</v>
      </c>
      <c r="E36" s="29">
        <f>IF(ISNUMBER(_xll.PIArcVal(E$5,$C36, 0,"TPI","exact time"))=TRUE,_xll.PIArcVal(E$5,$C36, 0,"TPI","exact time"),"")</f>
        <v>26.094000000000001</v>
      </c>
      <c r="F36" s="9">
        <f>IF(ISNUMBER(_xll.PIArcVal(E$5,$D36, 0,"TPI","exact time"))=TRUE, _xll.PIArcVal(E$5,$D36, 0,"TPI","exact time"), "")</f>
        <v>23.669</v>
      </c>
      <c r="G36" s="29">
        <f>IF(ISNUMBER(_xll.PIArcVal(G$5,$C36, 0,"TPI","exact time"))=TRUE,_xll.PIArcVal(G$5,$C36, 0,"TPI","exact time"),"")</f>
        <v>3.5649999999999999</v>
      </c>
      <c r="H36" s="9">
        <f>IF(ISNUMBER(_xll.PIArcVal(G$5,$D36, 0,"TPI","exact time"))=TRUE, _xll.PIArcVal(G$5,$D36, 0,"TPI","exact time"), "")</f>
        <v>2.339</v>
      </c>
      <c r="I36" s="29">
        <f>IF(ISNUMBER(_xll.PIArcVal(I$5,$C36, 0,"TPI","exact time"))=TRUE,_xll.PIArcVal(I$5,$C36, 0,"TPI","exact time"),"")</f>
        <v>28.82</v>
      </c>
      <c r="J36" s="9">
        <f>IF(ISNUMBER(_xll.PIArcVal(I$5,$D36, 0,"TPI","exact time"))=TRUE, _xll.PIArcVal(I$5,$D36, 0,"TPI","exact time"), "")</f>
        <v>29.09</v>
      </c>
      <c r="K36" s="29">
        <f>IF(ISNUMBER(_xll.PIArcVal(K$5,$C36, 0,"TPI","exact time"))=TRUE,_xll.PIArcVal(K$5,$C36, 0,"TPI","exact time"),"")</f>
        <v>25.547000000000001</v>
      </c>
      <c r="L36" s="9">
        <f>IF(ISNUMBER(_xll.PIArcVal(K$5,$D36, 0,"TPI","exact time"))=TRUE, _xll.PIArcVal(K$5,$D36, 0,"TPI","exact time"), "")</f>
        <v>25.821000000000002</v>
      </c>
      <c r="M36" s="29">
        <f>IF(ISNUMBER(_xll.PIArcVal(M$5,$C36, 0,"TPI","exact time"))=TRUE,_xll.PIArcVal(M$5,$C36, 0,"TPI","exact time"),"")</f>
        <v>9.2999999999999999E-2</v>
      </c>
      <c r="N36" s="9">
        <f>IF(ISNUMBER(_xll.PIArcVal(M$5,$D36, 0,"TPI","exact time"))=TRUE, _xll.PIArcVal(M$5,$D36, 0,"TPI","exact time"), "")</f>
        <v>0.108</v>
      </c>
      <c r="O36" s="29">
        <f>IF(ISNUMBER(_xll.PIArcVal(O$5,$C36, 0,"TPI","exact time"))=TRUE,_xll.PIArcVal(O$5,$C36, 0,"TPI","exact time"),"")</f>
        <v>30.04</v>
      </c>
      <c r="P36" s="9">
        <f>IF(ISNUMBER(_xll.PIArcVal(O$5,$D36, 0,"TPI","exact time"))=TRUE, _xll.PIArcVal(O$5,$D36, 0,"TPI","exact time"), "")</f>
        <v>29.63</v>
      </c>
      <c r="Q36" s="29">
        <f>IF(ISNUMBER(_xll.PIArcVal(Q$5,$C36, 0,"TPI","exact time"))=TRUE,_xll.PIArcVal(Q$5,$C36, 0,"TPI","exact time"),"")</f>
        <v>11.28</v>
      </c>
      <c r="R36" s="29">
        <f>IF(ISNUMBER(_xll.PIArcVal(R$5,$D36, 0,"TPI","exact time"))=TRUE, _xll.PIArcVal(R$5,$D36, 0,"TPI","exact time"), "")</f>
        <v>11.42</v>
      </c>
      <c r="S36" s="29">
        <f>IF(ISNUMBER(_xll.PIArcVal(S$5,$C36, 0,"TPI","exact time"))=TRUE,_xll.PIArcVal(S$5,$C36, 0,"TPI","exact time"),"")</f>
        <v>0.58699999999999997</v>
      </c>
      <c r="T36" s="9">
        <f>IF(ISNUMBER(_xll.PIArcVal(S$5,$D36, 0,"TPI","exact time"))=TRUE, _xll.PIArcVal(S$5,$D36, 0,"TPI","exact time"), "")</f>
        <v>0.628</v>
      </c>
      <c r="U36" s="29">
        <f>IF(ISNUMBER(_xll.PIArcVal(U$5,$C36, 0,"TPI","exact time"))=TRUE,_xll.PIArcVal(U$5,$C36, 0,"TPI","exact time"),"")</f>
        <v>57.347999999999999</v>
      </c>
      <c r="V36" s="9">
        <f>IF(ISNUMBER(_xll.PIArcVal(U$5,$D36, 0,"TPI","exact time"))=TRUE, _xll.PIArcVal(U$5,$D36, 0,"TPI","exact time"), "")</f>
        <v>56.975000000000001</v>
      </c>
      <c r="W36" s="29">
        <f>IF(ISNUMBER(_xll.PIArcVal(W$5,$C36, 0,"TPI","exact time"))=TRUE,_xll.PIArcVal(W$5,$C36, 0,"TPI","exact time"),"")</f>
        <v>0.66300000000000003</v>
      </c>
      <c r="X36" s="9">
        <f>IF(ISNUMBER(_xll.PIArcVal(W$5,$D36, 0,"TPI","exact time"))=TRUE, _xll.PIArcVal(W$5,$D36, 0,"TPI","exact time"), "")</f>
        <v>0.77500000000000002</v>
      </c>
      <c r="Y36" s="29">
        <f>IF(ISNUMBER(_xll.PIArcVal(Y$5,$C36, 0,"TPI","exact time"))=TRUE,_xll.PIArcVal(Y$5,$C36, 0,"TPI","exact time"),"")</f>
        <v>2.0099999999999998</v>
      </c>
      <c r="Z36" s="9">
        <f>IF(ISNUMBER(_xll.PIArcVal(Z$5,$D36, 0,"TPI","exact time"))=TRUE, _xll.PIArcVal(Z$5,$D36, 0,"TPI","exact time"), "")</f>
        <v>2.34</v>
      </c>
    </row>
    <row r="37" spans="1:26" ht="13.5" thickBot="1" x14ac:dyDescent="0.25">
      <c r="A37">
        <f t="shared" si="3"/>
        <v>31</v>
      </c>
      <c r="B37" s="46">
        <f>Portada!P5</f>
        <v>46278</v>
      </c>
      <c r="C37" s="30">
        <f t="shared" si="1"/>
        <v>46278.3125</v>
      </c>
      <c r="D37" s="30">
        <f t="shared" si="2"/>
        <v>46278.8125</v>
      </c>
      <c r="E37" s="29">
        <f>IF(ISNUMBER(_xll.PIArcVal(E$5,$C37, 0,"TPI","exact time"))=TRUE,_xll.PIArcVal(E$5,$C37, 0,"TPI","exact time"),"")</f>
        <v>23.776</v>
      </c>
      <c r="F37" s="9" t="str">
        <f>IF(ISNUMBER(_xll.PIArcVal(E$5,$D37, 0,"TPI","exact time"))=TRUE, _xll.PIArcVal(E$5,$D37, 0,"TPI","exact time"), "")</f>
        <v/>
      </c>
      <c r="G37" s="29">
        <f>IF(ISNUMBER(_xll.PIArcVal(G$5,$C37, 0,"TPI","exact time"))=TRUE,_xll.PIArcVal(G$5,$C37, 0,"TPI","exact time"),"")</f>
        <v>1.7549999999999999</v>
      </c>
      <c r="H37" s="9" t="str">
        <f>IF(ISNUMBER(_xll.PIArcVal(G$5,$D37, 0,"TPI","exact time"))=TRUE, _xll.PIArcVal(G$5,$D37, 0,"TPI","exact time"), "")</f>
        <v/>
      </c>
      <c r="I37" s="29">
        <f>IF(ISNUMBER(_xll.PIArcVal(I$5,$C37, 0,"TPI","exact time"))=TRUE,_xll.PIArcVal(I$5,$C37, 0,"TPI","exact time"),"")</f>
        <v>30.1</v>
      </c>
      <c r="J37" s="9" t="str">
        <f>IF(ISNUMBER(_xll.PIArcVal(I$5,$D37, 0,"TPI","exact time"))=TRUE, _xll.PIArcVal(I$5,$D37, 0,"TPI","exact time"), "")</f>
        <v/>
      </c>
      <c r="K37" s="29">
        <f>IF(ISNUMBER(_xll.PIArcVal(K$5,$C37, 0,"TPI","exact time"))=TRUE,_xll.PIArcVal(K$5,$C37, 0,"TPI","exact time"),"")</f>
        <v>25.271000000000001</v>
      </c>
      <c r="L37" s="9" t="str">
        <f>IF(ISNUMBER(_xll.PIArcVal(K$5,$D37, 0,"TPI","exact time"))=TRUE, _xll.PIArcVal(K$5,$D37, 0,"TPI","exact time"), "")</f>
        <v/>
      </c>
      <c r="M37" s="29">
        <f>IF(ISNUMBER(_xll.PIArcVal(M$5,$C37, 0,"TPI","exact time"))=TRUE,_xll.PIArcVal(M$5,$C37, 0,"TPI","exact time"),"")</f>
        <v>7.1999999999999995E-2</v>
      </c>
      <c r="N37" s="9" t="str">
        <f>IF(ISNUMBER(_xll.PIArcVal(M$5,$D37, 0,"TPI","exact time"))=TRUE, _xll.PIArcVal(M$5,$D37, 0,"TPI","exact time"), "")</f>
        <v/>
      </c>
      <c r="O37" s="29">
        <f>IF(ISNUMBER(_xll.PIArcVal(O$5,$C37, 0,"TPI","exact time"))=TRUE,_xll.PIArcVal(O$5,$C37, 0,"TPI","exact time"),"")</f>
        <v>30.68</v>
      </c>
      <c r="P37" s="9" t="str">
        <f>IF(ISNUMBER(_xll.PIArcVal(O$5,$D37, 0,"TPI","exact time"))=TRUE, _xll.PIArcVal(O$5,$D37, 0,"TPI","exact time"), "")</f>
        <v/>
      </c>
      <c r="Q37" s="29">
        <f>IF(ISNUMBER(_xll.PIArcVal(Q$5,$C37, 0,"TPI","exact time"))=TRUE,_xll.PIArcVal(Q$5,$C37, 0,"TPI","exact time"),"")</f>
        <v>11.22</v>
      </c>
      <c r="R37" s="29" t="str">
        <f>IF(ISNUMBER(_xll.PIArcVal(R$5,$D37, 0,"TPI","exact time"))=TRUE, _xll.PIArcVal(R$5,$D37, 0,"TPI","exact time"), "")</f>
        <v/>
      </c>
      <c r="S37" s="29">
        <f>IF(ISNUMBER(_xll.PIArcVal(S$5,$C37, 0,"TPI","exact time"))=TRUE,_xll.PIArcVal(S$5,$C37, 0,"TPI","exact time"),"")</f>
        <v>0.71199999999999997</v>
      </c>
      <c r="T37" s="9" t="str">
        <f>IF(ISNUMBER(_xll.PIArcVal(S$5,$D37, 0,"TPI","exact time"))=TRUE, _xll.PIArcVal(S$5,$D37, 0,"TPI","exact time"), "")</f>
        <v/>
      </c>
      <c r="U37" s="29">
        <f>IF(ISNUMBER(_xll.PIArcVal(U$5,$C37, 0,"TPI","exact time"))=TRUE,_xll.PIArcVal(U$5,$C37, 0,"TPI","exact time"),"")</f>
        <v>56.81</v>
      </c>
      <c r="V37" s="9" t="str">
        <f>IF(ISNUMBER(_xll.PIArcVal(U$5,$D37, 0,"TPI","exact time"))=TRUE, _xll.PIArcVal(U$5,$D37, 0,"TPI","exact time"), "")</f>
        <v/>
      </c>
      <c r="W37" s="29">
        <f>IF(ISNUMBER(_xll.PIArcVal(W$5,$C37, 0,"TPI","exact time"))=TRUE,_xll.PIArcVal(W$5,$C37, 0,"TPI","exact time"),"")</f>
        <v>0.86399999999999999</v>
      </c>
      <c r="X37" s="9" t="str">
        <f>IF(ISNUMBER(_xll.PIArcVal(W$5,$D37, 0,"TPI","exact time"))=TRUE, _xll.PIArcVal(W$5,$D37, 0,"TPI","exact time"), "")</f>
        <v/>
      </c>
      <c r="Y37" s="29">
        <f>IF(ISNUMBER(_xll.PIArcVal(Y$5,$C37, 0,"TPI","exact time"))=TRUE,_xll.PIArcVal(Y$5,$C37, 0,"TPI","exact time"),"")</f>
        <v>2.3199999999999998</v>
      </c>
      <c r="Z37" s="9" t="str">
        <f>IF(ISNUMBER(_xll.PIArcVal(Z$5,$D37, 0,"TPI","exact time"))=TRUE, _xll.PIArcVal(Z$5,$D37, 0,"TPI","exact time"), "")</f>
        <v/>
      </c>
    </row>
  </sheetData>
  <customSheetViews>
    <customSheetView guid="{C5BD3E9A-0945-47FE-8A56-1987B427C3E6}" state="hidden">
      <selection sqref="A1:XFD1048576"/>
      <pageMargins left="0.75" right="0.75" top="1" bottom="1" header="0.5" footer="0.5"/>
      <pageSetup scale="64" orientation="landscape" r:id="rId1"/>
      <headerFooter alignWithMargins="0"/>
    </customSheetView>
  </customSheetViews>
  <phoneticPr fontId="0" type="noConversion"/>
  <pageMargins left="0.75" right="0.75" top="1" bottom="1" header="0.5" footer="0.5"/>
  <pageSetup scale="64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/>
  <dimension ref="B1:F26"/>
  <sheetViews>
    <sheetView showGridLines="0" workbookViewId="0">
      <selection activeCell="D35" sqref="D35"/>
    </sheetView>
  </sheetViews>
  <sheetFormatPr defaultColWidth="9.140625" defaultRowHeight="12.75" x14ac:dyDescent="0.2"/>
  <cols>
    <col min="2" max="3" width="23.42578125" hidden="1" customWidth="1"/>
    <col min="4" max="4" width="37.140625" bestFit="1" customWidth="1"/>
    <col min="5" max="5" width="16" bestFit="1" customWidth="1"/>
    <col min="6" max="6" width="21.140625" customWidth="1"/>
  </cols>
  <sheetData>
    <row r="1" spans="2:6" x14ac:dyDescent="0.2">
      <c r="D1" s="6" t="s">
        <v>72</v>
      </c>
      <c r="E1" s="1">
        <v>39326</v>
      </c>
    </row>
    <row r="2" spans="2:6" x14ac:dyDescent="0.2">
      <c r="E2" s="1">
        <f>+E1+E3</f>
        <v>39356</v>
      </c>
    </row>
    <row r="3" spans="2:6" x14ac:dyDescent="0.2">
      <c r="D3" s="6" t="s">
        <v>73</v>
      </c>
      <c r="E3">
        <v>30</v>
      </c>
    </row>
    <row r="4" spans="2:6" ht="13.5" thickBot="1" x14ac:dyDescent="0.25"/>
    <row r="5" spans="2:6" ht="13.5" thickBot="1" x14ac:dyDescent="0.25">
      <c r="B5" s="6" t="s">
        <v>74</v>
      </c>
      <c r="D5" s="134"/>
      <c r="E5" s="135"/>
      <c r="F5" s="136"/>
    </row>
    <row r="6" spans="2:6" ht="17.25" customHeight="1" x14ac:dyDescent="0.2">
      <c r="B6" t="s">
        <v>7</v>
      </c>
      <c r="C6" t="s">
        <v>77</v>
      </c>
      <c r="D6" s="137"/>
      <c r="E6" s="138"/>
      <c r="F6" s="139"/>
    </row>
    <row r="7" spans="2:6" ht="17.25" customHeight="1" x14ac:dyDescent="0.2">
      <c r="B7" t="s">
        <v>6</v>
      </c>
      <c r="C7" t="s">
        <v>78</v>
      </c>
      <c r="D7" s="140"/>
      <c r="E7" s="138"/>
      <c r="F7" s="139"/>
    </row>
    <row r="8" spans="2:6" ht="17.25" customHeight="1" x14ac:dyDescent="0.2">
      <c r="B8" t="s">
        <v>79</v>
      </c>
      <c r="C8" t="s">
        <v>80</v>
      </c>
      <c r="D8" s="140"/>
      <c r="E8" s="138"/>
      <c r="F8" s="139"/>
    </row>
    <row r="9" spans="2:6" ht="17.25" customHeight="1" thickBot="1" x14ac:dyDescent="0.25">
      <c r="B9" t="s">
        <v>81</v>
      </c>
      <c r="C9" t="s">
        <v>82</v>
      </c>
      <c r="D9" s="141"/>
      <c r="E9" s="138"/>
      <c r="F9" s="139"/>
    </row>
    <row r="10" spans="2:6" ht="26.25" thickBot="1" x14ac:dyDescent="0.25">
      <c r="C10" s="142"/>
      <c r="D10" s="143" t="s">
        <v>83</v>
      </c>
      <c r="E10" s="135" t="s">
        <v>75</v>
      </c>
      <c r="F10" s="136" t="s">
        <v>76</v>
      </c>
    </row>
    <row r="11" spans="2:6" ht="17.25" customHeight="1" x14ac:dyDescent="0.2">
      <c r="B11" t="s">
        <v>19</v>
      </c>
      <c r="C11" t="s">
        <v>84</v>
      </c>
      <c r="D11" s="137" t="s">
        <v>26</v>
      </c>
      <c r="E11" s="138">
        <f>_xll.PITimeFilterVal($C11,$E$1,$E$2,"days", 0,"tpi")</f>
        <v>0</v>
      </c>
      <c r="F11" s="139">
        <f t="shared" ref="F11:F18" si="0">E11/$E$3</f>
        <v>0</v>
      </c>
    </row>
    <row r="12" spans="2:6" ht="17.25" customHeight="1" x14ac:dyDescent="0.2">
      <c r="B12" t="s">
        <v>20</v>
      </c>
      <c r="C12" t="s">
        <v>85</v>
      </c>
      <c r="D12" s="140" t="s">
        <v>27</v>
      </c>
      <c r="E12" s="138">
        <f>_xll.PITimeFilterVal($C12,$E$1,$E$2,"days", 0,"tpi")</f>
        <v>0</v>
      </c>
      <c r="F12" s="139">
        <f t="shared" si="0"/>
        <v>0</v>
      </c>
    </row>
    <row r="13" spans="2:6" ht="17.25" customHeight="1" x14ac:dyDescent="0.2">
      <c r="B13" t="s">
        <v>21</v>
      </c>
      <c r="C13" t="s">
        <v>86</v>
      </c>
      <c r="D13" s="140" t="s">
        <v>28</v>
      </c>
      <c r="E13" s="138">
        <f>_xll.PITimeFilterVal($C13,$E$1,$E$2,"days", 0,"tpi")</f>
        <v>0</v>
      </c>
      <c r="F13" s="139">
        <f t="shared" si="0"/>
        <v>0</v>
      </c>
    </row>
    <row r="14" spans="2:6" ht="17.25" customHeight="1" x14ac:dyDescent="0.2">
      <c r="B14" t="s">
        <v>96</v>
      </c>
      <c r="C14" t="s">
        <v>97</v>
      </c>
      <c r="D14" s="140" t="s">
        <v>98</v>
      </c>
      <c r="E14" s="138" t="str">
        <f>_xll.PITimeFilterVal($C14,$E$1,$E$2,"days", 0,"tpi")</f>
        <v>Invalid Expression Syntax</v>
      </c>
      <c r="F14" s="139" t="e">
        <f t="shared" si="0"/>
        <v>#VALUE!</v>
      </c>
    </row>
    <row r="15" spans="2:6" ht="17.25" customHeight="1" x14ac:dyDescent="0.2">
      <c r="B15" t="s">
        <v>24</v>
      </c>
      <c r="C15" t="s">
        <v>87</v>
      </c>
      <c r="D15" s="140" t="s">
        <v>88</v>
      </c>
      <c r="E15" s="138">
        <f>_xll.PITimeFilterVal($C15,$E$1,$E$2,"days", 0,"tpi")</f>
        <v>0</v>
      </c>
      <c r="F15" s="139">
        <f t="shared" si="0"/>
        <v>0</v>
      </c>
    </row>
    <row r="16" spans="2:6" ht="17.25" customHeight="1" x14ac:dyDescent="0.2">
      <c r="B16" t="s">
        <v>23</v>
      </c>
      <c r="C16" t="s">
        <v>89</v>
      </c>
      <c r="D16" s="140" t="s">
        <v>90</v>
      </c>
      <c r="E16" s="138">
        <f>_xll.PITimeFilterVal($C16,$E$1,$E$2,"days", 0,"tpi")</f>
        <v>0</v>
      </c>
      <c r="F16" s="139">
        <f t="shared" si="0"/>
        <v>0</v>
      </c>
    </row>
    <row r="17" spans="2:6" ht="17.25" customHeight="1" x14ac:dyDescent="0.2">
      <c r="B17" t="s">
        <v>22</v>
      </c>
      <c r="C17" t="s">
        <v>91</v>
      </c>
      <c r="D17" s="140" t="s">
        <v>92</v>
      </c>
      <c r="E17" s="138" t="str">
        <f>_xll.PITimeFilterVal($C17,$E$1,$E$2,"days", 0,"tpi")</f>
        <v>Invalid Expression Syntax</v>
      </c>
      <c r="F17" s="139" t="e">
        <f t="shared" si="0"/>
        <v>#VALUE!</v>
      </c>
    </row>
    <row r="18" spans="2:6" ht="17.25" customHeight="1" thickBot="1" x14ac:dyDescent="0.25">
      <c r="B18" t="s">
        <v>25</v>
      </c>
      <c r="C18" t="s">
        <v>93</v>
      </c>
      <c r="D18" s="141" t="s">
        <v>94</v>
      </c>
      <c r="E18" s="138">
        <f>_xll.PITimeFilterVal($C18,$E$1,$E$2,"days", 0,"tpi")</f>
        <v>0</v>
      </c>
      <c r="F18" s="139">
        <f t="shared" si="0"/>
        <v>0</v>
      </c>
    </row>
    <row r="19" spans="2:6" ht="13.5" thickBot="1" x14ac:dyDescent="0.25">
      <c r="C19" s="142"/>
      <c r="D19" s="143"/>
      <c r="E19" s="135"/>
      <c r="F19" s="136"/>
    </row>
    <row r="20" spans="2:6" ht="17.25" customHeight="1" x14ac:dyDescent="0.2">
      <c r="D20" s="137"/>
      <c r="E20" s="144"/>
      <c r="F20" s="145"/>
    </row>
    <row r="21" spans="2:6" ht="17.25" customHeight="1" x14ac:dyDescent="0.2">
      <c r="D21" s="140"/>
      <c r="E21" s="138"/>
      <c r="F21" s="139"/>
    </row>
    <row r="22" spans="2:6" ht="17.25" customHeight="1" x14ac:dyDescent="0.2">
      <c r="D22" s="140"/>
      <c r="E22" s="138"/>
      <c r="F22" s="139"/>
    </row>
    <row r="23" spans="2:6" ht="17.25" customHeight="1" x14ac:dyDescent="0.2">
      <c r="D23" s="140"/>
      <c r="E23" s="138"/>
      <c r="F23" s="139"/>
    </row>
    <row r="24" spans="2:6" ht="17.25" customHeight="1" x14ac:dyDescent="0.2">
      <c r="D24" s="140"/>
      <c r="E24" s="138"/>
      <c r="F24" s="139"/>
    </row>
    <row r="25" spans="2:6" ht="17.25" customHeight="1" thickBot="1" x14ac:dyDescent="0.25">
      <c r="D25" s="141"/>
      <c r="E25" s="146"/>
      <c r="F25" s="147"/>
    </row>
    <row r="26" spans="2:6" x14ac:dyDescent="0.2">
      <c r="F26" s="148"/>
    </row>
  </sheetData>
  <customSheetViews>
    <customSheetView guid="{C5BD3E9A-0945-47FE-8A56-1987B427C3E6}" showGridLines="0" hiddenColumns="1" state="hidden">
      <selection activeCell="D35" sqref="D35"/>
      <pageMargins left="0.75" right="0.75" top="1" bottom="1" header="0.5" footer="0.5"/>
      <pageSetup orientation="portrait" r:id="rId1"/>
      <headerFooter alignWithMargins="0"/>
    </customSheetView>
  </customSheetViews>
  <phoneticPr fontId="23" type="noConversion"/>
  <pageMargins left="0.75" right="0.75" top="1" bottom="1" header="0.5" footer="0.5"/>
  <pageSetup orientation="portrait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/>
  <dimension ref="A1"/>
  <sheetViews>
    <sheetView workbookViewId="0">
      <selection activeCell="I10" sqref="I10"/>
    </sheetView>
  </sheetViews>
  <sheetFormatPr defaultColWidth="9.140625" defaultRowHeight="12.75" x14ac:dyDescent="0.2"/>
  <sheetData/>
  <customSheetViews>
    <customSheetView guid="{C5BD3E9A-0945-47FE-8A56-1987B427C3E6}" state="hidden">
      <selection activeCell="I10" sqref="I10"/>
      <pageMargins left="0.75" right="0.75" top="1" bottom="1" header="0.5" footer="0.5"/>
      <pageSetup orientation="portrait" r:id="rId1"/>
      <headerFooter alignWithMargins="0"/>
    </customSheetView>
  </customSheetViews>
  <phoneticPr fontId="23" type="noConversion"/>
  <pageMargins left="0.75" right="0.75" top="1" bottom="1" header="0.5" footer="0.5"/>
  <pageSetup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43" baseType="lpstr">
      <vt:lpstr>Portada</vt:lpstr>
      <vt:lpstr>Graf. Fe-Zn-Ox</vt:lpstr>
      <vt:lpstr>Graf1_Cu_Mo</vt:lpstr>
      <vt:lpstr>Graf2_Cu_Mo</vt:lpstr>
      <vt:lpstr>Graf3_Cu_Mo</vt:lpstr>
      <vt:lpstr>BloxPlot_Cu</vt:lpstr>
      <vt:lpstr>DistrN_Cu</vt:lpstr>
      <vt:lpstr>Graf1_Cu_Mo_M</vt:lpstr>
      <vt:lpstr>Graf2_Cu_Mo_M</vt:lpstr>
      <vt:lpstr>Graf3_Cu_Mo_M</vt:lpstr>
      <vt:lpstr>BloxPlot_Mo</vt:lpstr>
      <vt:lpstr>DistrN_Mo</vt:lpstr>
      <vt:lpstr>TABLA</vt:lpstr>
      <vt:lpstr>Calculos</vt:lpstr>
      <vt:lpstr>Calculos_M</vt:lpstr>
      <vt:lpstr>TABLA_M</vt:lpstr>
      <vt:lpstr>Gráf. Cu-Mo</vt:lpstr>
      <vt:lpstr>Courier</vt:lpstr>
      <vt:lpstr>Courier_M </vt:lpstr>
      <vt:lpstr>Laboratorio_M </vt:lpstr>
      <vt:lpstr>Laboratorio </vt:lpstr>
      <vt:lpstr>Sta_Cu </vt:lpstr>
      <vt:lpstr>Sta_Mo </vt:lpstr>
      <vt:lpstr>Courier_M.</vt:lpstr>
      <vt:lpstr>Laboratorio</vt:lpstr>
      <vt:lpstr>Laboratorio_M</vt:lpstr>
      <vt:lpstr>%Tiempo Oper.</vt:lpstr>
      <vt:lpstr>DibEspere</vt:lpstr>
      <vt:lpstr>Chart1</vt:lpstr>
      <vt:lpstr>Chart2</vt:lpstr>
      <vt:lpstr>BloxPlot_Mo!Print_Area</vt:lpstr>
      <vt:lpstr>DistrN_Cu!Print_Area</vt:lpstr>
      <vt:lpstr>'Gráf. Cu-Mo'!Print_Area</vt:lpstr>
      <vt:lpstr>'Graf. Fe-Zn-Ox'!Print_Area</vt:lpstr>
      <vt:lpstr>Graf1_Cu_Mo!Print_Area</vt:lpstr>
      <vt:lpstr>Graf1_Cu_Mo_M!Print_Area</vt:lpstr>
      <vt:lpstr>Graf2_Cu_Mo!Print_Area</vt:lpstr>
      <vt:lpstr>Graf2_Cu_Mo_M!Print_Area</vt:lpstr>
      <vt:lpstr>Graf3_Cu_Mo!Print_Area</vt:lpstr>
      <vt:lpstr>Graf3_Cu_Mo_M!Print_Area</vt:lpstr>
      <vt:lpstr>Portada!Print_Area</vt:lpstr>
      <vt:lpstr>TABLA!Print_Area</vt:lpstr>
      <vt:lpstr>TABLA_M!Print_Area</vt:lpstr>
    </vt:vector>
  </TitlesOfParts>
  <Company>SPCC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Controlp</dc:creator>
  <cp:lastModifiedBy>Control de Procesos Concentradora - Toquepala</cp:lastModifiedBy>
  <cp:lastPrinted>2026-09-14T08:04:04Z</cp:lastPrinted>
  <dcterms:created xsi:type="dcterms:W3CDTF">2004-02-07T16:41:04Z</dcterms:created>
  <dcterms:modified xsi:type="dcterms:W3CDTF">2026-09-14T08:04:34Z</dcterms:modified>
</cp:coreProperties>
</file>